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ergy Recharge Calculator" sheetId="1" r:id="rId4"/>
    <sheet state="visible" name="Data" sheetId="2" r:id="rId5"/>
    <sheet state="visible" name="Enemy Particles" sheetId="3" r:id="rId6"/>
    <sheet state="visible" name="Changelog" sheetId="4" r:id="rId7"/>
    <sheet state="hidden" name="Summary Table" sheetId="5" r:id="rId8"/>
    <sheet state="hidden" name="Self-Funding" sheetId="6" r:id="rId9"/>
    <sheet state="hidden" name="Calculations" sheetId="7" r:id="rId10"/>
    <sheet state="hidden" name="Team Energy" sheetId="8" r:id="rId11"/>
    <sheet state="hidden" name="Energy Abilities" sheetId="9" r:id="rId12"/>
  </sheets>
  <definedNames>
    <definedName name="OffFieldRight">Data!$D$83</definedName>
    <definedName name="OffFieldWrong">Data!$D$85</definedName>
    <definedName name="OnFieldWrong">Data!$D$81</definedName>
    <definedName name="Flexible">'Energy Recharge Calculator'!$AO$5</definedName>
    <definedName name="OrbsPerRun">Data!$D$88</definedName>
    <definedName name="RotationLength">'Energy Recharge Calculator'!$C$6</definedName>
    <definedName name="OffFieldOrb">Data!$D$86</definedName>
    <definedName name="RightElement">Data!$D$91</definedName>
    <definedName name="VHighEPS">'Team Energy'!$F$12</definedName>
    <definedName name="OnFieldClear">Data!$D$80</definedName>
    <definedName name="MedEPS">'Team Energy'!$D$12</definedName>
    <definedName name="OffField">Data!$D$95</definedName>
    <definedName name="WrongElement">Data!$D$93</definedName>
    <definedName name="OnFieldRight">Data!$D$79</definedName>
    <definedName name="HighEPS">'Team Energy'!$E$12</definedName>
    <definedName name="Fixed">'Energy Recharge Calculator'!$AO$6</definedName>
    <definedName name="OnField">Data!$D$94</definedName>
    <definedName name="OnFieldOrb">Data!$D$82</definedName>
    <definedName name="VarianceLabels">'Energy Recharge Calculator'!$AO$1:$AO$3</definedName>
    <definedName name="RunDuration">Data!$D$89</definedName>
    <definedName name="OffFieldClear">Data!$D$84</definedName>
    <definedName name="RotationMode">'Energy Recharge Calculator'!$C$5</definedName>
    <definedName name="NoElement">Data!$D$92</definedName>
    <definedName name="LowEPS">'Team Energy'!$C$12</definedName>
    <definedName name="VarianceMultipliers">'Energy Recharge Calculator'!$AP$1:$AP$3</definedName>
  </definedNames>
  <calcPr/>
</workbook>
</file>

<file path=xl/sharedStrings.xml><?xml version="1.0" encoding="utf-8"?>
<sst xmlns="http://schemas.openxmlformats.org/spreadsheetml/2006/main" count="1180" uniqueCount="637">
  <si>
    <t>Worst case</t>
  </si>
  <si>
    <t>Clear time (seconds)</t>
  </si>
  <si>
    <t>Custom HP Particles</t>
  </si>
  <si>
    <t>Time between electro reactions (min 5s)</t>
  </si>
  <si>
    <t>This is how long it takes you to clear an Abyss chamber.</t>
  </si>
  <si>
    <t>Safe</t>
  </si>
  <si>
    <t>Enemy HP particles</t>
  </si>
  <si>
    <t>No Particles</t>
  </si>
  <si>
    <t>Average</t>
  </si>
  <si>
    <t>Particle RNG</t>
  </si>
  <si>
    <t>Rotation mode</t>
  </si>
  <si>
    <t>Fixed</t>
  </si>
  <si>
    <t>Flexible</t>
  </si>
  <si>
    <t>Rotation length</t>
  </si>
  <si>
    <t>Character</t>
  </si>
  <si>
    <t>Alhaitham</t>
  </si>
  <si>
    <t>Fischl</t>
  </si>
  <si>
    <t>Sucrose</t>
  </si>
  <si>
    <t>Baizhu</t>
  </si>
  <si>
    <t>Press</t>
  </si>
  <si>
    <t>Skill cooldown</t>
  </si>
  <si>
    <t>Skill cooldown is just for reference and does not affect any calculations.</t>
  </si>
  <si>
    <t>Hold</t>
  </si>
  <si>
    <t>Skill particles generated</t>
  </si>
  <si>
    <t>The number of particles generated by each use of the skill.</t>
  </si>
  <si>
    <t>Yes</t>
  </si>
  <si>
    <t>Turret particles per second</t>
  </si>
  <si>
    <t>Turrets are skills that generate particles over time, such as Fischl's Oz.</t>
  </si>
  <si>
    <t>No</t>
  </si>
  <si>
    <t>Turret uptime</t>
  </si>
  <si>
    <t>12s uptime</t>
  </si>
  <si>
    <t>Constellation 0</t>
  </si>
  <si>
    <t>This is the number of times you use a character's skill for each time you use their burst.</t>
  </si>
  <si>
    <t>If you use another type of skill, this is how many times you use that type</t>
  </si>
  <si>
    <t>Feed particles to ally</t>
  </si>
  <si>
    <t>This is who will catch the elemental particles. "Don't Know" counts as off field particles for everyone.</t>
  </si>
  <si>
    <t>In Advanced Mode, you can feed turret particles. This will override field-time-based turret particle assignment.</t>
  </si>
  <si>
    <t>Proportion of particles fed</t>
  </si>
  <si>
    <t>If a character catches some of their own particles and feeds some, this is what percentage is fed.</t>
  </si>
  <si>
    <t>This is the number of times a Favonius effect triggers for each time you use a character's burst.</t>
  </si>
  <si>
    <t>This is flat energy from various sources such as constellations and weapons.</t>
  </si>
  <si>
    <t>Time on field</t>
  </si>
  <si>
    <t>This is the portion of time a character spends on field. It affects turret and HP particle energy.</t>
  </si>
  <si>
    <t>This is how often you use each character's burst. It will typically depend on your team's rotation.</t>
  </si>
  <si>
    <t>Clear</t>
  </si>
  <si>
    <t>Burst cooldown</t>
  </si>
  <si>
    <t>Anemo</t>
  </si>
  <si>
    <t>Burst energy cost (after discount)</t>
  </si>
  <si>
    <t>Cryo</t>
  </si>
  <si>
    <t>Total energy recharge needed</t>
  </si>
  <si>
    <t>If you don't use a character's burst, ignore their ER needs and put the rotation length as burst time.</t>
  </si>
  <si>
    <t>Dendro</t>
  </si>
  <si>
    <t>Electro</t>
  </si>
  <si>
    <t>Element</t>
  </si>
  <si>
    <t>Geo</t>
  </si>
  <si>
    <t>Particle gen per second from primary skill</t>
  </si>
  <si>
    <t>Hydro</t>
  </si>
  <si>
    <t>Particle gen per second from secondary skill</t>
  </si>
  <si>
    <t>Particle gen per second from Favonius</t>
  </si>
  <si>
    <t>Energy  from HP particles</t>
  </si>
  <si>
    <t>Energy from other sources</t>
  </si>
  <si>
    <t>Total energy per burst</t>
  </si>
  <si>
    <t>Particle gen per second from skills</t>
  </si>
  <si>
    <t>Pyro</t>
  </si>
  <si>
    <t>Particle gen per second from turrets</t>
  </si>
  <si>
    <t>Error</t>
  </si>
  <si>
    <t>Name</t>
  </si>
  <si>
    <t>Skill</t>
  </si>
  <si>
    <t>Particles/s</t>
  </si>
  <si>
    <t>Skill Particles</t>
  </si>
  <si>
    <t>Turret Particles</t>
  </si>
  <si>
    <t>Fav Particles</t>
  </si>
  <si>
    <t>Turret</t>
  </si>
  <si>
    <t>Feed To</t>
  </si>
  <si>
    <t>Fed</t>
  </si>
  <si>
    <t>Primary Feed</t>
  </si>
  <si>
    <t>Secondary Feed</t>
  </si>
  <si>
    <t>Favonius Feed</t>
  </si>
  <si>
    <t>Index_row</t>
  </si>
  <si>
    <t>Index_column 1</t>
  </si>
  <si>
    <t>Primary</t>
  </si>
  <si>
    <t>Index_column 2</t>
  </si>
  <si>
    <t>Total skill particles generated</t>
  </si>
  <si>
    <t>Base turret particles per second</t>
  </si>
  <si>
    <t>Variance 1</t>
  </si>
  <si>
    <t>Secondary</t>
  </si>
  <si>
    <t>Variance 2</t>
  </si>
  <si>
    <t>Skill uses per burst (primary type)</t>
  </si>
  <si>
    <t>Skill uses per burst (secondary type)</t>
  </si>
  <si>
    <t>Turret uptime per burst (primary type)</t>
  </si>
  <si>
    <t>Favonius</t>
  </si>
  <si>
    <t>Turret uptime per burst (secondary type)</t>
  </si>
  <si>
    <t>Favonius uses per burst</t>
  </si>
  <si>
    <t>Bonus non-particle energy</t>
  </si>
  <si>
    <t>Time between bursts</t>
  </si>
  <si>
    <t>Primary skill is turret</t>
  </si>
  <si>
    <t>Secondary skill is turret</t>
  </si>
  <si>
    <t>Advanced Mode</t>
  </si>
  <si>
    <t>Label 0</t>
  </si>
  <si>
    <t>Label 1</t>
  </si>
  <si>
    <t>Label 2</t>
  </si>
  <si>
    <t>Label 3</t>
  </si>
  <si>
    <t>Copy or download this spreadsheet to edit it yourself</t>
  </si>
  <si>
    <t>To enable Advanced Mode, unhide rows 15-26</t>
  </si>
  <si>
    <t>Made by Zakharov29229 from the KeqingMains discord</t>
  </si>
  <si>
    <t>Raiden Energy Refund</t>
  </si>
  <si>
    <t>The Energy Recharge Calculator guide is available here</t>
  </si>
  <si>
    <t>The latest version is available here</t>
  </si>
  <si>
    <t>Burst Talent Level</t>
  </si>
  <si>
    <t>Current version</t>
  </si>
  <si>
    <t>1.41.1</t>
  </si>
  <si>
    <t>Raiden ER</t>
  </si>
  <si>
    <t>Latest version</t>
  </si>
  <si>
    <t>Energy Returned</t>
  </si>
  <si>
    <t>Abyss version</t>
  </si>
  <si>
    <t>Flat Energy</t>
  </si>
  <si>
    <t>R1</t>
  </si>
  <si>
    <t>R2</t>
  </si>
  <si>
    <t>R3</t>
  </si>
  <si>
    <t>R4</t>
  </si>
  <si>
    <t>R5</t>
  </si>
  <si>
    <t>Amenoma Kageuchi</t>
  </si>
  <si>
    <t>6 per skill use</t>
  </si>
  <si>
    <t>7.5 per skill use</t>
  </si>
  <si>
    <t>9 per skill use</t>
  </si>
  <si>
    <t>10.5 per skill use</t>
  </si>
  <si>
    <t>12 per skill use</t>
  </si>
  <si>
    <t>Katsuragikiri Nagamasa</t>
  </si>
  <si>
    <t>6 per trigger</t>
  </si>
  <si>
    <t>7.5 per trigger</t>
  </si>
  <si>
    <t>9 per trigger</t>
  </si>
  <si>
    <t>10.5 per trigger</t>
  </si>
  <si>
    <t>12 per trigger</t>
  </si>
  <si>
    <t>Kitain Cross Spear</t>
  </si>
  <si>
    <t>Prototype Amber</t>
  </si>
  <si>
    <t>Everlasting Moonglow</t>
  </si>
  <si>
    <t>0.6 per NA</t>
  </si>
  <si>
    <t>Shimenawa's Reminiscence</t>
  </si>
  <si>
    <t>-15 per skill use</t>
  </si>
  <si>
    <t>Scholar</t>
  </si>
  <si>
    <t>3 for all bow and catalyst users every time this character gets a particle on-field, with 3s cooldown</t>
  </si>
  <si>
    <t>The Exile</t>
  </si>
  <si>
    <t>6 for all party members except the wearer</t>
  </si>
  <si>
    <t>Character abilities</t>
  </si>
  <si>
    <t>See the character explanation in the bottom of the green section</t>
  </si>
  <si>
    <t>Normal attacks</t>
  </si>
  <si>
    <t>See the wiki for more information</t>
  </si>
  <si>
    <t>Particles 1</t>
  </si>
  <si>
    <t>Particles 2</t>
  </si>
  <si>
    <t>Particles 3</t>
  </si>
  <si>
    <t>Variance 3</t>
  </si>
  <si>
    <t>Per second 1</t>
  </si>
  <si>
    <t>Per second 2</t>
  </si>
  <si>
    <t>Per second 3</t>
  </si>
  <si>
    <t>Duration 1</t>
  </si>
  <si>
    <t>Duration 2</t>
  </si>
  <si>
    <t>Duration 3</t>
  </si>
  <si>
    <t>Cooldown 1</t>
  </si>
  <si>
    <t>Cooldown 2</t>
  </si>
  <si>
    <t>Cooldown 3</t>
  </si>
  <si>
    <t>Burst Energy</t>
  </si>
  <si>
    <t>Burst Discount</t>
  </si>
  <si>
    <t>ER</t>
  </si>
  <si>
    <t>Help (flexible)</t>
  </si>
  <si>
    <t>Help (fixed)</t>
  </si>
  <si>
    <t>Error (fixed)</t>
  </si>
  <si>
    <t>Error (flexible)</t>
  </si>
  <si>
    <t>Albedo</t>
  </si>
  <si>
    <t/>
  </si>
  <si>
    <t>Albedo's skill triggers every 2.5s and distributes its particles based on time spent on field. Albedo C1 gains 1.2 energy per E trigger. Put this in "Bonus non-particle energy".</t>
  </si>
  <si>
    <t>Aloy</t>
  </si>
  <si>
    <t>Amber</t>
  </si>
  <si>
    <t>Feed Amber's particles to whoever will be on field when Baron Bunny explodes.</t>
  </si>
  <si>
    <t>Ayaka</t>
  </si>
  <si>
    <t>Ayato</t>
  </si>
  <si>
    <t>On field</t>
  </si>
  <si>
    <t>Off field</t>
  </si>
  <si>
    <t>Hybrid</t>
  </si>
  <si>
    <t>Ayato's A4 gives him 2 energy per second if he is not on field and has less than 40 energy. Put this in "Bonus non-particle energy". Hybrid Ayato does one attack after each E before swapping out.</t>
  </si>
  <si>
    <t>Barbara</t>
  </si>
  <si>
    <t>Barbara C1 gains 1 energy per 10 seconds. Put this in "Bonus non-particle energy".</t>
  </si>
  <si>
    <t>Beidou</t>
  </si>
  <si>
    <t>0 stacks</t>
  </si>
  <si>
    <t>1 stack</t>
  </si>
  <si>
    <t>Perfect</t>
  </si>
  <si>
    <t>Beidou's skill type is how many times she gets hit while holding her skill.</t>
  </si>
  <si>
    <t>Bennett</t>
  </si>
  <si>
    <t>Candace</t>
  </si>
  <si>
    <t>Childe</t>
  </si>
  <si>
    <t>Chongyun</t>
  </si>
  <si>
    <t>Chongyun C4 regenerates 1 Energy every time he hits an opponent affected by Cryo, once per 2 seconds. Put this in "Bonus non-particle energy".</t>
  </si>
  <si>
    <t>Collei</t>
  </si>
  <si>
    <t>Collei's C1 gives her 20% ER when not on field. This reduces her ER needs by about 10%.</t>
  </si>
  <si>
    <t>Cyno</t>
  </si>
  <si>
    <t>Press (no burst)</t>
  </si>
  <si>
    <t>Press (in burst)</t>
  </si>
  <si>
    <t>Cyno's skill generates fewer particles during his burst. Cyno's C4 gives all other party members 3 energy per reaction triggered, up to 15 energy. Put this in "Bonus non-particle energy".</t>
  </si>
  <si>
    <t>Dehya</t>
  </si>
  <si>
    <t>Constellation 2</t>
  </si>
  <si>
    <t>Dehya's skill doesn't generate particles while Dehya is using her burst. Dehya's C4 gives her a total of 15 energy per burst. Put this in "Bonus non-particle energy".</t>
  </si>
  <si>
    <t>Dehya's C4 gives her a total of 15 energy per burst. Put this in "Bonus non-particle energy". Divide this energy by the number of rotations between bursts.</t>
  </si>
  <si>
    <t>Diluc</t>
  </si>
  <si>
    <t>3-skill combo</t>
  </si>
  <si>
    <t>One use of Diluc's skill represents a full three-skill combo.</t>
  </si>
  <si>
    <t>Diona</t>
  </si>
  <si>
    <t>Diona C1 gains 15 energy on burst. Put this in "Bonus non-particle energy".</t>
  </si>
  <si>
    <t>Diona C1 gains 15 energy on burst. Put this in "Bonus non-particle energy". Divide this energy by the number of rotations between bursts.</t>
  </si>
  <si>
    <t>Dori</t>
  </si>
  <si>
    <t>Dori's A4 is already factored in, don't give her flat energy. Dori's C4 means some of your characters may need slighly less ER than recommended.</t>
  </si>
  <si>
    <t>Eula</t>
  </si>
  <si>
    <t>Faruzan</t>
  </si>
  <si>
    <t>Aimed Shot</t>
  </si>
  <si>
    <t>No Aimed Shot</t>
  </si>
  <si>
    <t>C6 triggers</t>
  </si>
  <si>
    <t>Faruzan only generates particles when she uses an aimed shot after her skill, or when C6 triggers, with a shared 5.5s ICD. C4 gives her 2-4 energy per skill use. Put this in "Bonus non-particle energy".</t>
  </si>
  <si>
    <t>Constellation 6</t>
  </si>
  <si>
    <t>The Oz generated by Fischl's burst doesn't count as a skill use. "Skill uses per burst" should be the number of times you summon Oz with the skill (E) specifically.</t>
  </si>
  <si>
    <t>The Oz generated by Fischl's burst doesn't count as a skill use. "Skill uses per rotation" should be 0.5 if you use Fischl burst every second rotation.</t>
  </si>
  <si>
    <t>Ganyu</t>
  </si>
  <si>
    <t xml:space="preserve">Feed half of Ganyu's particles to whoever will be on field when the Ice Lotus explodes. Ganyu C1 gives her 2 energy per charged shot. Put this in "Bonus non-particle energy". </t>
  </si>
  <si>
    <t>Gorou</t>
  </si>
  <si>
    <t>Heizou</t>
  </si>
  <si>
    <t>0-1 stacks</t>
  </si>
  <si>
    <t>2-3 stacks</t>
  </si>
  <si>
    <t>Full stacks</t>
  </si>
  <si>
    <t>Heizou gains stacks by triggering swirl reactions or by holding his elemental skill. Heizou's C4 gives him 13.5 energy on burst. Put this in "Bonus non-particle energy".</t>
  </si>
  <si>
    <t>Heizou's C4 gives him 13.5 energy on burst. Put this in "Bonus non-particle energy". Divide this energy by the number of rotations between bursts.</t>
  </si>
  <si>
    <t>Hu Tao</t>
  </si>
  <si>
    <t>Hu Tao's skill use assumes 2 particle generation triggers. Hu Tao doesn't generally need to burst every rotation.</t>
  </si>
  <si>
    <t>Itto</t>
  </si>
  <si>
    <t>Itto C2 gives him 6-18 energy on burst, depending on the number of Geo characters in the team. Put this in "Bonus non-particle energy".</t>
  </si>
  <si>
    <t>Itto C2 gives him 6-18 energy on burst, depending on the number of Geo characters in the team. Put this in "Bonus non-particle energy". Divide this energy by the number of rotations between bursts.</t>
  </si>
  <si>
    <t>Jean</t>
  </si>
  <si>
    <t>Jean's burst cost is reduced by 16 due to her A4 passive.</t>
  </si>
  <si>
    <t>The discount on Jean's burst from her A4 passive is already included and does not need to be in "Bonus non-particle energy".</t>
  </si>
  <si>
    <t>Kaeya</t>
  </si>
  <si>
    <t>0 freezes</t>
  </si>
  <si>
    <t>1 freeze</t>
  </si>
  <si>
    <t>2+ freezes</t>
  </si>
  <si>
    <t>Kaeya's skill type is determined by the number of enemies he freezes with his skill. Kaeya's C6 gains 15 energy on burst. Put this in "Bonus non-particle energy".</t>
  </si>
  <si>
    <t>Kaveh</t>
  </si>
  <si>
    <t>Kazuha</t>
  </si>
  <si>
    <t>Keqing</t>
  </si>
  <si>
    <t>C2 proc</t>
  </si>
  <si>
    <t xml:space="preserve">Keqing's C2 can trigger at most once per 5 seconds. </t>
  </si>
  <si>
    <t>Kirara</t>
  </si>
  <si>
    <t>Final Kick</t>
  </si>
  <si>
    <t>Collision</t>
  </si>
  <si>
    <t>Kirara can generate up to one collision particle every 4 seconds when using her hold skill, with the first particle being generated immediately</t>
  </si>
  <si>
    <t>Klee</t>
  </si>
  <si>
    <t>Klee's A4 gives every team member 2 energy whenever her charged attack crits. Put this in every character's "Bonus non-particle energy".</t>
  </si>
  <si>
    <t>Kokomi</t>
  </si>
  <si>
    <t>Refresh</t>
  </si>
  <si>
    <t>No refresh</t>
  </si>
  <si>
    <t>Kokomi's skill type determines whether her burst refreshes her jellyfish.</t>
  </si>
  <si>
    <t>Kokomi's skill distributes particles based on time spent on field. Kokomi's burst refreshes her jellyfish.</t>
  </si>
  <si>
    <t>Kuki Shinobu</t>
  </si>
  <si>
    <t>Constellation 4</t>
  </si>
  <si>
    <t>Kuki Shinobu's C4 triggers 3 times and has a 45% chance of generating a particle on each trigger</t>
  </si>
  <si>
    <t>Layla</t>
  </si>
  <si>
    <t>1 volley</t>
  </si>
  <si>
    <t>2 volleys</t>
  </si>
  <si>
    <t>3 volleys</t>
  </si>
  <si>
    <t>Layla's C2 gives her 4 energy per volley of shooting stars. Put this in "Bonus non-particle energy".</t>
  </si>
  <si>
    <t>Lisa</t>
  </si>
  <si>
    <t>Lisa's C1 gives her 2 energy per enemy hit with her held skill. Put this in "Bonus non-particle energy".</t>
  </si>
  <si>
    <t>Mika</t>
  </si>
  <si>
    <t>Mika's C4 gives him up to 15 energy per burst. Put this in "Bonus non-particle energy".</t>
  </si>
  <si>
    <t>Mika's C4 gives him up to 15 energy per burst. Put this in "Bonus non-particle energy". Divide this energy by the number of rotations between bursts.</t>
  </si>
  <si>
    <t>Mona</t>
  </si>
  <si>
    <t>Feed Mona's particles to whoever will be on field when her skill explodes.</t>
  </si>
  <si>
    <t>Nahida</t>
  </si>
  <si>
    <t>Nahida's skill generates 3 particles every 8.25 seconds on average.</t>
  </si>
  <si>
    <t>Nilou</t>
  </si>
  <si>
    <t>Nilou's C4 gives her 15 energy per skill use. Put this in "Bonus non-particle energy".</t>
  </si>
  <si>
    <t>Ningguang</t>
  </si>
  <si>
    <t>Ningguang's skill only generates particles if she waits at least 6 seconds between skill uses. Do not include skill uses which do not generate particles.</t>
  </si>
  <si>
    <t>Nobody</t>
  </si>
  <si>
    <t>None</t>
  </si>
  <si>
    <t>Noelle</t>
  </si>
  <si>
    <t>Noelle's burst typically lasts longer than 15 seconds due to hitlag, so you can burst every 20 seconds and still have full uptime.</t>
  </si>
  <si>
    <t>Qiqi</t>
  </si>
  <si>
    <t>Qiqi's C1 gives her 2 energy per hit with her Herald of Frost. Put this in "Bonus non-particle energy".</t>
  </si>
  <si>
    <t>Raiden</t>
  </si>
  <si>
    <t>Raiden's burst gives the entire team energy based on Raiden's ER, typically 20-25 energy. Put this in every character's "Bonus non-particle energy".</t>
  </si>
  <si>
    <t>Razor</t>
  </si>
  <si>
    <t>Don't include Razor's skill uses during his burst, as they don't generate particles. Razor's burst cost is reduced by 5, and his ER needs reduced by 45%, to account for his talents.</t>
  </si>
  <si>
    <t>Rosaria</t>
  </si>
  <si>
    <t>Rosaria's C4 gives her 5 energy when her skill crits. Put this in "Bonus non-particle energy".</t>
  </si>
  <si>
    <t>Sara</t>
  </si>
  <si>
    <t>Sara only generates particles when she uses an aimed shot after her skill, even with C2. Sara's A4 gives the party 1.2 energy for every 100% ER she has. Put this in "Bonus non-particle energy".</t>
  </si>
  <si>
    <t>Sayu</t>
  </si>
  <si>
    <t>Short Hold</t>
  </si>
  <si>
    <t>Full Hold</t>
  </si>
  <si>
    <t>Shenhe</t>
  </si>
  <si>
    <t>Shinobu</t>
  </si>
  <si>
    <t>Tartaglia</t>
  </si>
  <si>
    <t>7-9s melee</t>
  </si>
  <si>
    <t>11s melee</t>
  </si>
  <si>
    <t>If Tartaglia is using ranged burst, put 20 in "Bonus non-particle energy". Use the "Aimed Shot" skill in "Skill uses (other type)" for the number of aimed shots done in ranged form.</t>
  </si>
  <si>
    <t>If using ranged burst, put 20 in "Bonus non-particle energy".</t>
  </si>
  <si>
    <t>Tighnari</t>
  </si>
  <si>
    <t>Thoma</t>
  </si>
  <si>
    <t>Thoma C4 gains 15 energy on burst. Put this in "Bonus non-particle energy".</t>
  </si>
  <si>
    <t>Thoma C4 gains 15 energy on burst. Put this in "Bonus non-particle energy". Divide this energy by the number of rotations between bursts.</t>
  </si>
  <si>
    <t>Traveler (Anemo)</t>
  </si>
  <si>
    <t>Anemo Traveler's C2 is ignored, since it appears in their stats screen</t>
  </si>
  <si>
    <t>Traveler (Dendro)</t>
  </si>
  <si>
    <t>Dendro Traveler's C1 is already factored in and does not need to be added to "Bonus non-particle energy".</t>
  </si>
  <si>
    <t>Traveler (Electro)</t>
  </si>
  <si>
    <t>Electro Traveler's skill generates 12 energy. Their burst gives about 16 energy. Put these in the "Bonus non-particle energy" of whoever uses them. Also consider the amulet ER bonus.</t>
  </si>
  <si>
    <t>Traveler (Geo)</t>
  </si>
  <si>
    <t>Geo Traveler's burst gives 5 energy per enemy hit. Put this in "Bonus non-particle energy".</t>
  </si>
  <si>
    <t>Geo Traveler's burst gives 5 energy per enemy hit. Put this in "Bonus non-particle energy". Divide this energy by the number of rotations between bursts.</t>
  </si>
  <si>
    <t>Venti</t>
  </si>
  <si>
    <t>Venti's burst cost is reduced by 15 due to his A4 passive. It also gives energy to any characters of the element absorbed by the burst. Put this in those characters' "Bonus non-particle energy".</t>
  </si>
  <si>
    <t>The discount on Venti's burst from his A4 passive is already included and does not need to be in "Bonus non-particle energy".</t>
  </si>
  <si>
    <t>Wanderer</t>
  </si>
  <si>
    <t>8-10s uptime</t>
  </si>
  <si>
    <t>6-8s uptime</t>
  </si>
  <si>
    <t>If Wanderer absorbs Electro with his skill, he will gain approximately 13 energy per skill use. Put this in "Bonus non-particle energy".</t>
  </si>
  <si>
    <t>Xiangling</t>
  </si>
  <si>
    <t>Xiangling's Guoba is assumed to hit 4 times. If you want to assume it only hits twice, count that as 0.5 skill uses. Gouba's particles are distributed based on time spent on field.</t>
  </si>
  <si>
    <t>Xiao</t>
  </si>
  <si>
    <t>Xingqiu</t>
  </si>
  <si>
    <t>Xingqiu's C6 gives him 3 energy on every third Sword Rain trigger, typically 12 energy in total. Put this in "Bonus non-particle energy".</t>
  </si>
  <si>
    <t>Xingqiu's C6 gives him 3 energy on every third Sword Rain trigger, typically 12 energy in total. Put this in "Bonus non-particle energy". Divide this energy by the number of rotations between bursts.</t>
  </si>
  <si>
    <t>Xinqiu's elemental skill (E) has a 21 second cooldown. With Sacrificial Sword, it's effectively 22 seconds due to cast time.</t>
  </si>
  <si>
    <t>Xinyan</t>
  </si>
  <si>
    <t>Yae Miko</t>
  </si>
  <si>
    <t>3 totems</t>
  </si>
  <si>
    <t>One use of Yae's skill represents all 3 totems. Yae generates a particle once per 2.5-3s, 2.75s is assumed as average. Yae's C1 gives her up to 24 flat energy.</t>
  </si>
  <si>
    <t>One use of Yae's skill represents a full three-totem combo.</t>
  </si>
  <si>
    <t>Yanfei</t>
  </si>
  <si>
    <t>Yaoyao</t>
  </si>
  <si>
    <t>Yaoyao's C2 gives her 15 flat energy if she stays on field during her burst. Put this in "Bonus non-particle energy". Yaoyao's radishes only generate particles if the explosion hits an enemy.</t>
  </si>
  <si>
    <t>Yelan</t>
  </si>
  <si>
    <t>Yoimiya</t>
  </si>
  <si>
    <t>Yun Jin</t>
  </si>
  <si>
    <t>Level 1</t>
  </si>
  <si>
    <t>Level 2</t>
  </si>
  <si>
    <t>Zhongli</t>
  </si>
  <si>
    <t>Miss pillar</t>
  </si>
  <si>
    <t>Zhongli's pillar is assumed to hit on every pulse, and distributes its particles based on time spent on field. If you don't want the pillar to hit, put "miss pillar".</t>
  </si>
  <si>
    <t>On-Field</t>
  </si>
  <si>
    <t>Right-Element</t>
  </si>
  <si>
    <t>No-Element</t>
  </si>
  <si>
    <t>Wrong-Element</t>
  </si>
  <si>
    <t>Orb</t>
  </si>
  <si>
    <t>Off-Field</t>
  </si>
  <si>
    <t>Orbs per run</t>
  </si>
  <si>
    <t>Run duration</t>
  </si>
  <si>
    <t>HP Particles Dropped</t>
  </si>
  <si>
    <t>Energy Collected</t>
  </si>
  <si>
    <t>Chamber</t>
  </si>
  <si>
    <t>_Clear</t>
  </si>
  <si>
    <t>_Anemo</t>
  </si>
  <si>
    <t>_Cryo</t>
  </si>
  <si>
    <t>_Dendro</t>
  </si>
  <si>
    <t>_Electro</t>
  </si>
  <si>
    <t>_Geo</t>
  </si>
  <si>
    <t>_Hydro</t>
  </si>
  <si>
    <t>_Pyro</t>
  </si>
  <si>
    <t>Description</t>
  </si>
  <si>
    <t>Default</t>
  </si>
  <si>
    <t>Enemies drop no particles</t>
  </si>
  <si>
    <t>Custom</t>
  </si>
  <si>
    <t>Enter the number of clear particles dropped by enemies</t>
  </si>
  <si>
    <t>12-1-1</t>
  </si>
  <si>
    <t>12-1-2</t>
  </si>
  <si>
    <t>12-2-1</t>
  </si>
  <si>
    <t>12-2-2</t>
  </si>
  <si>
    <t>12-3-1</t>
  </si>
  <si>
    <t>12-3-2</t>
  </si>
  <si>
    <t>Added Dehya C2 effect</t>
  </si>
  <si>
    <t>1.41.0</t>
  </si>
  <si>
    <t>Updated Abyss HP particles for version 3.7</t>
  </si>
  <si>
    <t>1.40.0</t>
  </si>
  <si>
    <t>Added Kirara</t>
  </si>
  <si>
    <t>1.39.0</t>
  </si>
  <si>
    <t>Added Baizhu and Kaveh</t>
  </si>
  <si>
    <t>Updated abyss HP particles to 3.6</t>
  </si>
  <si>
    <t>1.38.4</t>
  </si>
  <si>
    <t>Fixed variance calculations for turret skills</t>
  </si>
  <si>
    <t>1.38.3</t>
  </si>
  <si>
    <t>Removed variance from Nahida particle generation</t>
  </si>
  <si>
    <t>1.38.2</t>
  </si>
  <si>
    <t>Fixed bug in fischl calcs for 0 skill uses</t>
  </si>
  <si>
    <t>1.38.1</t>
  </si>
  <si>
    <t>Fixed bug related to using two different kinds of turret skills on the same character</t>
  </si>
  <si>
    <t>1.38.0</t>
  </si>
  <si>
    <t>Added Mika with estimate of particle generation, may be updated based on further information</t>
  </si>
  <si>
    <t>Updated some help text for fixed rotation mode</t>
  </si>
  <si>
    <t>Added link to ERC guide</t>
  </si>
  <si>
    <t>Added Childe as another name for Tartaglia</t>
  </si>
  <si>
    <t>1.37.0</t>
  </si>
  <si>
    <t>Added a choice to use either fixed rotation mode or flexible rotation mode. This is a big change and may have introduced bugs.</t>
  </si>
  <si>
    <t>Fixed some bugs in advanced mode</t>
  </si>
  <si>
    <t>Updated abyss HP particles for 3.5</t>
  </si>
  <si>
    <t>1.36.0</t>
  </si>
  <si>
    <t>Added Advanced Mode. Enable this by unhiding rows 14-25</t>
  </si>
  <si>
    <t>Rewrote energy calculations. This shouldn't have any effect unless you use advanced mode, but may introduce bugs.</t>
  </si>
  <si>
    <t>1.35.0</t>
  </si>
  <si>
    <t>Fixed a bug in the previous bugfix</t>
  </si>
  <si>
    <t>1.34.0</t>
  </si>
  <si>
    <t>Fixed a bug in calculating the particles caught by a character who feeds only some of their particles</t>
  </si>
  <si>
    <t>1.33.0</t>
  </si>
  <si>
    <t>Added Dehya</t>
  </si>
  <si>
    <t>Added "Don't Know" option for particle feeding</t>
  </si>
  <si>
    <t>Rewrote energy calculations. This shouldn't have any effect, but may introduce bugs.</t>
  </si>
  <si>
    <t>1.32.1</t>
  </si>
  <si>
    <t>Fixed incorrect enemy particle data</t>
  </si>
  <si>
    <t>1.32.0</t>
  </si>
  <si>
    <t>Removed error highlighting when Raiden doesn't have flat energy (hyperbloom teams don't usually use raiden burst)</t>
  </si>
  <si>
    <t>Updated enemy HP particles for 3.4 abyss</t>
  </si>
  <si>
    <t>1.31.0</t>
  </si>
  <si>
    <t>Reduced Alhaitham particle generation from 7 to 6 based on further testing</t>
  </si>
  <si>
    <t>1.30.0</t>
  </si>
  <si>
    <t>Added Alhaitham and Yaoyao</t>
  </si>
  <si>
    <t>1.29.0</t>
  </si>
  <si>
    <t>Fixed bug in Fischl particle generation</t>
  </si>
  <si>
    <t>1.28.0</t>
  </si>
  <si>
    <t>Fixed bug in turret particle generation</t>
  </si>
  <si>
    <t>1.27.0</t>
  </si>
  <si>
    <t>Fixed bugged Faruzan C6</t>
  </si>
  <si>
    <t>Updated Abyss to 3.3</t>
  </si>
  <si>
    <t>1.26.2</t>
  </si>
  <si>
    <t>Updated Faruzan C6 to work as a turret</t>
  </si>
  <si>
    <t>1.26.1</t>
  </si>
  <si>
    <t>Added Faruzan C6 proc partile gen</t>
  </si>
  <si>
    <t>1.26.0</t>
  </si>
  <si>
    <t>Added Wanderer</t>
  </si>
  <si>
    <t>Added Faruzan</t>
  </si>
  <si>
    <t>1.25.0</t>
  </si>
  <si>
    <t>Added Layla</t>
  </si>
  <si>
    <t>Fixed some incorrect particle values</t>
  </si>
  <si>
    <t>1.24.2</t>
  </si>
  <si>
    <t>Added HP particle info for 3.2 abyss</t>
  </si>
  <si>
    <t>1.24.1</t>
  </si>
  <si>
    <t>Added more options for Tartaglia</t>
  </si>
  <si>
    <t>1.24.0</t>
  </si>
  <si>
    <t>Added Nahida</t>
  </si>
  <si>
    <t>1.23.0</t>
  </si>
  <si>
    <t>Added Nilou</t>
  </si>
  <si>
    <t>1.22.3</t>
  </si>
  <si>
    <t>Fixed bug with Dori</t>
  </si>
  <si>
    <t>1.22.2</t>
  </si>
  <si>
    <t>Fixed bug with particle feeding</t>
  </si>
  <si>
    <t>1.22.1</t>
  </si>
  <si>
    <t>Fixed bug with Dendro Traveller</t>
  </si>
  <si>
    <t>1.22.0</t>
  </si>
  <si>
    <t>Added Cyno and Candace</t>
  </si>
  <si>
    <t>Allowed for the use of two different skill types (e.g. Kazuha doing 1 press and 1 hold)</t>
  </si>
  <si>
    <t>1.21.2</t>
  </si>
  <si>
    <t>Fixed bug in particle feeding menu</t>
  </si>
  <si>
    <t>1.21.1</t>
  </si>
  <si>
    <t>Fixed Diona and Yae particle generation in safe and worst-case scenarios</t>
  </si>
  <si>
    <t>1.21.0</t>
  </si>
  <si>
    <t>Added Dori</t>
  </si>
  <si>
    <t>1.20.3</t>
  </si>
  <si>
    <t>Automatically calculate Dendro Traveler C1 flat energy</t>
  </si>
  <si>
    <t>1.20.2</t>
  </si>
  <si>
    <t>Added Kuki Shinobu C4 particle generation</t>
  </si>
  <si>
    <t>1.20.1</t>
  </si>
  <si>
    <t>Fixed dendro not working with electro resonance</t>
  </si>
  <si>
    <t>1.20.0</t>
  </si>
  <si>
    <t>Added Collei, Tighnari, Traveler (Dendro)</t>
  </si>
  <si>
    <t>1.19.2</t>
  </si>
  <si>
    <t>Added missing skill cooldowns to some alternate skill uses</t>
  </si>
  <si>
    <t>1.19.1</t>
  </si>
  <si>
    <t>Fixed formatting issues when downloading as Excel spreadsheet</t>
  </si>
  <si>
    <t>1.19.0</t>
  </si>
  <si>
    <t>Updated to 2.8 abyss</t>
  </si>
  <si>
    <t>1.18.1</t>
  </si>
  <si>
    <t>Added Heizou C4 to help text</t>
  </si>
  <si>
    <t>1.18.0</t>
  </si>
  <si>
    <t>Added Heizou with particles based on data mine</t>
  </si>
  <si>
    <t>Updated Kuki Shinobu particles to 45% chance based on data mine</t>
  </si>
  <si>
    <t>1.17.2</t>
  </si>
  <si>
    <t>Added Klee help text</t>
  </si>
  <si>
    <t>Added Kuki Shinobu as a synonym for Shinobu</t>
  </si>
  <si>
    <t>1.17.1</t>
  </si>
  <si>
    <t>Fixed description of abyss HP particles</t>
  </si>
  <si>
    <t>1.17.0</t>
  </si>
  <si>
    <t>Added Shinobu</t>
  </si>
  <si>
    <t>1.16.0</t>
  </si>
  <si>
    <t>Updated to 2.7 abyss</t>
  </si>
  <si>
    <t>1.15.0</t>
  </si>
  <si>
    <t>Added Yelan</t>
  </si>
  <si>
    <t>1.14.2</t>
  </si>
  <si>
    <t>Updated help text</t>
  </si>
  <si>
    <t>Added guide link</t>
  </si>
  <si>
    <t>Added table of flat energy sources</t>
  </si>
  <si>
    <t>Fixed Fischl particle generation</t>
  </si>
  <si>
    <t>1.14.1</t>
  </si>
  <si>
    <t>Fixed error highlighting</t>
  </si>
  <si>
    <t>1.14.0</t>
  </si>
  <si>
    <t>Corrected an error in the abyss HP particles for 12-1-2</t>
  </si>
  <si>
    <t>1.13.1</t>
  </si>
  <si>
    <t>Updated Sara and Sayu skill options</t>
  </si>
  <si>
    <t>1.13.0</t>
  </si>
  <si>
    <t>Updated abyss HP particles for version 12.6</t>
  </si>
  <si>
    <t>1.12.0</t>
  </si>
  <si>
    <t>Added option to select "Nobody" so you can have 1-3 character teams. This includes increased energy received from off-field particles</t>
  </si>
  <si>
    <t>Fixed error when changing character results in invalid particle feeding</t>
  </si>
  <si>
    <t>Added error message when Yae uses her skill 3 times (one skill use represents 3 totems)</t>
  </si>
  <si>
    <t>Fixed incorrect error highlighting</t>
  </si>
  <si>
    <t>1.11.1</t>
  </si>
  <si>
    <t>Added "hybrid" option to Ayato</t>
  </si>
  <si>
    <t>Fixed missing skill cooldown for off-field Ayato</t>
  </si>
  <si>
    <t>1.11.0</t>
  </si>
  <si>
    <t>Added Ayato</t>
  </si>
  <si>
    <t>Changed how calculations are displayed in the bottom section</t>
  </si>
  <si>
    <t>1.10.2</t>
  </si>
  <si>
    <t>Added abyss particles for new abyss</t>
  </si>
  <si>
    <t>1.10.1</t>
  </si>
  <si>
    <t>Removed abyss particles. Will be updated for new abyss shortly</t>
  </si>
  <si>
    <t>1.10.0</t>
  </si>
  <si>
    <t>Added Yae Miko</t>
  </si>
  <si>
    <t>1.9.0</t>
  </si>
  <si>
    <t>Fixed bug in 4th character field time calculations</t>
  </si>
  <si>
    <t>1.8.0</t>
  </si>
  <si>
    <t>Fixed bug in Kokomi ER calculations</t>
  </si>
  <si>
    <t>Fixed bug which didn't allow feeding favonius particles from a turret character</t>
  </si>
  <si>
    <t>1.7.0</t>
  </si>
  <si>
    <t>Added changelog</t>
  </si>
  <si>
    <t>Added abyss chambers to enemy HP particle selection</t>
  </si>
  <si>
    <t>Replaced "press/hold" with character-specific skill types</t>
  </si>
  <si>
    <t>Added particle RNG setting</t>
  </si>
  <si>
    <t>Energy Recharge needed to burst off cooldown</t>
  </si>
  <si>
    <t>Energy generated by other characters</t>
  </si>
  <si>
    <t>Low</t>
  </si>
  <si>
    <t>Medium</t>
  </si>
  <si>
    <t>High</t>
  </si>
  <si>
    <t>Very High</t>
  </si>
  <si>
    <t>Doesn't need burst to be effective</t>
  </si>
  <si>
    <t>Electro tends to have high energy generation</t>
  </si>
  <si>
    <t>Uses burst every 25 seconds</t>
  </si>
  <si>
    <t>Doesn't need burst to be effective in melt teams</t>
  </si>
  <si>
    <t>Doesn't need to burst off cooldown to be effective</t>
  </si>
  <si>
    <t>Will often be paired with a geo support who can provide energy</t>
  </si>
  <si>
    <t>Sigils and A4 give ER but don't show up on the sheet. Gets particles from E before and after burst.</t>
  </si>
  <si>
    <t>Uses burst in ranged mode; 4 riptides per burst</t>
  </si>
  <si>
    <t>Will often be paired with another geo</t>
  </si>
  <si>
    <t>Will usually be the only hydro</t>
  </si>
  <si>
    <t>Energy generated by other characters doesn't count the energy generated by the hero you're considering. Some examples:</t>
  </si>
  <si>
    <r>
      <rPr>
        <rFont val="Calibri"/>
        <color theme="1"/>
        <sz val="11.0"/>
      </rPr>
      <t xml:space="preserve">Low team energy for </t>
    </r>
    <r>
      <rPr>
        <rFont val="Calibri"/>
        <b/>
        <color theme="1"/>
        <sz val="11.0"/>
      </rPr>
      <t>Xingqiu</t>
    </r>
    <r>
      <rPr>
        <rFont val="Calibri"/>
        <color theme="1"/>
        <sz val="11.0"/>
      </rPr>
      <t>: Hu Tao (carry), Kaeya (1 E), Diona (1 E hold)</t>
    </r>
  </si>
  <si>
    <r>
      <rPr>
        <rFont val="Calibri"/>
        <color theme="1"/>
        <sz val="11.0"/>
      </rPr>
      <t xml:space="preserve">Medium team energy for </t>
    </r>
    <r>
      <rPr>
        <rFont val="Calibri"/>
        <b/>
        <color theme="1"/>
        <sz val="11.0"/>
      </rPr>
      <t>Xiangling</t>
    </r>
    <r>
      <rPr>
        <rFont val="Calibri"/>
        <color theme="1"/>
        <sz val="11.0"/>
      </rPr>
      <t>: Ganyu (carry), Bennett (2 E), Sucrose (2 E)</t>
    </r>
  </si>
  <si>
    <r>
      <rPr>
        <rFont val="Calibri"/>
        <color theme="1"/>
        <sz val="11.0"/>
      </rPr>
      <t xml:space="preserve">High team energy for </t>
    </r>
    <r>
      <rPr>
        <rFont val="Calibri"/>
        <b/>
        <color theme="1"/>
        <sz val="11.0"/>
      </rPr>
      <t>Beidou</t>
    </r>
    <r>
      <rPr>
        <rFont val="Calibri"/>
        <color theme="1"/>
        <sz val="11.0"/>
      </rPr>
      <t>: Bennett (carry), Fischl, Xingqiu</t>
    </r>
  </si>
  <si>
    <r>
      <rPr>
        <rFont val="Calibri"/>
        <color theme="1"/>
        <sz val="11.0"/>
      </rPr>
      <t xml:space="preserve">Very high team energy for </t>
    </r>
    <r>
      <rPr>
        <rFont val="Calibri"/>
        <b/>
        <color theme="1"/>
        <sz val="11.0"/>
      </rPr>
      <t>Noelle</t>
    </r>
    <r>
      <rPr>
        <rFont val="Calibri"/>
        <color theme="1"/>
        <sz val="11.0"/>
      </rPr>
      <t>: Geo Traveller (feeding energy), Albedo, Fischl</t>
    </r>
  </si>
  <si>
    <t>All calculations are based on clearing abyss 12-3 first half (7 clear orbs) in 1:30. Slower clears require slightly more ER, around 5% per missing star.</t>
  </si>
  <si>
    <t>Ways to increase team energy generation:</t>
  </si>
  <si>
    <t>Have other characters of the same element</t>
  </si>
  <si>
    <t>For carries, have supports generate particles while off-field (Albedo, Fischl, Xiangling)</t>
  </si>
  <si>
    <t>Use characters that generate lots of energy</t>
  </si>
  <si>
    <t>Use elemental skills more often</t>
  </si>
  <si>
    <t>Use Favonius weapons and/or Venti</t>
  </si>
  <si>
    <t>Have the focus character absorb orbs generated by other characters</t>
  </si>
  <si>
    <t>See other tabs for calculation details</t>
  </si>
  <si>
    <t>Turret Uptime</t>
  </si>
  <si>
    <t>Energy Produced</t>
  </si>
  <si>
    <t>Energy Required (C0)</t>
  </si>
  <si>
    <t>Energy Required (C6)</t>
  </si>
  <si>
    <t>C0</t>
  </si>
  <si>
    <t>C6</t>
  </si>
  <si>
    <t>Notes</t>
  </si>
  <si>
    <t>Field Time</t>
  </si>
  <si>
    <t>E tap</t>
  </si>
  <si>
    <t>E hold</t>
  </si>
  <si>
    <t>Cooldown</t>
  </si>
  <si>
    <t>Energy</t>
  </si>
  <si>
    <t>Self particles</t>
  </si>
  <si>
    <t>Self Energy</t>
  </si>
  <si>
    <t>Discount</t>
  </si>
  <si>
    <t>Orbs (1:30 clear)</t>
  </si>
  <si>
    <t>Orbs (2:30 clear)</t>
  </si>
  <si>
    <t>Orbs (5:00 clear)</t>
  </si>
  <si>
    <t>Team Energy (low)</t>
  </si>
  <si>
    <t>Team Energy (medium)</t>
  </si>
  <si>
    <t>Team Energy (high)</t>
  </si>
  <si>
    <t>Team Energy (very high)</t>
  </si>
  <si>
    <t>ER (1:30 low)</t>
  </si>
  <si>
    <t>ER (1:30 med)</t>
  </si>
  <si>
    <t>ER (1:30 high)</t>
  </si>
  <si>
    <t>ER (1:30 vhigh)</t>
  </si>
  <si>
    <t>ER (2:30 low)</t>
  </si>
  <si>
    <t>ER (2:30 med)</t>
  </si>
  <si>
    <t>ER (2:30 high)</t>
  </si>
  <si>
    <t>ER (5:00 low)</t>
  </si>
  <si>
    <t>ER (5:00 med)</t>
  </si>
  <si>
    <t>ER (5:00 high)</t>
  </si>
  <si>
    <t>carry</t>
  </si>
  <si>
    <t>support</t>
  </si>
  <si>
    <t>1 E</t>
  </si>
  <si>
    <t>2 E</t>
  </si>
  <si>
    <t>ranged burst</t>
  </si>
  <si>
    <t>melee burst</t>
  </si>
  <si>
    <t>Sac trigger</t>
  </si>
  <si>
    <t>Time</t>
  </si>
  <si>
    <t>Energy per second</t>
  </si>
  <si>
    <t>As Xingqiu:</t>
  </si>
  <si>
    <t>As Xiangling:</t>
  </si>
  <si>
    <t>As Beidou:</t>
  </si>
  <si>
    <t>As Noelle:</t>
  </si>
  <si>
    <t>Ganyu x2</t>
  </si>
  <si>
    <t>Fischl (16s)</t>
  </si>
  <si>
    <t>Albedo (12s)</t>
  </si>
  <si>
    <t>Sucrose x 2</t>
  </si>
  <si>
    <t>GeoMC feeding x 2</t>
  </si>
  <si>
    <t>Bennett x 2</t>
  </si>
  <si>
    <t>Bennett x 6</t>
  </si>
  <si>
    <t>Fischl (12s)</t>
  </si>
  <si>
    <t>C1</t>
  </si>
  <si>
    <t>1.2 energy per E proc</t>
  </si>
  <si>
    <t>1 energy every 10s</t>
  </si>
  <si>
    <t>E</t>
  </si>
  <si>
    <t>1 particle per level</t>
  </si>
  <si>
    <t>C4</t>
  </si>
  <si>
    <t>1 energy per cryo-afflicted enemy hit</t>
  </si>
  <si>
    <t>15 energy on burst</t>
  </si>
  <si>
    <t>2 extra seconds</t>
  </si>
  <si>
    <t>2 energy on frostflake hit</t>
  </si>
  <si>
    <t>A4</t>
  </si>
  <si>
    <t>1-2 extra particles for freezing</t>
  </si>
  <si>
    <t xml:space="preserve">Kaeya </t>
  </si>
  <si>
    <t>-15 burst cost</t>
  </si>
  <si>
    <t>Tap-E restores 3 energy, hold-E 4. Gliding gives 2 energy per second</t>
  </si>
  <si>
    <t>C2</t>
  </si>
  <si>
    <t>50% chance of creating a particle every 5s when hitting electro enemy with normal/charged</t>
  </si>
  <si>
    <t>2 energy for all on charged crit</t>
  </si>
  <si>
    <t>3 energy per 3 seconds during burst</t>
  </si>
  <si>
    <t>2 energy per enemy hit with hold E</t>
  </si>
  <si>
    <t>QiQi</t>
  </si>
  <si>
    <t>2 energy per herald of frost hit</t>
  </si>
  <si>
    <t>5 energy per E crit</t>
  </si>
  <si>
    <t>3 energy on every 3rd sword rain hit</t>
  </si>
  <si>
    <t>Can have extra pillar</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</si>
</sst>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sz val="11.0"/>
      <color theme="1"/>
      <name val="Calibri"/>
    </font>
    <font>
      <b/>
      <sz val="11.0"/>
      <color theme="1"/>
      <name val="Calibri"/>
    </font>
    <font>
      <sz val="11.0"/>
      <color theme="0"/>
      <name val="Calibri"/>
    </font>
    <font>
      <b/>
      <sz val="11.0"/>
      <color theme="0"/>
      <name val="Calibri"/>
    </font>
    <font/>
    <font>
      <b/>
      <sz val="11.0"/>
      <color rgb="FF595959"/>
      <name val="Calibri"/>
    </font>
    <font>
      <sz val="11.0"/>
      <color rgb="FF595959"/>
      <name val="Calibri"/>
    </font>
    <font>
      <color theme="1"/>
      <name val="Calibri"/>
      <scheme val="minor"/>
    </font>
    <font>
      <b/>
      <sz val="12.0"/>
      <color theme="0"/>
      <name val="Calibri"/>
    </font>
    <font>
      <sz val="11.0"/>
      <color rgb="FFC5E0B3"/>
      <name val="Calibri"/>
    </font>
    <font>
      <sz val="11.0"/>
      <color rgb="FFFEF2CB"/>
      <name val="Calibri"/>
    </font>
    <font>
      <b/>
      <sz val="24.0"/>
      <color theme="1"/>
      <name val="Calibri"/>
    </font>
    <font>
      <u/>
      <sz val="11.0"/>
      <color theme="10"/>
      <name val="Calibri"/>
    </font>
    <font>
      <u/>
      <sz val="11.0"/>
      <color theme="10"/>
      <name val="Calibri"/>
    </font>
    <font>
      <u/>
      <sz val="11.0"/>
      <color theme="10"/>
      <name val="Calibri"/>
    </font>
    <font>
      <sz val="11.0"/>
      <color rgb="FFC00000"/>
      <name val="Calibri"/>
    </font>
    <font>
      <b/>
      <sz val="11.0"/>
      <color rgb="FFE2EFD9"/>
      <name val="Calibri"/>
    </font>
    <font>
      <u/>
      <sz val="11.0"/>
      <color rgb="FF8EAADB"/>
      <name val="Calibri"/>
    </font>
    <font>
      <b/>
      <sz val="14.0"/>
      <color theme="0"/>
      <name val="Calibri"/>
    </font>
  </fonts>
  <fills count="15">
    <fill>
      <patternFill patternType="none"/>
    </fill>
    <fill>
      <patternFill patternType="lightGray"/>
    </fill>
    <fill>
      <patternFill patternType="solid">
        <fgColor rgb="FF595959"/>
        <bgColor rgb="FF595959"/>
      </patternFill>
    </fill>
    <fill>
      <patternFill patternType="solid">
        <fgColor rgb="FFE2EFD9"/>
        <bgColor rgb="FFE2EFD9"/>
      </patternFill>
    </fill>
    <fill>
      <patternFill patternType="solid">
        <fgColor rgb="FF833C0B"/>
        <bgColor rgb="FF833C0B"/>
      </patternFill>
    </fill>
    <fill>
      <patternFill patternType="solid">
        <fgColor rgb="FFFBE4D5"/>
        <bgColor rgb="FFFBE4D5"/>
      </patternFill>
    </fill>
    <fill>
      <patternFill patternType="solid">
        <fgColor rgb="FF2E75B5"/>
        <bgColor rgb="FF2E75B5"/>
      </patternFill>
    </fill>
    <fill>
      <patternFill patternType="solid">
        <fgColor rgb="FFA8D08D"/>
        <bgColor rgb="FFA8D08D"/>
      </patternFill>
    </fill>
    <fill>
      <patternFill patternType="solid">
        <fgColor rgb="FFFFFF00"/>
        <bgColor rgb="FFFFFF00"/>
      </patternFill>
    </fill>
    <fill>
      <patternFill patternType="solid">
        <fgColor theme="4"/>
        <bgColor theme="4"/>
      </patternFill>
    </fill>
    <fill>
      <patternFill patternType="solid">
        <fgColor rgb="FFD9E2F3"/>
        <bgColor rgb="FFD9E2F3"/>
      </patternFill>
    </fill>
    <fill>
      <patternFill patternType="solid">
        <fgColor rgb="FFFEF2CB"/>
        <bgColor rgb="FFFEF2CB"/>
      </patternFill>
    </fill>
    <fill>
      <patternFill patternType="solid">
        <fgColor rgb="FFDEEAF6"/>
        <bgColor rgb="FFDEEAF6"/>
      </patternFill>
    </fill>
    <fill>
      <patternFill patternType="solid">
        <fgColor rgb="FFE8D9F3"/>
        <bgColor rgb="FFE8D9F3"/>
      </patternFill>
    </fill>
    <fill>
      <patternFill patternType="solid">
        <fgColor rgb="FFECECEC"/>
        <bgColor rgb="FFECECEC"/>
      </patternFill>
    </fill>
  </fills>
  <borders count="30">
    <border/>
    <border>
      <left/>
      <right/>
      <top/>
      <bottom/>
    </border>
    <border>
      <left/>
      <top/>
      <bottom/>
    </border>
    <border>
      <right/>
      <top/>
      <bottom/>
    </border>
    <border>
      <left/>
      <right/>
      <top/>
    </border>
    <border>
      <left/>
      <right/>
      <bottom/>
    </border>
    <border>
      <left style="thin">
        <color rgb="FF000000"/>
      </left>
      <right/>
      <top/>
      <bottom/>
    </border>
    <border>
      <left/>
      <right style="thin">
        <color rgb="FF000000"/>
      </right>
      <top/>
      <bottom/>
    </border>
    <border>
      <top/>
      <bottom/>
    </border>
    <border>
      <left/>
      <right/>
      <top/>
      <bottom style="thin">
        <color rgb="FF000000"/>
      </bottom>
    </border>
    <border>
      <left/>
      <right/>
      <top style="thin">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top style="thin">
        <color rgb="FF000000"/>
      </top>
      <bottom/>
    </border>
    <border>
      <top style="thin">
        <color rgb="FF000000"/>
      </top>
      <bottom/>
    </border>
    <border>
      <right/>
      <top style="thin">
        <color rgb="FF000000"/>
      </top>
      <bottom/>
    </border>
    <border>
      <left style="thin">
        <color rgb="FF000000"/>
      </left>
      <top style="thin">
        <color rgb="FF000000"/>
      </top>
      <bottom/>
    </border>
    <border>
      <left/>
      <right style="thin">
        <color rgb="FF000000"/>
      </right>
      <top style="thin">
        <color rgb="FF000000"/>
      </top>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top style="thin">
        <color rgb="FF8EAADB"/>
      </top>
      <bottom style="thin">
        <color rgb="FF8EAADB"/>
      </bottom>
    </border>
    <border>
      <left style="thin">
        <color rgb="FF000000"/>
      </left>
      <right style="thin">
        <color rgb="FF000000"/>
      </right>
      <top style="thin">
        <color rgb="FF8EAADB"/>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3" fontId="2" numFmtId="0" xfId="0" applyBorder="1" applyFont="1"/>
    <xf borderId="1" fillId="2" fontId="3" numFmtId="0" xfId="0" applyBorder="1" applyFont="1"/>
    <xf borderId="1" fillId="2" fontId="4" numFmtId="0" xfId="0" applyBorder="1" applyFont="1"/>
    <xf borderId="0" fillId="0" fontId="1" numFmtId="0" xfId="0" applyAlignment="1" applyFont="1">
      <alignment horizontal="left"/>
    </xf>
    <xf borderId="1" fillId="2" fontId="4" numFmtId="0" xfId="0" applyAlignment="1" applyBorder="1" applyFont="1">
      <alignment horizontal="left"/>
    </xf>
    <xf borderId="2" fillId="2" fontId="4" numFmtId="0" xfId="0" applyAlignment="1" applyBorder="1" applyFont="1">
      <alignment horizontal="left"/>
    </xf>
    <xf borderId="3" fillId="0" fontId="5" numFmtId="0" xfId="0" applyBorder="1" applyFont="1"/>
    <xf borderId="1" fillId="2" fontId="6" numFmtId="0" xfId="0" applyBorder="1" applyFont="1"/>
    <xf borderId="1" fillId="2" fontId="7" numFmtId="0" xfId="0" applyBorder="1" applyFont="1"/>
    <xf borderId="2" fillId="2" fontId="7" numFmtId="0" xfId="0" applyAlignment="1" applyBorder="1" applyFont="1">
      <alignment horizontal="right"/>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horizontal="center" readingOrder="0"/>
    </xf>
    <xf borderId="2" fillId="2" fontId="3" numFmtId="0" xfId="0" applyAlignment="1" applyBorder="1" applyFont="1">
      <alignment horizontal="right"/>
    </xf>
    <xf borderId="2" fillId="2" fontId="3" numFmtId="9" xfId="0" applyAlignment="1" applyBorder="1" applyFont="1" applyNumberFormat="1">
      <alignment horizontal="right"/>
    </xf>
    <xf borderId="0" fillId="0" fontId="8" numFmtId="0" xfId="0" applyAlignment="1" applyFont="1">
      <alignment readingOrder="0"/>
    </xf>
    <xf borderId="0" fillId="0" fontId="8" numFmtId="0" xfId="0" applyFont="1"/>
    <xf borderId="0" fillId="0" fontId="1" numFmtId="0" xfId="0" applyFont="1"/>
    <xf borderId="1" fillId="4" fontId="4" numFmtId="0" xfId="0" applyAlignment="1" applyBorder="1" applyFill="1" applyFont="1">
      <alignment horizontal="left"/>
    </xf>
    <xf borderId="0" fillId="0" fontId="1" numFmtId="9" xfId="0" applyAlignment="1" applyFont="1" applyNumberFormat="1">
      <alignment horizontal="right"/>
    </xf>
    <xf borderId="1" fillId="4" fontId="1" numFmtId="0" xfId="0" applyBorder="1" applyFont="1"/>
    <xf borderId="1" fillId="5" fontId="1" numFmtId="0" xfId="0" applyBorder="1" applyFill="1" applyFont="1"/>
    <xf borderId="4" fillId="5" fontId="1" numFmtId="0" xfId="0" applyAlignment="1" applyBorder="1" applyFont="1">
      <alignment horizontal="left" shrinkToFit="0" wrapText="1"/>
    </xf>
    <xf borderId="5" fillId="0" fontId="5" numFmtId="0" xfId="0" applyBorder="1" applyFont="1"/>
    <xf borderId="0" fillId="0" fontId="1" numFmtId="9" xfId="0" applyFont="1" applyNumberFormat="1"/>
    <xf borderId="1" fillId="3" fontId="1" numFmtId="0" xfId="0" applyAlignment="1" applyBorder="1" applyFont="1">
      <alignment shrinkToFit="0" vertical="top" wrapText="1"/>
    </xf>
    <xf borderId="2" fillId="2" fontId="3" numFmtId="0" xfId="0" applyBorder="1" applyFont="1"/>
    <xf borderId="2" fillId="2" fontId="4" numFmtId="0" xfId="0" applyAlignment="1" applyBorder="1" applyFont="1">
      <alignment horizontal="left" vertical="center"/>
    </xf>
    <xf borderId="1" fillId="2" fontId="4" numFmtId="0" xfId="0" applyAlignment="1" applyBorder="1" applyFont="1">
      <alignment horizontal="left" vertical="center"/>
    </xf>
    <xf borderId="2" fillId="6" fontId="9" numFmtId="9" xfId="0" applyAlignment="1" applyBorder="1" applyFill="1" applyFont="1" applyNumberFormat="1">
      <alignment horizontal="center" vertical="center"/>
    </xf>
    <xf borderId="2" fillId="2" fontId="3" numFmtId="0" xfId="0" applyAlignment="1" applyBorder="1" applyFont="1">
      <alignment horizontal="left"/>
    </xf>
    <xf borderId="1" fillId="2" fontId="3" numFmtId="0" xfId="0" applyAlignment="1" applyBorder="1" applyFont="1">
      <alignment horizontal="left"/>
    </xf>
    <xf borderId="1" fillId="7" fontId="1" numFmtId="0" xfId="0" applyBorder="1" applyFill="1" applyFont="1"/>
    <xf borderId="4" fillId="7" fontId="2" numFmtId="0" xfId="0" applyAlignment="1" applyBorder="1" applyFont="1">
      <alignment horizontal="left" shrinkToFit="0" vertical="top" wrapText="1"/>
    </xf>
    <xf borderId="2" fillId="2" fontId="10" numFmtId="0" xfId="0" applyAlignment="1" applyBorder="1" applyFont="1">
      <alignment horizontal="left"/>
    </xf>
    <xf borderId="2" fillId="2" fontId="10" numFmtId="2" xfId="0" applyAlignment="1" applyBorder="1" applyFont="1" applyNumberFormat="1">
      <alignment horizontal="right"/>
    </xf>
    <xf borderId="1" fillId="7" fontId="2" numFmtId="0" xfId="0" applyBorder="1" applyFont="1"/>
    <xf borderId="1" fillId="2" fontId="11" numFmtId="0" xfId="0" applyBorder="1" applyFont="1"/>
    <xf borderId="2" fillId="2" fontId="11" numFmtId="2" xfId="0" applyAlignment="1" applyBorder="1" applyFont="1" applyNumberFormat="1">
      <alignment horizontal="right"/>
    </xf>
    <xf borderId="2" fillId="2" fontId="11" numFmtId="0" xfId="0" applyAlignment="1" applyBorder="1" applyFont="1">
      <alignment horizontal="left"/>
    </xf>
    <xf borderId="2" fillId="2" fontId="3" numFmtId="2" xfId="0" applyAlignment="1" applyBorder="1" applyFont="1" applyNumberFormat="1">
      <alignment horizontal="right"/>
    </xf>
    <xf borderId="1" fillId="7" fontId="2" numFmtId="0" xfId="0" applyAlignment="1" applyBorder="1" applyFont="1">
      <alignment horizontal="left" shrinkToFit="0" vertical="top" wrapText="1"/>
    </xf>
    <xf borderId="2" fillId="4" fontId="10" numFmtId="0" xfId="0" applyAlignment="1" applyBorder="1" applyFont="1">
      <alignment horizontal="left"/>
    </xf>
    <xf borderId="1" fillId="4" fontId="10" numFmtId="0" xfId="0" applyAlignment="1" applyBorder="1" applyFont="1">
      <alignment horizontal="left"/>
    </xf>
    <xf borderId="2" fillId="4" fontId="10" numFmtId="2" xfId="0" applyAlignment="1" applyBorder="1" applyFont="1" applyNumberFormat="1">
      <alignment horizontal="right"/>
    </xf>
    <xf borderId="1" fillId="4" fontId="3" numFmtId="0" xfId="0" applyBorder="1" applyFont="1"/>
    <xf borderId="1" fillId="4" fontId="11" numFmtId="0" xfId="0" applyBorder="1" applyFont="1"/>
    <xf borderId="2" fillId="4" fontId="11" numFmtId="2" xfId="0" applyAlignment="1" applyBorder="1" applyFont="1" applyNumberFormat="1">
      <alignment horizontal="right"/>
    </xf>
    <xf borderId="2" fillId="4" fontId="11" numFmtId="0" xfId="0" applyAlignment="1" applyBorder="1" applyFont="1">
      <alignment horizontal="left"/>
    </xf>
    <xf borderId="1" fillId="4" fontId="11" numFmtId="0" xfId="0" applyAlignment="1" applyBorder="1" applyFont="1">
      <alignment horizontal="left"/>
    </xf>
    <xf borderId="2" fillId="4" fontId="3" numFmtId="0" xfId="0" applyAlignment="1" applyBorder="1" applyFont="1">
      <alignment horizontal="left"/>
    </xf>
    <xf borderId="1" fillId="4" fontId="3" numFmtId="0" xfId="0" applyAlignment="1" applyBorder="1" applyFont="1">
      <alignment horizontal="left"/>
    </xf>
    <xf borderId="2" fillId="4" fontId="3" numFmtId="2" xfId="0" applyAlignment="1" applyBorder="1" applyFont="1" applyNumberFormat="1">
      <alignment horizontal="right"/>
    </xf>
    <xf borderId="1" fillId="4" fontId="3" numFmtId="2" xfId="0" applyBorder="1" applyFont="1" applyNumberFormat="1"/>
    <xf borderId="1" fillId="2" fontId="3" numFmtId="1" xfId="0" applyBorder="1" applyFont="1" applyNumberFormat="1"/>
    <xf borderId="6" fillId="2" fontId="3" numFmtId="0" xfId="0" applyBorder="1" applyFont="1"/>
    <xf borderId="7" fillId="2" fontId="3" numFmtId="0" xfId="0" applyBorder="1" applyFont="1"/>
    <xf borderId="2" fillId="2" fontId="3" numFmtId="0" xfId="0" applyAlignment="1" applyBorder="1" applyFont="1">
      <alignment horizontal="center"/>
    </xf>
    <xf borderId="8" fillId="0" fontId="5" numFmtId="0" xfId="0" applyBorder="1" applyFont="1"/>
    <xf borderId="1" fillId="2" fontId="3" numFmtId="2" xfId="0" applyBorder="1" applyFont="1" applyNumberFormat="1"/>
    <xf borderId="7" fillId="2" fontId="3" numFmtId="9" xfId="0" applyBorder="1" applyFont="1" applyNumberFormat="1"/>
    <xf borderId="1" fillId="2" fontId="3" numFmtId="9" xfId="0" applyBorder="1" applyFont="1" applyNumberFormat="1"/>
    <xf borderId="9" fillId="2" fontId="3" numFmtId="0" xfId="0" applyBorder="1" applyFont="1"/>
    <xf borderId="10" fillId="2" fontId="4" numFmtId="0" xfId="0" applyAlignment="1" applyBorder="1" applyFont="1">
      <alignment horizontal="left"/>
    </xf>
    <xf borderId="10" fillId="2" fontId="4" numFmtId="9" xfId="0" applyAlignment="1" applyBorder="1" applyFont="1" applyNumberFormat="1">
      <alignment horizontal="left"/>
    </xf>
    <xf borderId="10" fillId="2" fontId="3" numFmtId="9" xfId="0" applyBorder="1" applyFont="1" applyNumberFormat="1"/>
    <xf borderId="10" fillId="2" fontId="3" numFmtId="0" xfId="0" applyBorder="1" applyFont="1"/>
    <xf borderId="10" fillId="2" fontId="1" numFmtId="0" xfId="0" applyBorder="1" applyFont="1"/>
    <xf borderId="10" fillId="7" fontId="2" numFmtId="0" xfId="0" applyBorder="1" applyFont="1"/>
    <xf borderId="1" fillId="2" fontId="4" numFmtId="9" xfId="0" applyAlignment="1" applyBorder="1" applyFont="1" applyNumberFormat="1">
      <alignment horizontal="left"/>
    </xf>
    <xf borderId="9" fillId="2" fontId="4" numFmtId="0" xfId="0" applyAlignment="1" applyBorder="1" applyFont="1">
      <alignment horizontal="left"/>
    </xf>
    <xf borderId="9" fillId="2" fontId="4" numFmtId="9" xfId="0" applyAlignment="1" applyBorder="1" applyFont="1" applyNumberFormat="1">
      <alignment horizontal="left"/>
    </xf>
    <xf borderId="9" fillId="2" fontId="3" numFmtId="9" xfId="0" applyBorder="1" applyFont="1" applyNumberFormat="1"/>
    <xf borderId="9" fillId="2" fontId="1" numFmtId="0" xfId="0" applyBorder="1" applyFont="1"/>
    <xf borderId="9" fillId="7" fontId="2" numFmtId="0" xfId="0" applyBorder="1" applyFont="1"/>
    <xf borderId="10" fillId="2" fontId="3" numFmtId="9" xfId="0" applyAlignment="1" applyBorder="1" applyFont="1" applyNumberFormat="1">
      <alignment horizontal="right"/>
    </xf>
    <xf borderId="10" fillId="2" fontId="3" numFmtId="0" xfId="0" applyAlignment="1" applyBorder="1" applyFont="1">
      <alignment horizontal="right"/>
    </xf>
    <xf borderId="9" fillId="2" fontId="3" numFmtId="9" xfId="0" applyAlignment="1" applyBorder="1" applyFont="1" applyNumberFormat="1">
      <alignment horizontal="right"/>
    </xf>
    <xf borderId="9" fillId="2" fontId="3" numFmtId="0" xfId="0" applyAlignment="1" applyBorder="1" applyFont="1">
      <alignment horizontal="right"/>
    </xf>
    <xf borderId="10" fillId="2" fontId="3" numFmtId="2" xfId="0" applyBorder="1" applyFont="1" applyNumberFormat="1"/>
    <xf borderId="9" fillId="2" fontId="3" numFmtId="2" xfId="0" applyBorder="1" applyFont="1" applyNumberFormat="1"/>
    <xf borderId="0" fillId="0" fontId="3" numFmtId="0" xfId="0" applyFont="1"/>
    <xf borderId="2" fillId="8" fontId="12" numFmtId="0" xfId="0" applyAlignment="1" applyBorder="1" applyFill="1" applyFont="1">
      <alignment horizontal="left"/>
    </xf>
    <xf borderId="1" fillId="8" fontId="12" numFmtId="0" xfId="0" applyAlignment="1" applyBorder="1" applyFont="1">
      <alignment horizontal="left"/>
    </xf>
    <xf borderId="11" fillId="0" fontId="1" numFmtId="0" xfId="0" applyAlignment="1" applyBorder="1" applyFont="1">
      <alignment horizontal="left" vertical="center"/>
    </xf>
    <xf borderId="12" fillId="0" fontId="5" numFmtId="0" xfId="0" applyBorder="1" applyFont="1"/>
    <xf borderId="13" fillId="0" fontId="5" numFmtId="0" xfId="0" applyBorder="1" applyFont="1"/>
    <xf borderId="0" fillId="0" fontId="1" numFmtId="0" xfId="0" applyAlignment="1" applyFont="1">
      <alignment horizontal="left" vertical="center"/>
    </xf>
    <xf borderId="0" fillId="0" fontId="4" numFmtId="0" xfId="0" applyAlignment="1" applyFont="1">
      <alignment horizontal="center"/>
    </xf>
    <xf borderId="11" fillId="0" fontId="13" numFmtId="0" xfId="0" applyAlignment="1" applyBorder="1" applyFont="1">
      <alignment horizontal="left" vertical="center"/>
    </xf>
    <xf borderId="11" fillId="0" fontId="14" numFmtId="0" xfId="0" applyAlignment="1" applyBorder="1" applyFont="1">
      <alignment horizontal="left"/>
    </xf>
    <xf borderId="0" fillId="0" fontId="15" numFmtId="0" xfId="0" applyAlignment="1" applyFont="1">
      <alignment horizontal="left"/>
    </xf>
    <xf borderId="14" fillId="0" fontId="1" numFmtId="0" xfId="0" applyAlignment="1" applyBorder="1" applyFont="1">
      <alignment shrinkToFit="0" wrapText="1"/>
    </xf>
    <xf borderId="11" fillId="0" fontId="1" numFmtId="0" xfId="0" applyAlignment="1" applyBorder="1" applyFont="1">
      <alignment horizontal="left" shrinkToFit="0" wrapText="1"/>
    </xf>
    <xf borderId="0" fillId="0" fontId="1" numFmtId="0" xfId="0" applyAlignment="1" applyFont="1">
      <alignment horizontal="left" shrinkToFit="0" wrapText="1"/>
    </xf>
    <xf borderId="0" fillId="0" fontId="3" numFmtId="9" xfId="0" applyFont="1" applyNumberFormat="1"/>
    <xf borderId="0" fillId="0" fontId="3" numFmtId="1" xfId="0" applyFont="1" applyNumberFormat="1"/>
    <xf borderId="14" fillId="0" fontId="1" numFmtId="0" xfId="0" applyBorder="1" applyFont="1"/>
    <xf borderId="11" fillId="0" fontId="1" numFmtId="0" xfId="0" applyAlignment="1" applyBorder="1" applyFont="1">
      <alignment horizontal="left"/>
    </xf>
    <xf borderId="0" fillId="0" fontId="16" numFmtId="0" xfId="0" applyAlignment="1" applyFont="1">
      <alignment horizontal="left"/>
    </xf>
    <xf borderId="1" fillId="2" fontId="17" numFmtId="49" xfId="0" applyAlignment="1" applyBorder="1" applyFont="1" applyNumberFormat="1">
      <alignment horizontal="center"/>
    </xf>
    <xf borderId="1" fillId="2" fontId="17" numFmtId="49" xfId="0" applyBorder="1" applyFont="1" applyNumberFormat="1"/>
    <xf borderId="1" fillId="2" fontId="3" numFmtId="49" xfId="0" applyBorder="1" applyFont="1" applyNumberFormat="1"/>
    <xf borderId="2" fillId="2" fontId="3" numFmtId="49" xfId="0" applyBorder="1" applyFont="1" applyNumberFormat="1"/>
    <xf borderId="1" fillId="2" fontId="18" numFmtId="49" xfId="0" applyBorder="1" applyFont="1" applyNumberFormat="1"/>
    <xf borderId="0" fillId="0" fontId="1" numFmtId="49" xfId="0" applyFont="1" applyNumberFormat="1"/>
    <xf borderId="0" fillId="0" fontId="3" numFmtId="49" xfId="0" applyFont="1" applyNumberFormat="1"/>
    <xf borderId="0" fillId="0" fontId="4" numFmtId="0" xfId="0" applyFont="1"/>
    <xf borderId="0" fillId="0" fontId="4" numFmtId="2" xfId="0" applyFont="1" applyNumberFormat="1"/>
    <xf borderId="0" fillId="0" fontId="4" numFmtId="9" xfId="0" applyFont="1" applyNumberFormat="1"/>
    <xf borderId="0" fillId="0" fontId="8" numFmtId="0" xfId="0" applyFont="1"/>
    <xf quotePrefix="1" borderId="0" fillId="0" fontId="1" numFmtId="0" xfId="0" applyFont="1"/>
    <xf borderId="0" fillId="0" fontId="1" numFmtId="9" xfId="0" applyFont="1" applyNumberFormat="1"/>
    <xf borderId="0" fillId="0" fontId="1" numFmtId="2" xfId="0" applyFont="1" applyNumberFormat="1"/>
    <xf borderId="0" fillId="0" fontId="1" numFmtId="0" xfId="0" applyFont="1"/>
    <xf borderId="0" fillId="0" fontId="2" numFmtId="9" xfId="0" applyFont="1" applyNumberFormat="1"/>
    <xf borderId="0" fillId="0" fontId="1" numFmtId="2" xfId="0" applyFont="1" applyNumberFormat="1"/>
    <xf borderId="0" fillId="0" fontId="1" numFmtId="0" xfId="0" applyAlignment="1" applyFont="1">
      <alignment horizontal="center" vertical="center"/>
    </xf>
    <xf borderId="15" fillId="9" fontId="4" numFmtId="0" xfId="0" applyBorder="1" applyFill="1" applyFont="1"/>
    <xf borderId="16" fillId="9" fontId="4" numFmtId="0" xfId="0" applyAlignment="1" applyBorder="1" applyFont="1">
      <alignment horizontal="center"/>
    </xf>
    <xf borderId="17" fillId="0" fontId="5" numFmtId="0" xfId="0" applyBorder="1" applyFont="1"/>
    <xf borderId="18" fillId="0" fontId="5" numFmtId="0" xfId="0" applyBorder="1" applyFont="1"/>
    <xf borderId="19" fillId="9" fontId="4" numFmtId="0" xfId="0" applyAlignment="1" applyBorder="1" applyFont="1">
      <alignment horizontal="center"/>
    </xf>
    <xf borderId="20" fillId="9" fontId="4" numFmtId="0" xfId="0" applyAlignment="1" applyBorder="1" applyFont="1">
      <alignment horizontal="center"/>
    </xf>
    <xf borderId="21" fillId="0" fontId="1" numFmtId="0" xfId="0" applyBorder="1" applyFont="1"/>
    <xf borderId="22" fillId="0" fontId="1" numFmtId="0" xfId="0" applyBorder="1" applyFont="1"/>
    <xf borderId="23" fillId="0" fontId="1" numFmtId="0" xfId="0" applyBorder="1" applyFont="1"/>
    <xf borderId="21" fillId="0" fontId="1" numFmtId="49" xfId="0" applyBorder="1" applyFont="1" applyNumberFormat="1"/>
    <xf quotePrefix="1" borderId="24" fillId="0" fontId="1" numFmtId="49" xfId="0" applyBorder="1" applyFont="1" applyNumberFormat="1"/>
    <xf quotePrefix="1" borderId="24" fillId="10" fontId="1" numFmtId="49" xfId="0" applyBorder="1" applyFill="1" applyFont="1" applyNumberFormat="1"/>
    <xf quotePrefix="1" borderId="25" fillId="10" fontId="1" numFmtId="49" xfId="0" applyBorder="1" applyFont="1" applyNumberFormat="1"/>
    <xf borderId="26" fillId="0" fontId="1" numFmtId="0" xfId="0" applyBorder="1" applyFont="1"/>
    <xf borderId="27" fillId="0" fontId="1" numFmtId="0" xfId="0" applyBorder="1" applyFont="1"/>
    <xf borderId="28" fillId="0" fontId="1" numFmtId="0" xfId="0" applyBorder="1" applyFont="1"/>
    <xf borderId="29" fillId="0" fontId="1" numFmtId="0" xfId="0" applyBorder="1" applyFont="1"/>
    <xf borderId="0" fillId="0" fontId="8" numFmtId="49" xfId="0" applyFont="1" applyNumberFormat="1"/>
    <xf borderId="0" fillId="0" fontId="2" numFmtId="0" xfId="0" applyFont="1"/>
    <xf borderId="2" fillId="2" fontId="19" numFmtId="0" xfId="0" applyAlignment="1" applyBorder="1" applyFont="1">
      <alignment horizontal="center"/>
    </xf>
    <xf borderId="1" fillId="2" fontId="3" numFmtId="0" xfId="0" applyAlignment="1" applyBorder="1" applyFont="1">
      <alignment horizontal="center"/>
    </xf>
    <xf borderId="1" fillId="11" fontId="1" numFmtId="0" xfId="0" applyBorder="1" applyFill="1" applyFont="1"/>
    <xf borderId="1" fillId="12" fontId="1" numFmtId="0" xfId="0" applyBorder="1" applyFill="1" applyFont="1"/>
    <xf borderId="1" fillId="13" fontId="1" numFmtId="0" xfId="0" applyBorder="1" applyFill="1" applyFont="1"/>
    <xf borderId="1" fillId="10" fontId="1" numFmtId="0" xfId="0" applyBorder="1" applyFont="1"/>
    <xf borderId="1" fillId="14" fontId="1" numFmtId="0" xfId="0" applyBorder="1" applyFill="1" applyFont="1"/>
    <xf borderId="0" fillId="0" fontId="2" numFmtId="0" xfId="0" applyAlignment="1" applyFont="1">
      <alignment horizontal="left"/>
    </xf>
    <xf borderId="0" fillId="0" fontId="1" numFmtId="1" xfId="0" applyFont="1" applyNumberFormat="1"/>
    <xf quotePrefix="1" borderId="0" fillId="0" fontId="1" numFmtId="0" xfId="0" applyFont="1"/>
  </cellXfs>
  <cellStyles count="1">
    <cellStyle xfId="0" name="Normal" builtinId="0"/>
  </cellStyles>
  <dxfs count="16">
    <dxf>
      <font>
        <color theme="0"/>
      </font>
      <fill>
        <patternFill patternType="solid">
          <fgColor rgb="FFC00000"/>
          <bgColor rgb="FFC00000"/>
        </patternFill>
      </fill>
      <border/>
    </dxf>
    <dxf>
      <font>
        <color rgb="FF595959"/>
      </font>
      <fill>
        <patternFill patternType="solid">
          <fgColor rgb="FF595959"/>
          <bgColor rgb="FF595959"/>
        </patternFill>
      </fill>
      <border/>
    </dxf>
    <dxf>
      <font/>
      <fill>
        <patternFill patternType="solid">
          <fgColor rgb="FFE78075"/>
          <bgColor rgb="FFE78075"/>
        </patternFill>
      </fill>
      <border/>
    </dxf>
    <dxf>
      <font>
        <color rgb="FF833C0B"/>
      </font>
      <fill>
        <patternFill patternType="solid">
          <fgColor rgb="FF833C0B"/>
          <bgColor rgb="FF833C0B"/>
        </patternFill>
      </fill>
      <border/>
    </dxf>
    <dxf>
      <font>
        <color theme="0"/>
      </font>
      <fill>
        <patternFill patternType="solid">
          <fgColor rgb="FF595959"/>
          <bgColor rgb="FF595959"/>
        </patternFill>
      </fill>
      <border/>
    </dxf>
    <dxf>
      <font>
        <color theme="1"/>
      </font>
      <fill>
        <patternFill patternType="solid">
          <fgColor rgb="FFD5B8EA"/>
          <bgColor rgb="FFD5B8EA"/>
        </patternFill>
      </fill>
      <border/>
    </dxf>
    <dxf>
      <font>
        <color theme="1"/>
      </font>
      <fill>
        <patternFill patternType="solid">
          <fgColor theme="0"/>
          <bgColor theme="0"/>
        </patternFill>
      </fill>
      <border/>
    </dxf>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ECECEC"/>
          <bgColor rgb="FFECECEC"/>
        </patternFill>
      </fill>
      <border/>
    </dxf>
    <dxf>
      <font/>
      <fill>
        <patternFill patternType="solid">
          <fgColor rgb="FFEADCF4"/>
          <bgColor rgb="FFEADCF4"/>
        </patternFill>
      </fill>
      <border/>
    </dxf>
    <dxf>
      <font/>
      <fill>
        <patternFill patternType="solid">
          <fgColor rgb="FFD9E2F3"/>
          <bgColor rgb="FFD9E2F3"/>
        </patternFill>
      </fill>
      <border/>
    </dxf>
    <dxf>
      <font/>
      <fill>
        <patternFill patternType="solid">
          <fgColor rgb="FFDEEAF6"/>
          <bgColor rgb="FFDEEAF6"/>
        </patternFill>
      </fill>
      <border/>
    </dxf>
    <dxf>
      <font/>
      <fill>
        <patternFill patternType="solid">
          <fgColor rgb="FFFBE4D5"/>
          <bgColor rgb="FFFBE4D5"/>
        </patternFill>
      </fill>
      <border/>
    </dxf>
    <dxf>
      <font/>
      <fill>
        <patternFill patternType="solid">
          <fgColor rgb="FFFEF2CB"/>
          <bgColor rgb="FFFEF2CB"/>
        </patternFill>
      </fill>
      <border/>
    </dxf>
  </dxfs>
  <tableStyles count="4">
    <tableStyle count="3" pivot="0" name="Data-style">
      <tableStyleElement dxfId="8" type="headerRow"/>
      <tableStyleElement dxfId="9" type="firstRowStripe"/>
      <tableStyleElement dxfId="9" type="secondRowStripe"/>
    </tableStyle>
    <tableStyle count="3" pivot="0" name="Enemy Particles-style">
      <tableStyleElement dxfId="8" type="headerRow"/>
      <tableStyleElement dxfId="9" type="firstRowStripe"/>
      <tableStyleElement dxfId="9" type="secondRowStripe"/>
    </tableStyle>
    <tableStyle count="3" pivot="0" name="Self-Funding-style">
      <tableStyleElement dxfId="8" type="headerRow"/>
      <tableStyleElement dxfId="9" type="firstRowStripe"/>
      <tableStyleElement dxfId="9" type="secondRowStripe"/>
    </tableStyle>
    <tableStyle count="3" pivot="0" name="Calculations-style">
      <tableStyleElement dxfId="8" type="headerRow"/>
      <tableStyleElement dxfId="9" type="firstRowStripe"/>
      <tableStyleElement dxfId="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Ability to fund own burst</a:t>
            </a:r>
          </a:p>
        </c:rich>
      </c:tx>
      <c:overlay val="0"/>
    </c:title>
    <c:plotArea>
      <c:layout/>
      <c:barChart>
        <c:barDir val="bar"/>
        <c:grouping val="stacked"/>
        <c:ser>
          <c:idx val="0"/>
          <c:order val="0"/>
          <c:tx>
            <c:v>C0</c:v>
          </c:tx>
          <c:spPr>
            <a:solidFill>
              <a:schemeClr val="accent1"/>
            </a:solidFill>
            <a:ln cmpd="sng">
              <a:solidFill>
                <a:srgbClr val="000000"/>
              </a:solidFill>
            </a:ln>
          </c:spPr>
          <c:cat>
            <c:strRef>
              <c:f>'Self-Funding'!$A$2:$A$35</c:f>
            </c:strRef>
          </c:cat>
          <c:val>
            <c:numRef>
              <c:f>'Self-Funding'!$J$2:$J$35</c:f>
              <c:numCache/>
            </c:numRef>
          </c:val>
        </c:ser>
        <c:ser>
          <c:idx val="1"/>
          <c:order val="1"/>
          <c:tx>
            <c:v>C6</c:v>
          </c:tx>
          <c:spPr>
            <a:solidFill>
              <a:schemeClr val="accent2"/>
            </a:solidFill>
            <a:ln cmpd="sng">
              <a:solidFill>
                <a:srgbClr val="000000"/>
              </a:solidFill>
            </a:ln>
          </c:spPr>
          <c:cat>
            <c:strRef>
              <c:f>'Self-Funding'!$A$2:$A$35</c:f>
            </c:strRef>
          </c:cat>
          <c:val>
            <c:numRef>
              <c:f>'Self-Funding'!$K$2:$K$35</c:f>
              <c:numCache/>
            </c:numRef>
          </c:val>
        </c:ser>
        <c:overlap val="100"/>
        <c:axId val="1004851524"/>
        <c:axId val="1936907967"/>
      </c:barChart>
      <c:catAx>
        <c:axId val="100485152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36907967"/>
      </c:catAx>
      <c:valAx>
        <c:axId val="1936907967"/>
        <c:scaling>
          <c:orientation val="minMax"/>
          <c:max val="0.6000000000000001"/>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04851524"/>
        <c:crosses val="max"/>
      </c:valAx>
    </c:plotArea>
    <c:legend>
      <c:legendPos val="b"/>
      <c:overlay val="0"/>
      <c:txPr>
        <a:bodyPr/>
        <a:lstStyle/>
        <a:p>
          <a:pPr lvl="0">
            <a:defRPr b="0" i="0" sz="900">
              <a:solidFill>
                <a:srgbClr val="1A1A1A"/>
              </a:solidFill>
              <a:latin typeface="+mn-lt"/>
            </a:defRPr>
          </a:pPr>
        </a:p>
      </c:txPr>
    </c:legend>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104775</xdr:colOff>
      <xdr:row>0</xdr:row>
      <xdr:rowOff>57150</xdr:rowOff>
    </xdr:from>
    <xdr:ext cx="5543550" cy="81534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B75" displayName="Table_1" name="Table_1" id="1">
  <tableColumns count="28">
    <tableColumn name="Character" id="1"/>
    <tableColumn name="Element" id="2"/>
    <tableColumn name="Label 1" id="3"/>
    <tableColumn name="Label 2" id="4"/>
    <tableColumn name="Label 3" id="5"/>
    <tableColumn name="Particles 1" id="6"/>
    <tableColumn name="Particles 2" id="7"/>
    <tableColumn name="Particles 3" id="8"/>
    <tableColumn name="Variance 1" id="9"/>
    <tableColumn name="Variance 2" id="10"/>
    <tableColumn name="Variance 3" id="11"/>
    <tableColumn name="Per second 1" id="12"/>
    <tableColumn name="Per second 2" id="13"/>
    <tableColumn name="Per second 3" id="14"/>
    <tableColumn name="Duration 1" id="15"/>
    <tableColumn name="Duration 2" id="16"/>
    <tableColumn name="Duration 3" id="17"/>
    <tableColumn name="Cooldown 1" id="18"/>
    <tableColumn name="Cooldown 2" id="19"/>
    <tableColumn name="Cooldown 3" id="20"/>
    <tableColumn name="Burst cooldown" id="21"/>
    <tableColumn name="Burst Energy" id="22"/>
    <tableColumn name="Burst Discount" id="23"/>
    <tableColumn name="ER" id="24"/>
    <tableColumn name="Help (flexible)" id="25"/>
    <tableColumn name="Help (fixed)" id="26"/>
    <tableColumn name="Error (fixed)" id="27"/>
    <tableColumn name="Error (flexible)" id="28"/>
  </tableColumns>
  <tableStyleInfo name="Data-style" showColumnStripes="0" showFirstColumn="1" showLastColumn="1" showRowStripes="1"/>
</table>
</file>

<file path=xl/tables/table2.xml><?xml version="1.0" encoding="utf-8"?>
<table xmlns="http://schemas.openxmlformats.org/spreadsheetml/2006/main" ref="A2:S11" displayName="Table_2" name="Table_2" id="2">
  <tableColumns count="19">
    <tableColumn name="Chamber" id="1"/>
    <tableColumn name="_Clear" id="2"/>
    <tableColumn name="_Anemo" id="3"/>
    <tableColumn name="_Cryo" id="4"/>
    <tableColumn name="_Dendro" id="5"/>
    <tableColumn name="_Electro" id="6"/>
    <tableColumn name="_Geo" id="7"/>
    <tableColumn name="_Hydro" id="8"/>
    <tableColumn name="_Pyro" id="9"/>
    <tableColumn name="Clear" id="10"/>
    <tableColumn name="Anemo" id="11"/>
    <tableColumn name="Cryo" id="12"/>
    <tableColumn name="Dendro" id="13"/>
    <tableColumn name="Electro" id="14"/>
    <tableColumn name="Geo" id="15"/>
    <tableColumn name="Hydro" id="16"/>
    <tableColumn name="Pyro" id="17"/>
    <tableColumn name="None" id="18"/>
    <tableColumn name="Description" id="19"/>
  </tableColumns>
  <tableStyleInfo name="Enemy Particles-style" showColumnStripes="0" showFirstColumn="1" showLastColumn="1" showRowStripes="1"/>
</table>
</file>

<file path=xl/tables/table3.xml><?xml version="1.0" encoding="utf-8"?>
<table xmlns="http://schemas.openxmlformats.org/spreadsheetml/2006/main" ref="A1:K35" displayName="Table_3" name="Table_3" id="3">
  <tableColumns count="11">
    <tableColumn name="Character" id="1"/>
    <tableColumn name="Press" id="2"/>
    <tableColumn name="Hold" id="3"/>
    <tableColumn name="Turret Uptime" id="4"/>
    <tableColumn name="Skill cooldown" id="5"/>
    <tableColumn name="Burst cooldown" id="6"/>
    <tableColumn name="Energy Produced" id="7"/>
    <tableColumn name="Energy Required (C0)" id="8"/>
    <tableColumn name="Energy Required (C6)" id="9"/>
    <tableColumn name="C0" id="10"/>
    <tableColumn name="C6" id="11"/>
  </tableColumns>
  <tableStyleInfo name="Self-Funding-style" showColumnStripes="0" showFirstColumn="1" showLastColumn="1" showRowStripes="1"/>
</table>
</file>

<file path=xl/tables/table4.xml><?xml version="1.0" encoding="utf-8"?>
<table xmlns="http://schemas.openxmlformats.org/spreadsheetml/2006/main" ref="A2:AB41" displayName="Table_4" name="Table_4" id="4">
  <tableColumns count="28">
    <tableColumn name="Character" id="1"/>
    <tableColumn name="Notes" id="2"/>
    <tableColumn name="Element" id="3"/>
    <tableColumn name="Field Time" id="4"/>
    <tableColumn name="E tap" id="5"/>
    <tableColumn name="E hold" id="6"/>
    <tableColumn name="Cooldown" id="7"/>
    <tableColumn name="Energy" id="8"/>
    <tableColumn name="Self particles" id="9"/>
    <tableColumn name="Self Energy" id="10"/>
    <tableColumn name="Discount" id="11"/>
    <tableColumn name="Orbs (1:30 clear)" id="12"/>
    <tableColumn name="Orbs (2:30 clear)" id="13"/>
    <tableColumn name="Orbs (5:00 clear)" id="14"/>
    <tableColumn name="Team Energy (low)" id="15"/>
    <tableColumn name="Team Energy (medium)" id="16"/>
    <tableColumn name="Team Energy (high)" id="17"/>
    <tableColumn name="Team Energy (very high)" id="18"/>
    <tableColumn name="ER (1:30 low)" id="19"/>
    <tableColumn name="ER (1:30 med)" id="20"/>
    <tableColumn name="ER (1:30 high)" id="21"/>
    <tableColumn name="ER (1:30 vhigh)" id="22"/>
    <tableColumn name="ER (2:30 low)" id="23"/>
    <tableColumn name="ER (2:30 med)" id="24"/>
    <tableColumn name="ER (2:30 high)" id="25"/>
    <tableColumn name="ER (5:00 low)" id="26"/>
    <tableColumn name="ER (5:00 med)" id="27"/>
    <tableColumn name="ER (5:00 high)" id="28"/>
  </tableColumns>
  <tableStyleInfo name="Calcula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vkmgp5n0bI9pvhUg110Aza3Emb2puLWdeoCgrxDlu4" TargetMode="External"/><Relationship Id="rId2" Type="http://schemas.openxmlformats.org/officeDocument/2006/relationships/hyperlink" Target="https://genshin-impact.fandom.com/wiki/Energ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6.14"/>
    <col customWidth="1" min="3" max="3" width="12.57"/>
    <col customWidth="1" min="4" max="4" width="1.57"/>
    <col customWidth="1" min="5" max="5" width="15.43"/>
    <col customWidth="1" min="6" max="6" width="4.14"/>
    <col customWidth="1" min="7" max="7" width="1.57"/>
    <col customWidth="1" min="8" max="8" width="15.43"/>
    <col customWidth="1" min="9" max="9" width="4.14"/>
    <col customWidth="1" min="10" max="10" width="1.57"/>
    <col customWidth="1" min="11" max="11" width="15.43"/>
    <col customWidth="1" min="12" max="12" width="4.14"/>
    <col customWidth="1" min="13" max="13" width="1.57"/>
    <col customWidth="1" min="14" max="14" width="15.43"/>
    <col customWidth="1" min="15" max="15" width="4.14"/>
    <col customWidth="1" min="16" max="17" width="3.57"/>
    <col customWidth="1" min="18" max="18" width="87.86"/>
    <col customWidth="1" min="19" max="21" width="9.86"/>
    <col customWidth="1" min="22" max="22" width="9.43"/>
    <col customWidth="1" hidden="1" min="23" max="24" width="9.86"/>
    <col customWidth="1" hidden="1" min="25" max="25" width="12.14"/>
    <col customWidth="1" min="26" max="28" width="12.14"/>
    <col customWidth="1" min="29" max="40" width="11.14"/>
    <col customWidth="1" min="41" max="45" width="8.71"/>
  </cols>
  <sheetData>
    <row r="1" ht="14.25" customHeight="1">
      <c r="A1" s="1"/>
      <c r="B1" s="1"/>
      <c r="C1" s="1"/>
      <c r="D1" s="1"/>
      <c r="E1" s="1"/>
      <c r="F1" s="1"/>
      <c r="G1" s="1"/>
      <c r="H1" s="1"/>
      <c r="I1" s="1"/>
      <c r="J1" s="1"/>
      <c r="K1" s="1"/>
      <c r="L1" s="1"/>
      <c r="M1" s="1"/>
      <c r="N1" s="1"/>
      <c r="O1" s="1"/>
      <c r="P1" s="1"/>
      <c r="Q1" s="2"/>
      <c r="R1" s="3"/>
      <c r="S1" s="1"/>
      <c r="T1" s="1"/>
      <c r="U1" s="1"/>
      <c r="V1" s="1"/>
      <c r="W1" s="1"/>
      <c r="X1" s="1"/>
      <c r="Y1" s="1"/>
      <c r="Z1" s="1"/>
      <c r="AA1" s="1"/>
      <c r="AB1" s="1"/>
      <c r="AC1" s="1"/>
      <c r="AD1" s="1"/>
      <c r="AE1" s="1"/>
      <c r="AF1" s="1"/>
      <c r="AG1" s="1"/>
      <c r="AH1" s="1"/>
      <c r="AI1" s="1"/>
      <c r="AJ1" s="1"/>
      <c r="AK1" s="1"/>
      <c r="AL1" s="1"/>
      <c r="AM1" s="1"/>
      <c r="AN1" s="1"/>
      <c r="AO1" s="4" t="s">
        <v>0</v>
      </c>
      <c r="AP1" s="4">
        <v>1.0</v>
      </c>
      <c r="AQ1" s="4"/>
      <c r="AR1" s="4" t="str">
        <f>C120</f>
        <v>1.41.1</v>
      </c>
      <c r="AS1" s="4"/>
    </row>
    <row r="2" ht="14.25" customHeight="1">
      <c r="A2" s="1"/>
      <c r="B2" s="5" t="s">
        <v>1</v>
      </c>
      <c r="C2" s="6">
        <v>90.0</v>
      </c>
      <c r="D2" s="7"/>
      <c r="E2" s="8" t="s">
        <v>2</v>
      </c>
      <c r="F2" s="9"/>
      <c r="G2" s="1"/>
      <c r="H2" s="10" t="s">
        <v>3</v>
      </c>
      <c r="I2" s="10"/>
      <c r="J2" s="11"/>
      <c r="K2" s="11"/>
      <c r="L2" s="11"/>
      <c r="M2" s="11"/>
      <c r="N2" s="12">
        <v>5.5</v>
      </c>
      <c r="O2" s="9"/>
      <c r="P2" s="1"/>
      <c r="Q2" s="2"/>
      <c r="R2" s="2" t="s">
        <v>4</v>
      </c>
      <c r="S2" s="1"/>
      <c r="T2" s="1"/>
      <c r="U2" s="1"/>
      <c r="V2" s="1"/>
      <c r="W2" s="1"/>
      <c r="X2" s="1"/>
      <c r="Y2" s="1"/>
      <c r="Z2" s="1"/>
      <c r="AA2" s="1"/>
      <c r="AB2" s="1"/>
      <c r="AC2" s="1"/>
      <c r="AD2" s="1"/>
      <c r="AE2" s="1"/>
      <c r="AF2" s="1"/>
      <c r="AG2" s="1"/>
      <c r="AH2" s="1"/>
      <c r="AI2" s="1"/>
      <c r="AJ2" s="1"/>
      <c r="AK2" s="1"/>
      <c r="AL2" s="1"/>
      <c r="AM2" s="1"/>
      <c r="AN2" s="1"/>
      <c r="AO2" s="4" t="s">
        <v>5</v>
      </c>
      <c r="AP2" s="4">
        <v>0.5</v>
      </c>
      <c r="AQ2" s="4"/>
      <c r="AR2" s="4"/>
      <c r="AS2" s="4"/>
    </row>
    <row r="3" ht="14.25" customHeight="1">
      <c r="A3" s="1"/>
      <c r="B3" s="5" t="s">
        <v>6</v>
      </c>
      <c r="C3" s="13" t="s">
        <v>7</v>
      </c>
      <c r="D3" s="7"/>
      <c r="E3" s="6">
        <v>9.0</v>
      </c>
      <c r="G3" s="1"/>
      <c r="H3" s="1"/>
      <c r="I3" s="1"/>
      <c r="J3" s="1"/>
      <c r="K3" s="1"/>
      <c r="L3" s="1"/>
      <c r="M3" s="1"/>
      <c r="N3" s="1"/>
      <c r="O3" s="1"/>
      <c r="P3" s="1"/>
      <c r="Q3" s="2"/>
      <c r="R3" s="2" t="str">
        <f t="array" ref="R3">INDEX('Enemy Particles'!$S$3:$S$11, MATCH('Energy Recharge Calculator'!C3,'Enemy Particles'!$A$3:$A$11,0))</f>
        <v>Enemies drop no particles</v>
      </c>
      <c r="S3" s="1"/>
      <c r="T3" s="1"/>
      <c r="U3" s="1"/>
      <c r="V3" s="1"/>
      <c r="W3" s="1"/>
      <c r="X3" s="1"/>
      <c r="Y3" s="1"/>
      <c r="Z3" s="1"/>
      <c r="AA3" s="1"/>
      <c r="AB3" s="1"/>
      <c r="AC3" s="1"/>
      <c r="AD3" s="1"/>
      <c r="AE3" s="1"/>
      <c r="AF3" s="1"/>
      <c r="AG3" s="1"/>
      <c r="AH3" s="1"/>
      <c r="AI3" s="1"/>
      <c r="AJ3" s="1"/>
      <c r="AK3" s="1"/>
      <c r="AL3" s="1"/>
      <c r="AM3" s="1"/>
      <c r="AN3" s="1"/>
      <c r="AO3" s="4" t="s">
        <v>8</v>
      </c>
      <c r="AP3" s="4">
        <v>0.0</v>
      </c>
      <c r="AQ3" s="4"/>
      <c r="AR3" s="4"/>
      <c r="AS3" s="4"/>
    </row>
    <row r="4" ht="14.25" customHeight="1">
      <c r="A4" s="1"/>
      <c r="B4" s="5" t="s">
        <v>9</v>
      </c>
      <c r="C4" s="14" t="s">
        <v>0</v>
      </c>
      <c r="D4" s="4"/>
      <c r="E4" s="4"/>
      <c r="F4" s="4"/>
      <c r="G4" s="1"/>
      <c r="H4" s="1"/>
      <c r="I4" s="1"/>
      <c r="J4" s="1"/>
      <c r="K4" s="1"/>
      <c r="L4" s="1"/>
      <c r="M4" s="1"/>
      <c r="N4" s="1"/>
      <c r="O4" s="1"/>
      <c r="P4" s="1"/>
      <c r="Q4" s="2"/>
      <c r="R4" s="2" t="str">
        <f>IF(C4=AO1,"Assume skills always lowroll particles and turrets produce half the expected particles.",
IF(C4=AO2,"Assume skills are more likely to lowroll particles and turrets produce 0.75x the expected particles.",
"Change this if you want to have enough ER even when you get unlucky on particle RNG."))</f>
        <v>Assume skills always lowroll particles and turrets produce half the expected particles.</v>
      </c>
      <c r="S4" s="1"/>
      <c r="T4" s="1"/>
      <c r="U4" s="1"/>
      <c r="V4" s="1"/>
      <c r="W4" s="1"/>
      <c r="X4" s="1"/>
      <c r="Y4" s="1"/>
      <c r="Z4" s="1"/>
      <c r="AA4" s="1"/>
      <c r="AB4" s="1"/>
      <c r="AC4" s="1"/>
      <c r="AD4" s="1"/>
      <c r="AE4" s="1"/>
      <c r="AF4" s="1"/>
      <c r="AG4" s="1"/>
      <c r="AH4" s="1"/>
      <c r="AI4" s="1"/>
      <c r="AJ4" s="1"/>
      <c r="AK4" s="1"/>
      <c r="AL4" s="1"/>
      <c r="AM4" s="1"/>
      <c r="AN4" s="1"/>
      <c r="AO4" s="4"/>
      <c r="AP4" s="4"/>
      <c r="AQ4" s="4"/>
      <c r="AR4" s="4"/>
      <c r="AS4" s="4"/>
    </row>
    <row r="5" ht="14.25" customHeight="1">
      <c r="A5" s="1"/>
      <c r="B5" s="5" t="s">
        <v>10</v>
      </c>
      <c r="C5" s="14" t="s">
        <v>11</v>
      </c>
      <c r="D5" s="4"/>
      <c r="E5" s="4"/>
      <c r="F5" s="4"/>
      <c r="G5" s="1"/>
      <c r="H5" s="1"/>
      <c r="I5" s="1"/>
      <c r="J5" s="1"/>
      <c r="K5" s="1"/>
      <c r="L5" s="1"/>
      <c r="M5" s="1"/>
      <c r="N5" s="1"/>
      <c r="O5" s="1"/>
      <c r="P5" s="1"/>
      <c r="Q5" s="2"/>
      <c r="R5" s="2" t="str">
        <f>IF(C5=Flexible, "Each character has a separate time between burst uses", "Every character uses skills and bursts on a fixed rotation. Change to ""Flexible"" for the classic view.")</f>
        <v>Every character uses skills and bursts on a fixed rotation. Change to "Flexible" for the classic view.</v>
      </c>
      <c r="S5" s="1"/>
      <c r="T5" s="1"/>
      <c r="U5" s="1"/>
      <c r="V5" s="1"/>
      <c r="W5" s="1"/>
      <c r="X5" s="1"/>
      <c r="Y5" s="1"/>
      <c r="Z5" s="1"/>
      <c r="AA5" s="1"/>
      <c r="AB5" s="1"/>
      <c r="AC5" s="1"/>
      <c r="AD5" s="1"/>
      <c r="AE5" s="1"/>
      <c r="AF5" s="1"/>
      <c r="AG5" s="1"/>
      <c r="AH5" s="1"/>
      <c r="AI5" s="1"/>
      <c r="AJ5" s="1"/>
      <c r="AK5" s="1"/>
      <c r="AL5" s="1"/>
      <c r="AM5" s="1"/>
      <c r="AN5" s="1"/>
      <c r="AO5" s="4" t="s">
        <v>12</v>
      </c>
      <c r="AP5" s="4"/>
      <c r="AQ5" s="4"/>
      <c r="AR5" s="4"/>
      <c r="AS5" s="4"/>
    </row>
    <row r="6" ht="14.25" customHeight="1">
      <c r="A6" s="1"/>
      <c r="B6" s="5" t="s">
        <v>13</v>
      </c>
      <c r="C6" s="6">
        <v>20.0</v>
      </c>
      <c r="D6" s="4"/>
      <c r="E6" s="4"/>
      <c r="F6" s="4"/>
      <c r="G6" s="1"/>
      <c r="H6" s="1"/>
      <c r="I6" s="1"/>
      <c r="J6" s="1"/>
      <c r="K6" s="1"/>
      <c r="L6" s="1"/>
      <c r="M6" s="1"/>
      <c r="N6" s="1"/>
      <c r="O6" s="1"/>
      <c r="P6" s="1"/>
      <c r="Q6" s="2"/>
      <c r="R6" s="2" t="str">
        <f>IF(C5=Fixed, "How long it takes you to complete one rotation", "")</f>
        <v>How long it takes you to complete one rotation</v>
      </c>
      <c r="S6" s="1"/>
      <c r="T6" s="1"/>
      <c r="U6" s="1"/>
      <c r="V6" s="1"/>
      <c r="W6" s="1"/>
      <c r="X6" s="1"/>
      <c r="Y6" s="1"/>
      <c r="Z6" s="1"/>
      <c r="AA6" s="1"/>
      <c r="AB6" s="1"/>
      <c r="AC6" s="1"/>
      <c r="AD6" s="1"/>
      <c r="AE6" s="1"/>
      <c r="AF6" s="1"/>
      <c r="AG6" s="1"/>
      <c r="AH6" s="1"/>
      <c r="AI6" s="1"/>
      <c r="AJ6" s="1"/>
      <c r="AK6" s="1"/>
      <c r="AL6" s="1"/>
      <c r="AM6" s="1"/>
      <c r="AN6" s="1"/>
      <c r="AO6" s="4" t="s">
        <v>11</v>
      </c>
      <c r="AP6" s="4"/>
      <c r="AQ6" s="4"/>
      <c r="AR6" s="4"/>
      <c r="AS6" s="4"/>
    </row>
    <row r="7" ht="14.25" customHeight="1">
      <c r="A7" s="1"/>
      <c r="B7" s="8" t="s">
        <v>14</v>
      </c>
      <c r="C7" s="9"/>
      <c r="D7" s="7"/>
      <c r="E7" s="15" t="s">
        <v>15</v>
      </c>
      <c r="G7" s="1"/>
      <c r="H7" s="15" t="s">
        <v>16</v>
      </c>
      <c r="J7" s="1"/>
      <c r="K7" s="15" t="s">
        <v>17</v>
      </c>
      <c r="M7" s="1"/>
      <c r="N7" s="15" t="s">
        <v>18</v>
      </c>
      <c r="P7" s="1"/>
      <c r="Q7" s="2"/>
      <c r="R7" s="2"/>
      <c r="S7" s="1"/>
      <c r="T7" s="1"/>
      <c r="U7" s="1"/>
      <c r="V7" s="1"/>
      <c r="W7" s="1"/>
      <c r="X7" s="1"/>
      <c r="Y7" s="1"/>
      <c r="Z7" s="1"/>
      <c r="AA7" s="1"/>
      <c r="AB7" s="1"/>
      <c r="AC7" s="1"/>
      <c r="AD7" s="1"/>
      <c r="AE7" s="1"/>
      <c r="AF7" s="1"/>
      <c r="AG7" s="1"/>
      <c r="AH7" s="1"/>
      <c r="AI7" s="1"/>
      <c r="AJ7" s="1"/>
      <c r="AK7" s="1"/>
      <c r="AL7" s="1"/>
      <c r="AM7" s="1"/>
      <c r="AN7" s="1"/>
      <c r="AO7" s="4" t="s">
        <v>19</v>
      </c>
      <c r="AP7" s="4"/>
      <c r="AQ7" s="4"/>
      <c r="AR7" s="4"/>
      <c r="AS7" s="4"/>
    </row>
    <row r="8" ht="14.25" customHeight="1">
      <c r="A8" s="1"/>
      <c r="B8" s="8" t="s">
        <v>20</v>
      </c>
      <c r="C8" s="9"/>
      <c r="D8" s="7"/>
      <c r="E8" s="16" t="str">
        <f t="array" ref="E8">ROUND(INDEX(Data!$R$2:$T$75,E$60,E$61),2) &amp; IF(F$13&gt;0," / " &amp; ROUND(INDEX(Data!$R$2:$T$75,E$60,E$62),2),"")</f>
        <v>18</v>
      </c>
      <c r="F8" s="9"/>
      <c r="G8" s="4"/>
      <c r="H8" s="16" t="str">
        <f t="array" ref="H8">ROUND(INDEX(Data!$R$2:$T$75,H$60,H$61),2) &amp; IF(I$13&gt;0," / " &amp; ROUND(INDEX(Data!$R$2:$T$75,H$60,H$62),2),"")</f>
        <v>25</v>
      </c>
      <c r="I8" s="9"/>
      <c r="J8" s="4"/>
      <c r="K8" s="16" t="str">
        <f t="array" ref="K8">ROUND(INDEX(Data!$R$2:$T$75,K$60,K$61),2) &amp; IF(L$13&gt;0," / " &amp; ROUND(INDEX(Data!$R$2:$T$75,K$60,K$62),2),"")</f>
        <v>15</v>
      </c>
      <c r="L8" s="9"/>
      <c r="M8" s="4"/>
      <c r="N8" s="16" t="str">
        <f t="array" ref="N8">ROUND(INDEX(Data!$R$2:$T$75,N$60,N$61),2) &amp; IF(O$13&gt;0," / " &amp; ROUND(INDEX(Data!$R$2:$T$75,N$60,N$62),2),"")</f>
        <v>10</v>
      </c>
      <c r="O8" s="9"/>
      <c r="P8" s="1"/>
      <c r="Q8" s="2"/>
      <c r="R8" s="2" t="s">
        <v>21</v>
      </c>
      <c r="S8" s="1"/>
      <c r="T8" s="1"/>
      <c r="U8" s="1"/>
      <c r="V8" s="1"/>
      <c r="W8" s="1"/>
      <c r="X8" s="1"/>
      <c r="Y8" s="1"/>
      <c r="Z8" s="1"/>
      <c r="AA8" s="1"/>
      <c r="AB8" s="1"/>
      <c r="AC8" s="1"/>
      <c r="AD8" s="1"/>
      <c r="AE8" s="1"/>
      <c r="AF8" s="1"/>
      <c r="AG8" s="1"/>
      <c r="AH8" s="1"/>
      <c r="AI8" s="1"/>
      <c r="AJ8" s="1"/>
      <c r="AK8" s="1"/>
      <c r="AL8" s="1"/>
      <c r="AM8" s="1"/>
      <c r="AN8" s="1"/>
      <c r="AO8" s="4" t="s">
        <v>22</v>
      </c>
      <c r="AP8" s="4"/>
      <c r="AQ8" s="4"/>
      <c r="AR8" s="4"/>
      <c r="AS8" s="4"/>
    </row>
    <row r="9" ht="14.25" customHeight="1">
      <c r="A9" s="1"/>
      <c r="B9" s="8" t="s">
        <v>23</v>
      </c>
      <c r="C9" s="9"/>
      <c r="D9" s="7"/>
      <c r="E9" s="16" t="str">
        <f t="array" ref="E9">ROUND(INDEX(Data!$F$2:$H$75,E$60,E$61) * (1-E$65),2) &amp; IF(F$13&gt;0," / " &amp; ROUND(INDEX(Data!$F$2:$H$75,E$60,E$62) * (1-E$66),2),"")</f>
        <v>6</v>
      </c>
      <c r="F9" s="9"/>
      <c r="G9" s="4"/>
      <c r="H9" s="16" t="str">
        <f t="array" ref="H9">ROUND(INDEX(Data!$F$2:$H$75,H$60,H$61) * (1-H$65),2) &amp; IF(I$13&gt;0," / " &amp; ROUND(INDEX(Data!$F$2:$H$75,H$60,H$62) * (1-H$66),2),"")</f>
        <v>0</v>
      </c>
      <c r="I9" s="9"/>
      <c r="J9" s="4"/>
      <c r="K9" s="16" t="str">
        <f t="array" ref="K9">ROUND(INDEX(Data!$F$2:$H$75,K$60,K$61) * (1-K$65),2) &amp; IF(L$13&gt;0," / " &amp; ROUND(INDEX(Data!$F$2:$H$75,K$60,K$62) * (1-K$66),2),"")</f>
        <v>4</v>
      </c>
      <c r="L9" s="9"/>
      <c r="M9" s="4"/>
      <c r="N9" s="16" t="str">
        <f t="array" ref="N9">ROUND(INDEX(Data!$F$2:$H$75,N$60,N$61) * (1-N$65),2) &amp; IF(O$13&gt;0," / " &amp; ROUND(INDEX(Data!$F$2:$H$75,N$60,N$62) * (1-N$66),2),"")</f>
        <v>3</v>
      </c>
      <c r="O9" s="9"/>
      <c r="P9" s="1"/>
      <c r="Q9" s="2"/>
      <c r="R9" s="2" t="s">
        <v>24</v>
      </c>
      <c r="S9" s="1"/>
      <c r="T9" s="1"/>
      <c r="U9" s="1"/>
      <c r="V9" s="1"/>
      <c r="W9" s="1"/>
      <c r="X9" s="1"/>
      <c r="Y9" s="1"/>
      <c r="Z9" s="1"/>
      <c r="AA9" s="1"/>
      <c r="AB9" s="1"/>
      <c r="AC9" s="1"/>
      <c r="AD9" s="1"/>
      <c r="AE9" s="1"/>
      <c r="AF9" s="1"/>
      <c r="AG9" s="1"/>
      <c r="AH9" s="1"/>
      <c r="AI9" s="1"/>
      <c r="AJ9" s="1"/>
      <c r="AK9" s="1"/>
      <c r="AL9" s="1"/>
      <c r="AM9" s="1"/>
      <c r="AN9" s="1"/>
      <c r="AO9" s="4" t="s">
        <v>25</v>
      </c>
      <c r="AP9" s="4"/>
      <c r="AQ9" s="4"/>
      <c r="AR9" s="4"/>
      <c r="AS9" s="4"/>
    </row>
    <row r="10" ht="14.25" customHeight="1">
      <c r="A10" s="1"/>
      <c r="B10" s="8" t="s">
        <v>26</v>
      </c>
      <c r="C10" s="9"/>
      <c r="D10" s="7"/>
      <c r="E10" s="16">
        <f>IF(E11&gt;0,(IF(E78,E80,0)+IF(E79,E81,0))/E11,0)</f>
        <v>0</v>
      </c>
      <c r="F10" s="9"/>
      <c r="G10" s="4"/>
      <c r="H10" s="16">
        <f>IF(H11&gt;0,(IF(H78,H80,0)+IF(H79,H81,0))/H11,0)</f>
        <v>0.335</v>
      </c>
      <c r="I10" s="9"/>
      <c r="J10" s="4"/>
      <c r="K10" s="16">
        <f>IF(K11&gt;0,(IF(K78,K80,0)+IF(K79,K81,0))/K11,0)</f>
        <v>0</v>
      </c>
      <c r="L10" s="9"/>
      <c r="M10" s="4"/>
      <c r="N10" s="16">
        <f>IF(N11&gt;0,(IF(N78,N80,0)+IF(N79,N81,0))/N11,0)</f>
        <v>0</v>
      </c>
      <c r="O10" s="9"/>
      <c r="P10" s="1"/>
      <c r="Q10" s="2"/>
      <c r="R10" s="2" t="s">
        <v>27</v>
      </c>
      <c r="S10" s="1"/>
      <c r="T10" s="1"/>
      <c r="U10" s="1"/>
      <c r="V10" s="1"/>
      <c r="W10" s="1"/>
      <c r="X10" s="1"/>
      <c r="Y10" s="1"/>
      <c r="Z10" s="1"/>
      <c r="AA10" s="1"/>
      <c r="AB10" s="1"/>
      <c r="AC10" s="1"/>
      <c r="AD10" s="1"/>
      <c r="AE10" s="1"/>
      <c r="AF10" s="1"/>
      <c r="AG10" s="1"/>
      <c r="AH10" s="1"/>
      <c r="AI10" s="1"/>
      <c r="AJ10" s="1"/>
      <c r="AK10" s="1"/>
      <c r="AL10" s="1"/>
      <c r="AM10" s="1"/>
      <c r="AN10" s="1"/>
      <c r="AO10" s="4" t="s">
        <v>28</v>
      </c>
      <c r="AP10" s="4"/>
      <c r="AQ10" s="4"/>
      <c r="AR10" s="4"/>
      <c r="AS10" s="4"/>
    </row>
    <row r="11" ht="14.25" customHeight="1">
      <c r="A11" s="1"/>
      <c r="B11" s="7" t="s">
        <v>29</v>
      </c>
      <c r="C11" s="7"/>
      <c r="D11" s="7"/>
      <c r="E11" s="17">
        <f>(E$69+E$70)/E$73</f>
        <v>0</v>
      </c>
      <c r="F11" s="9"/>
      <c r="G11" s="4"/>
      <c r="H11" s="17">
        <f>(H$69+H$70)/H$73</f>
        <v>1</v>
      </c>
      <c r="I11" s="9"/>
      <c r="J11" s="4"/>
      <c r="K11" s="17">
        <f>(K$69+K$70)/K$73</f>
        <v>0</v>
      </c>
      <c r="L11" s="9"/>
      <c r="M11" s="4"/>
      <c r="N11" s="17">
        <f>(N$69+N$70)/N$73</f>
        <v>0</v>
      </c>
      <c r="O11" s="9"/>
      <c r="P11" s="1"/>
      <c r="Q11" s="2"/>
      <c r="R11" s="2"/>
      <c r="S11" s="1"/>
      <c r="T11" s="1"/>
      <c r="U11" s="1"/>
      <c r="V11" s="1"/>
      <c r="W11" s="1"/>
      <c r="X11" s="1"/>
      <c r="Y11" s="1"/>
      <c r="Z11" s="1"/>
      <c r="AA11" s="1"/>
      <c r="AB11" s="1"/>
      <c r="AC11" s="1"/>
      <c r="AD11" s="1"/>
      <c r="AE11" s="1"/>
      <c r="AF11" s="1"/>
      <c r="AG11" s="1"/>
      <c r="AH11" s="1"/>
      <c r="AI11" s="1"/>
      <c r="AJ11" s="1"/>
      <c r="AK11" s="1"/>
      <c r="AL11" s="1"/>
      <c r="AM11" s="1"/>
      <c r="AN11" s="1"/>
      <c r="AO11" s="4"/>
      <c r="AP11" s="4"/>
      <c r="AQ11" s="4"/>
      <c r="AR11" s="4"/>
      <c r="AS11" s="4"/>
    </row>
    <row r="12" ht="14.25" customHeight="1">
      <c r="A12" s="1"/>
      <c r="B12" s="8" t="str">
        <f>"Skill uses per " &amp; IF(RotationMode=Flexible, "burst", "rotation") &amp; " (primary type)"</f>
        <v>Skill uses per rotation (primary type)</v>
      </c>
      <c r="C12" s="9"/>
      <c r="D12" s="7"/>
      <c r="E12" s="18" t="s">
        <v>30</v>
      </c>
      <c r="F12" s="19">
        <v>2.0</v>
      </c>
      <c r="G12" s="1"/>
      <c r="H12" s="18" t="s">
        <v>31</v>
      </c>
      <c r="I12" s="19">
        <v>2.0</v>
      </c>
      <c r="J12" s="1"/>
      <c r="K12" s="18" t="s">
        <v>19</v>
      </c>
      <c r="L12" s="19">
        <v>2.0</v>
      </c>
      <c r="M12" s="1"/>
      <c r="N12" s="19" t="s">
        <v>19</v>
      </c>
      <c r="O12" s="19">
        <v>2.0</v>
      </c>
      <c r="P12" s="1"/>
      <c r="Q12" s="2"/>
      <c r="R12" s="2" t="s">
        <v>32</v>
      </c>
      <c r="S12" s="1"/>
      <c r="T12" s="1"/>
      <c r="U12" s="1"/>
      <c r="V12" s="1"/>
      <c r="W12" s="1"/>
      <c r="X12" s="1"/>
      <c r="Y12" s="1"/>
      <c r="Z12" s="1"/>
      <c r="AA12" s="1"/>
      <c r="AB12" s="1"/>
      <c r="AC12" s="1"/>
      <c r="AD12" s="1"/>
      <c r="AE12" s="1"/>
      <c r="AF12" s="1"/>
      <c r="AG12" s="1"/>
      <c r="AH12" s="1"/>
      <c r="AI12" s="1"/>
      <c r="AJ12" s="1"/>
      <c r="AK12" s="1"/>
      <c r="AL12" s="1"/>
      <c r="AM12" s="1"/>
      <c r="AN12" s="1"/>
      <c r="AO12" s="4" t="str">
        <f>IF(OR(E$63&gt;0,E$28&gt;0),$H$7,"")</f>
        <v>Fischl</v>
      </c>
      <c r="AP12" s="4" t="str">
        <f>IF(OR(H$63&gt;0,H$28&gt;0),$E$7,"")</f>
        <v/>
      </c>
      <c r="AQ12" s="4" t="str">
        <f>IF(OR(K$63&gt;0,K$28&gt;0),$E$7,"")</f>
        <v>Alhaitham</v>
      </c>
      <c r="AR12" s="4" t="str">
        <f>IF(OR(N$63&gt;0,N$28&gt;0),$E$7,"")</f>
        <v>Alhaitham</v>
      </c>
      <c r="AS12" s="4"/>
    </row>
    <row r="13" ht="14.25" customHeight="1">
      <c r="A13" s="1"/>
      <c r="B13" s="8" t="str">
        <f>"Skill uses per " &amp; IF(RotationMode=Flexible, "burst", "rotation") &amp; " (secondary type)"</f>
        <v>Skill uses per rotation (secondary type)</v>
      </c>
      <c r="C13" s="9"/>
      <c r="D13" s="7"/>
      <c r="E13" s="19"/>
      <c r="F13" s="19"/>
      <c r="G13" s="1"/>
      <c r="H13" s="18"/>
      <c r="I13" s="19"/>
      <c r="J13" s="1"/>
      <c r="K13" s="19"/>
      <c r="L13" s="19"/>
      <c r="M13" s="1"/>
      <c r="N13" s="19"/>
      <c r="O13" s="19"/>
      <c r="P13" s="1"/>
      <c r="Q13" s="2"/>
      <c r="R13" s="2" t="s">
        <v>33</v>
      </c>
      <c r="S13" s="1"/>
      <c r="T13" s="1"/>
      <c r="U13" s="1"/>
      <c r="V13" s="1"/>
      <c r="W13" s="1"/>
      <c r="X13" s="1"/>
      <c r="Y13" s="1"/>
      <c r="Z13" s="1"/>
      <c r="AA13" s="1"/>
      <c r="AB13" s="1"/>
      <c r="AC13" s="1"/>
      <c r="AD13" s="1"/>
      <c r="AE13" s="1"/>
      <c r="AF13" s="1"/>
      <c r="AG13" s="1"/>
      <c r="AH13" s="1"/>
      <c r="AI13" s="1"/>
      <c r="AJ13" s="1"/>
      <c r="AK13" s="1"/>
      <c r="AL13" s="1"/>
      <c r="AM13" s="1"/>
      <c r="AN13" s="1"/>
      <c r="AO13" s="4" t="str">
        <f>IF(OR(E$63&gt;0,E$28&gt;0),$K$7,"")</f>
        <v>Sucrose</v>
      </c>
      <c r="AP13" s="4" t="str">
        <f>IF(OR(H$63&gt;0,H$28&gt;0),$K$7,"")</f>
        <v/>
      </c>
      <c r="AQ13" s="4" t="str">
        <f>IF(OR(K$63&gt;0,K$28&gt;0),$H$7,"")</f>
        <v>Fischl</v>
      </c>
      <c r="AR13" s="4" t="str">
        <f>IF(OR(N$63&gt;0,N$28&gt;0),$H$7,"")</f>
        <v>Fischl</v>
      </c>
      <c r="AS13" s="4"/>
    </row>
    <row r="14" ht="14.25" customHeight="1">
      <c r="A14" s="1"/>
      <c r="B14" s="8" t="s">
        <v>34</v>
      </c>
      <c r="C14" s="9"/>
      <c r="D14" s="7"/>
      <c r="E14" s="20"/>
      <c r="G14" s="1"/>
      <c r="H14" s="20"/>
      <c r="J14" s="1"/>
      <c r="K14" s="20"/>
      <c r="M14" s="1"/>
      <c r="N14" s="20"/>
      <c r="P14" s="1"/>
      <c r="Q14" s="2"/>
      <c r="R14" s="2" t="s">
        <v>35</v>
      </c>
      <c r="S14" s="1"/>
      <c r="T14" s="1"/>
      <c r="U14" s="1"/>
      <c r="V14" s="1"/>
      <c r="W14" s="1"/>
      <c r="X14" s="1"/>
      <c r="Y14" s="1"/>
      <c r="Z14" s="1"/>
      <c r="AA14" s="1"/>
      <c r="AB14" s="1"/>
      <c r="AC14" s="1"/>
      <c r="AD14" s="1"/>
      <c r="AE14" s="1"/>
      <c r="AF14" s="1"/>
      <c r="AG14" s="1"/>
      <c r="AH14" s="1"/>
      <c r="AI14" s="1"/>
      <c r="AJ14" s="1"/>
      <c r="AK14" s="1"/>
      <c r="AL14" s="1"/>
      <c r="AM14" s="1"/>
      <c r="AN14" s="1"/>
      <c r="AO14" s="4" t="str">
        <f>IF(OR(E$63&gt;0,E$28&gt;0),$N$7,"")</f>
        <v>Baizhu</v>
      </c>
      <c r="AP14" s="4" t="str">
        <f>IF(OR(H$63&gt;0,H$28&gt;0),$N$7,"")</f>
        <v/>
      </c>
      <c r="AQ14" s="4" t="str">
        <f>IF(OR(K$63&gt;0,K$28&gt;0),$N$7,"")</f>
        <v>Baizhu</v>
      </c>
      <c r="AR14" s="4" t="str">
        <f>IF(OR(N$63&gt;0,N$28&gt;0),$K$7,"")</f>
        <v>Sucrose</v>
      </c>
      <c r="AS14" s="4"/>
    </row>
    <row r="15" ht="14.25" hidden="1" customHeight="1">
      <c r="A15" s="1"/>
      <c r="B15" s="21" t="str">
        <f t="shared" ref="B15:B18" si="1"> "Feed primary skill particles to " &amp; S61</f>
        <v>Feed primary skill particles to Alhaitham</v>
      </c>
      <c r="C15" s="21"/>
      <c r="D15" s="21"/>
      <c r="E15" s="22"/>
      <c r="G15" s="23"/>
      <c r="H15" s="22"/>
      <c r="J15" s="23"/>
      <c r="K15" s="22"/>
      <c r="M15" s="23"/>
      <c r="N15" s="22"/>
      <c r="P15" s="23"/>
      <c r="Q15" s="24"/>
      <c r="R15" s="25" t="s">
        <v>36</v>
      </c>
      <c r="S15" s="1"/>
      <c r="T15" s="1"/>
      <c r="U15" s="1"/>
      <c r="V15" s="1"/>
      <c r="W15" s="1"/>
      <c r="X15" s="1"/>
      <c r="Y15" s="1"/>
      <c r="Z15" s="1"/>
      <c r="AA15" s="1"/>
      <c r="AB15" s="1"/>
      <c r="AC15" s="1"/>
      <c r="AD15" s="1"/>
      <c r="AE15" s="1"/>
      <c r="AF15" s="1"/>
      <c r="AG15" s="1"/>
      <c r="AH15" s="1"/>
      <c r="AI15" s="1"/>
      <c r="AJ15" s="1"/>
      <c r="AK15" s="1"/>
      <c r="AL15" s="1"/>
      <c r="AM15" s="1"/>
      <c r="AN15" s="1"/>
      <c r="AO15" s="4"/>
      <c r="AP15" s="4"/>
      <c r="AQ15" s="4"/>
      <c r="AR15" s="4"/>
      <c r="AS15" s="4"/>
    </row>
    <row r="16" ht="14.25" hidden="1" customHeight="1">
      <c r="A16" s="1"/>
      <c r="B16" s="21" t="str">
        <f t="shared" si="1"/>
        <v>Feed primary skill particles to Fischl</v>
      </c>
      <c r="C16" s="21"/>
      <c r="D16" s="21"/>
      <c r="E16" s="22"/>
      <c r="G16" s="23"/>
      <c r="H16" s="22"/>
      <c r="J16" s="23"/>
      <c r="K16" s="22"/>
      <c r="M16" s="23"/>
      <c r="N16" s="22"/>
      <c r="P16" s="23"/>
      <c r="Q16" s="24"/>
      <c r="R16" s="26"/>
      <c r="S16" s="1"/>
      <c r="T16" s="1"/>
      <c r="U16" s="1"/>
      <c r="V16" s="1"/>
      <c r="W16" s="1"/>
      <c r="X16" s="1"/>
      <c r="Y16" s="1"/>
      <c r="Z16" s="1"/>
      <c r="AA16" s="1"/>
      <c r="AB16" s="1"/>
      <c r="AC16" s="1"/>
      <c r="AD16" s="1"/>
      <c r="AE16" s="1"/>
      <c r="AF16" s="1"/>
      <c r="AG16" s="1"/>
      <c r="AH16" s="1"/>
      <c r="AI16" s="1"/>
      <c r="AJ16" s="1"/>
      <c r="AK16" s="1"/>
      <c r="AL16" s="1"/>
      <c r="AM16" s="1"/>
      <c r="AN16" s="1"/>
      <c r="AO16" s="4"/>
      <c r="AP16" s="4"/>
      <c r="AQ16" s="4"/>
      <c r="AR16" s="4"/>
      <c r="AS16" s="4"/>
    </row>
    <row r="17" ht="14.25" hidden="1" customHeight="1">
      <c r="A17" s="1"/>
      <c r="B17" s="21" t="str">
        <f t="shared" si="1"/>
        <v>Feed primary skill particles to Sucrose</v>
      </c>
      <c r="C17" s="21"/>
      <c r="D17" s="21"/>
      <c r="E17" s="22"/>
      <c r="G17" s="23"/>
      <c r="H17" s="22"/>
      <c r="J17" s="23"/>
      <c r="K17" s="22"/>
      <c r="M17" s="23"/>
      <c r="N17" s="22"/>
      <c r="P17" s="23"/>
      <c r="Q17" s="24"/>
      <c r="R17" s="24"/>
      <c r="S17" s="1"/>
      <c r="T17" s="1"/>
      <c r="U17" s="1"/>
      <c r="V17" s="1"/>
      <c r="W17" s="1"/>
      <c r="X17" s="1"/>
      <c r="Y17" s="1"/>
      <c r="Z17" s="1"/>
      <c r="AA17" s="1"/>
      <c r="AB17" s="1"/>
      <c r="AC17" s="1"/>
      <c r="AD17" s="1"/>
      <c r="AE17" s="1"/>
      <c r="AF17" s="1"/>
      <c r="AG17" s="1"/>
      <c r="AH17" s="1"/>
      <c r="AI17" s="1"/>
      <c r="AJ17" s="1"/>
      <c r="AK17" s="1"/>
      <c r="AL17" s="1"/>
      <c r="AM17" s="1"/>
      <c r="AN17" s="1"/>
      <c r="AO17" s="4"/>
      <c r="AP17" s="4"/>
      <c r="AQ17" s="4"/>
      <c r="AR17" s="4"/>
      <c r="AS17" s="4"/>
    </row>
    <row r="18" ht="14.25" hidden="1" customHeight="1">
      <c r="A18" s="1"/>
      <c r="B18" s="21" t="str">
        <f t="shared" si="1"/>
        <v>Feed primary skill particles to Baizhu</v>
      </c>
      <c r="C18" s="21"/>
      <c r="D18" s="21"/>
      <c r="E18" s="22"/>
      <c r="G18" s="23"/>
      <c r="H18" s="22"/>
      <c r="J18" s="23"/>
      <c r="K18" s="22"/>
      <c r="M18" s="23"/>
      <c r="N18" s="22"/>
      <c r="P18" s="23"/>
      <c r="Q18" s="24"/>
      <c r="R18" s="24"/>
      <c r="S18" s="1"/>
      <c r="T18" s="1"/>
      <c r="U18" s="1"/>
      <c r="V18" s="1"/>
      <c r="W18" s="1"/>
      <c r="X18" s="1"/>
      <c r="Y18" s="1"/>
      <c r="Z18" s="1"/>
      <c r="AA18" s="1"/>
      <c r="AB18" s="1"/>
      <c r="AC18" s="1"/>
      <c r="AD18" s="1"/>
      <c r="AE18" s="1"/>
      <c r="AF18" s="1"/>
      <c r="AG18" s="1"/>
      <c r="AH18" s="1"/>
      <c r="AI18" s="1"/>
      <c r="AJ18" s="1"/>
      <c r="AK18" s="1"/>
      <c r="AL18" s="1"/>
      <c r="AM18" s="1"/>
      <c r="AN18" s="1"/>
      <c r="AO18" s="4"/>
      <c r="AP18" s="4"/>
      <c r="AQ18" s="4"/>
      <c r="AR18" s="4"/>
      <c r="AS18" s="4"/>
    </row>
    <row r="19" ht="14.25" hidden="1" customHeight="1">
      <c r="A19" s="1"/>
      <c r="B19" s="21" t="str">
        <f t="shared" ref="B19:B22" si="2"> "Feed secondary skill particles to " &amp; S61</f>
        <v>Feed secondary skill particles to Alhaitham</v>
      </c>
      <c r="C19" s="21"/>
      <c r="D19" s="21"/>
      <c r="E19" s="22"/>
      <c r="G19" s="23"/>
      <c r="H19" s="22"/>
      <c r="J19" s="23"/>
      <c r="K19" s="22"/>
      <c r="M19" s="23"/>
      <c r="N19" s="22"/>
      <c r="P19" s="23"/>
      <c r="Q19" s="24"/>
      <c r="R19" s="24"/>
      <c r="S19" s="1"/>
      <c r="T19" s="1"/>
      <c r="U19" s="1"/>
      <c r="V19" s="1"/>
      <c r="W19" s="1"/>
      <c r="X19" s="1"/>
      <c r="Y19" s="1"/>
      <c r="Z19" s="1"/>
      <c r="AA19" s="1"/>
      <c r="AB19" s="1"/>
      <c r="AC19" s="1"/>
      <c r="AD19" s="1"/>
      <c r="AE19" s="1"/>
      <c r="AF19" s="1"/>
      <c r="AG19" s="1"/>
      <c r="AH19" s="1"/>
      <c r="AI19" s="1"/>
      <c r="AJ19" s="1"/>
      <c r="AK19" s="1"/>
      <c r="AL19" s="1"/>
      <c r="AM19" s="1"/>
      <c r="AN19" s="1"/>
      <c r="AO19" s="4"/>
      <c r="AP19" s="4"/>
      <c r="AQ19" s="4"/>
      <c r="AR19" s="4"/>
      <c r="AS19" s="4"/>
    </row>
    <row r="20" ht="14.25" hidden="1" customHeight="1">
      <c r="A20" s="1"/>
      <c r="B20" s="21" t="str">
        <f t="shared" si="2"/>
        <v>Feed secondary skill particles to Fischl</v>
      </c>
      <c r="C20" s="21"/>
      <c r="D20" s="21"/>
      <c r="E20" s="22"/>
      <c r="G20" s="23"/>
      <c r="H20" s="22"/>
      <c r="J20" s="23"/>
      <c r="K20" s="22"/>
      <c r="M20" s="23"/>
      <c r="N20" s="22"/>
      <c r="P20" s="23"/>
      <c r="Q20" s="24"/>
      <c r="R20" s="24"/>
      <c r="S20" s="1"/>
      <c r="T20" s="1"/>
      <c r="U20" s="1"/>
      <c r="V20" s="1"/>
      <c r="W20" s="1"/>
      <c r="X20" s="1"/>
      <c r="Y20" s="1"/>
      <c r="Z20" s="1"/>
      <c r="AA20" s="1"/>
      <c r="AB20" s="1"/>
      <c r="AC20" s="1"/>
      <c r="AD20" s="1"/>
      <c r="AE20" s="1"/>
      <c r="AF20" s="1"/>
      <c r="AG20" s="1"/>
      <c r="AH20" s="1"/>
      <c r="AI20" s="1"/>
      <c r="AJ20" s="1"/>
      <c r="AK20" s="1"/>
      <c r="AL20" s="1"/>
      <c r="AM20" s="1"/>
      <c r="AN20" s="1"/>
      <c r="AO20" s="4"/>
      <c r="AP20" s="4"/>
      <c r="AQ20" s="4"/>
      <c r="AR20" s="4"/>
      <c r="AS20" s="4"/>
    </row>
    <row r="21" ht="14.25" hidden="1" customHeight="1">
      <c r="A21" s="1"/>
      <c r="B21" s="21" t="str">
        <f t="shared" si="2"/>
        <v>Feed secondary skill particles to Sucrose</v>
      </c>
      <c r="C21" s="21"/>
      <c r="D21" s="21"/>
      <c r="E21" s="22"/>
      <c r="G21" s="23"/>
      <c r="H21" s="22"/>
      <c r="J21" s="23"/>
      <c r="K21" s="22"/>
      <c r="M21" s="23"/>
      <c r="N21" s="22"/>
      <c r="P21" s="23"/>
      <c r="Q21" s="24"/>
      <c r="R21" s="24"/>
      <c r="S21" s="1"/>
      <c r="T21" s="1"/>
      <c r="U21" s="1"/>
      <c r="V21" s="1"/>
      <c r="W21" s="1"/>
      <c r="X21" s="1"/>
      <c r="Y21" s="1"/>
      <c r="Z21" s="1"/>
      <c r="AA21" s="1"/>
      <c r="AB21" s="1"/>
      <c r="AC21" s="1"/>
      <c r="AD21" s="1"/>
      <c r="AE21" s="1"/>
      <c r="AF21" s="1"/>
      <c r="AG21" s="1"/>
      <c r="AH21" s="1"/>
      <c r="AI21" s="1"/>
      <c r="AJ21" s="1"/>
      <c r="AK21" s="1"/>
      <c r="AL21" s="1"/>
      <c r="AM21" s="1"/>
      <c r="AN21" s="1"/>
      <c r="AO21" s="4"/>
      <c r="AP21" s="4"/>
      <c r="AQ21" s="4"/>
      <c r="AR21" s="4"/>
      <c r="AS21" s="4"/>
    </row>
    <row r="22" ht="14.25" hidden="1" customHeight="1">
      <c r="A22" s="1"/>
      <c r="B22" s="21" t="str">
        <f t="shared" si="2"/>
        <v>Feed secondary skill particles to Baizhu</v>
      </c>
      <c r="C22" s="21"/>
      <c r="D22" s="21"/>
      <c r="E22" s="22"/>
      <c r="G22" s="23"/>
      <c r="H22" s="22"/>
      <c r="J22" s="23"/>
      <c r="K22" s="22"/>
      <c r="M22" s="23"/>
      <c r="N22" s="22"/>
      <c r="P22" s="23"/>
      <c r="Q22" s="24"/>
      <c r="R22" s="24"/>
      <c r="S22" s="1"/>
      <c r="T22" s="1"/>
      <c r="U22" s="1"/>
      <c r="V22" s="1"/>
      <c r="W22" s="1"/>
      <c r="X22" s="1"/>
      <c r="Y22" s="1"/>
      <c r="Z22" s="1"/>
      <c r="AA22" s="1"/>
      <c r="AB22" s="1"/>
      <c r="AC22" s="1"/>
      <c r="AD22" s="1"/>
      <c r="AE22" s="1"/>
      <c r="AF22" s="1"/>
      <c r="AG22" s="1"/>
      <c r="AH22" s="1"/>
      <c r="AI22" s="1"/>
      <c r="AJ22" s="1"/>
      <c r="AK22" s="1"/>
      <c r="AL22" s="1"/>
      <c r="AM22" s="1"/>
      <c r="AN22" s="1"/>
      <c r="AO22" s="4"/>
      <c r="AP22" s="4"/>
      <c r="AQ22" s="4"/>
      <c r="AR22" s="4"/>
      <c r="AS22" s="4"/>
    </row>
    <row r="23" ht="14.25" hidden="1" customHeight="1">
      <c r="A23" s="1"/>
      <c r="B23" s="21" t="str">
        <f t="shared" ref="B23:B26" si="3"> "Feed Favonius particles to " &amp; S61</f>
        <v>Feed Favonius particles to Alhaitham</v>
      </c>
      <c r="C23" s="21"/>
      <c r="D23" s="21"/>
      <c r="E23" s="27"/>
      <c r="G23" s="23"/>
      <c r="H23" s="27"/>
      <c r="J23" s="23"/>
      <c r="K23" s="27"/>
      <c r="M23" s="23"/>
      <c r="N23" s="27"/>
      <c r="P23" s="23"/>
      <c r="Q23" s="24"/>
      <c r="R23" s="24"/>
      <c r="S23" s="1"/>
      <c r="T23" s="1"/>
      <c r="U23" s="1"/>
      <c r="V23" s="1"/>
      <c r="W23" s="1"/>
      <c r="X23" s="1"/>
      <c r="Y23" s="1"/>
      <c r="Z23" s="1"/>
      <c r="AA23" s="1"/>
      <c r="AB23" s="1"/>
      <c r="AC23" s="1"/>
      <c r="AD23" s="1"/>
      <c r="AE23" s="1"/>
      <c r="AF23" s="1"/>
      <c r="AG23" s="1"/>
      <c r="AH23" s="1"/>
      <c r="AI23" s="1"/>
      <c r="AJ23" s="1"/>
      <c r="AK23" s="1"/>
      <c r="AL23" s="1"/>
      <c r="AM23" s="1"/>
      <c r="AN23" s="1"/>
      <c r="AO23" s="4"/>
      <c r="AP23" s="4"/>
      <c r="AQ23" s="4"/>
      <c r="AR23" s="4"/>
      <c r="AS23" s="4"/>
    </row>
    <row r="24" ht="14.25" hidden="1" customHeight="1">
      <c r="A24" s="1"/>
      <c r="B24" s="21" t="str">
        <f t="shared" si="3"/>
        <v>Feed Favonius particles to Fischl</v>
      </c>
      <c r="C24" s="21"/>
      <c r="D24" s="21"/>
      <c r="E24" s="27"/>
      <c r="G24" s="23"/>
      <c r="H24" s="27"/>
      <c r="J24" s="23"/>
      <c r="K24" s="27"/>
      <c r="M24" s="23"/>
      <c r="N24" s="27"/>
      <c r="P24" s="23"/>
      <c r="Q24" s="24"/>
      <c r="R24" s="24"/>
      <c r="S24" s="1"/>
      <c r="T24" s="1"/>
      <c r="U24" s="1"/>
      <c r="V24" s="1"/>
      <c r="W24" s="1"/>
      <c r="X24" s="1"/>
      <c r="Y24" s="1"/>
      <c r="Z24" s="1"/>
      <c r="AA24" s="1"/>
      <c r="AB24" s="1"/>
      <c r="AC24" s="1"/>
      <c r="AD24" s="1"/>
      <c r="AE24" s="1"/>
      <c r="AF24" s="1"/>
      <c r="AG24" s="1"/>
      <c r="AH24" s="1"/>
      <c r="AI24" s="1"/>
      <c r="AJ24" s="1"/>
      <c r="AK24" s="1"/>
      <c r="AL24" s="1"/>
      <c r="AM24" s="1"/>
      <c r="AN24" s="1"/>
      <c r="AO24" s="4"/>
      <c r="AP24" s="4"/>
      <c r="AQ24" s="4"/>
      <c r="AR24" s="4"/>
      <c r="AS24" s="4"/>
    </row>
    <row r="25" ht="14.25" hidden="1" customHeight="1">
      <c r="A25" s="1"/>
      <c r="B25" s="21" t="str">
        <f t="shared" si="3"/>
        <v>Feed Favonius particles to Sucrose</v>
      </c>
      <c r="C25" s="21"/>
      <c r="D25" s="21"/>
      <c r="E25" s="27"/>
      <c r="G25" s="23"/>
      <c r="H25" s="27"/>
      <c r="J25" s="23"/>
      <c r="K25" s="27"/>
      <c r="M25" s="23"/>
      <c r="N25" s="27"/>
      <c r="P25" s="23"/>
      <c r="Q25" s="24"/>
      <c r="R25" s="24"/>
      <c r="S25" s="1"/>
      <c r="T25" s="1"/>
      <c r="U25" s="1"/>
      <c r="V25" s="1"/>
      <c r="W25" s="1"/>
      <c r="X25" s="1"/>
      <c r="Y25" s="1"/>
      <c r="Z25" s="1"/>
      <c r="AA25" s="1"/>
      <c r="AB25" s="1"/>
      <c r="AC25" s="1"/>
      <c r="AD25" s="1"/>
      <c r="AE25" s="1"/>
      <c r="AF25" s="1"/>
      <c r="AG25" s="1"/>
      <c r="AH25" s="1"/>
      <c r="AI25" s="1"/>
      <c r="AJ25" s="1"/>
      <c r="AK25" s="1"/>
      <c r="AL25" s="1"/>
      <c r="AM25" s="1"/>
      <c r="AN25" s="1"/>
      <c r="AO25" s="4"/>
      <c r="AP25" s="4"/>
      <c r="AQ25" s="4"/>
      <c r="AR25" s="4"/>
      <c r="AS25" s="4"/>
    </row>
    <row r="26" ht="14.25" hidden="1" customHeight="1">
      <c r="A26" s="1"/>
      <c r="B26" s="21" t="str">
        <f t="shared" si="3"/>
        <v>Feed Favonius particles to Baizhu</v>
      </c>
      <c r="C26" s="21"/>
      <c r="D26" s="21"/>
      <c r="E26" s="27"/>
      <c r="G26" s="23"/>
      <c r="H26" s="27"/>
      <c r="J26" s="23"/>
      <c r="K26" s="27"/>
      <c r="M26" s="23"/>
      <c r="N26" s="27"/>
      <c r="P26" s="23"/>
      <c r="Q26" s="24"/>
      <c r="R26" s="24"/>
      <c r="S26" s="1"/>
      <c r="T26" s="1"/>
      <c r="U26" s="1"/>
      <c r="V26" s="1"/>
      <c r="W26" s="1"/>
      <c r="X26" s="1"/>
      <c r="Y26" s="1"/>
      <c r="Z26" s="1"/>
      <c r="AA26" s="1"/>
      <c r="AB26" s="1"/>
      <c r="AC26" s="1"/>
      <c r="AD26" s="1"/>
      <c r="AE26" s="1"/>
      <c r="AF26" s="1"/>
      <c r="AG26" s="1"/>
      <c r="AH26" s="1"/>
      <c r="AI26" s="1"/>
      <c r="AJ26" s="1"/>
      <c r="AK26" s="1"/>
      <c r="AL26" s="1"/>
      <c r="AM26" s="1"/>
      <c r="AN26" s="1"/>
      <c r="AO26" s="4"/>
      <c r="AP26" s="4"/>
      <c r="AQ26" s="4"/>
      <c r="AR26" s="4"/>
      <c r="AS26" s="4"/>
    </row>
    <row r="27" ht="14.25" customHeight="1">
      <c r="A27" s="1"/>
      <c r="B27" s="7" t="s">
        <v>37</v>
      </c>
      <c r="C27" s="7"/>
      <c r="D27" s="7"/>
      <c r="E27" s="27"/>
      <c r="G27" s="1"/>
      <c r="H27" s="27"/>
      <c r="J27" s="1"/>
      <c r="K27" s="27"/>
      <c r="M27" s="1"/>
      <c r="N27" s="27"/>
      <c r="P27" s="1"/>
      <c r="Q27" s="2"/>
      <c r="R27" s="2" t="s">
        <v>38</v>
      </c>
      <c r="S27" s="1"/>
      <c r="T27" s="1"/>
      <c r="U27" s="1"/>
      <c r="V27" s="1"/>
      <c r="W27" s="1"/>
      <c r="X27" s="1"/>
      <c r="Y27" s="1"/>
      <c r="Z27" s="1"/>
      <c r="AA27" s="1"/>
      <c r="AB27" s="1"/>
      <c r="AC27" s="1"/>
      <c r="AD27" s="1"/>
      <c r="AE27" s="1"/>
      <c r="AF27" s="1"/>
      <c r="AG27" s="1"/>
      <c r="AH27" s="1"/>
      <c r="AI27" s="1"/>
      <c r="AJ27" s="1"/>
      <c r="AK27" s="1"/>
      <c r="AL27" s="1"/>
      <c r="AM27" s="1"/>
      <c r="AN27" s="1"/>
      <c r="AO27" s="4" t="str">
        <f t="shared" ref="AO27:AR27" si="4">IF(OR(G$63&gt;0,G$28&gt;0),"Don't Know","")</f>
        <v/>
      </c>
      <c r="AP27" s="4" t="str">
        <f t="shared" si="4"/>
        <v/>
      </c>
      <c r="AQ27" s="4" t="str">
        <f t="shared" si="4"/>
        <v/>
      </c>
      <c r="AR27" s="4" t="str">
        <f t="shared" si="4"/>
        <v/>
      </c>
      <c r="AS27" s="4"/>
    </row>
    <row r="28" ht="14.25" customHeight="1">
      <c r="A28" s="1"/>
      <c r="B28" s="8" t="str">
        <f>IF(RotationMode=Flexible, "Favonius triggers per burst", "Favonius triggers per rotation")</f>
        <v>Favonius triggers per rotation</v>
      </c>
      <c r="C28" s="9"/>
      <c r="D28" s="7"/>
      <c r="E28" s="20"/>
      <c r="G28" s="1"/>
      <c r="H28" s="20"/>
      <c r="J28" s="1"/>
      <c r="K28" s="20"/>
      <c r="M28" s="1"/>
      <c r="N28" s="20"/>
      <c r="P28" s="1"/>
      <c r="Q28" s="2"/>
      <c r="R28" s="2" t="s">
        <v>39</v>
      </c>
      <c r="S28" s="1"/>
      <c r="T28" s="1"/>
      <c r="U28" s="1"/>
      <c r="V28" s="1"/>
      <c r="W28" s="1"/>
      <c r="X28" s="1"/>
      <c r="Y28" s="1"/>
      <c r="Z28" s="1"/>
      <c r="AA28" s="1"/>
      <c r="AB28" s="1"/>
      <c r="AC28" s="1"/>
      <c r="AD28" s="1"/>
      <c r="AE28" s="1"/>
      <c r="AF28" s="1"/>
      <c r="AG28" s="1"/>
      <c r="AH28" s="1"/>
      <c r="AI28" s="1"/>
      <c r="AJ28" s="1"/>
      <c r="AK28" s="1"/>
      <c r="AL28" s="1"/>
      <c r="AM28" s="1"/>
      <c r="AN28" s="1"/>
      <c r="AO28" s="4"/>
      <c r="AP28" s="4"/>
      <c r="AQ28" s="4"/>
      <c r="AR28" s="4"/>
      <c r="AS28" s="4"/>
    </row>
    <row r="29" ht="14.25" customHeight="1">
      <c r="A29" s="1"/>
      <c r="B29" s="8" t="str">
        <f>IF(RotationMode=Flexible, "Bonus non-particle energy", "Bonus non-particle energy per rotation")</f>
        <v>Bonus non-particle energy per rotation</v>
      </c>
      <c r="C29" s="9"/>
      <c r="D29" s="7"/>
      <c r="E29" s="20"/>
      <c r="G29" s="1"/>
      <c r="H29" s="20"/>
      <c r="J29" s="1"/>
      <c r="K29" s="20"/>
      <c r="M29" s="1"/>
      <c r="N29" s="20"/>
      <c r="P29" s="1"/>
      <c r="Q29" s="2"/>
      <c r="R29" s="2" t="s">
        <v>40</v>
      </c>
      <c r="S29" s="1"/>
      <c r="T29" s="1"/>
      <c r="U29" s="1"/>
      <c r="V29" s="1"/>
      <c r="W29" s="1"/>
      <c r="X29" s="1"/>
      <c r="Y29" s="1"/>
      <c r="Z29" s="1"/>
      <c r="AA29" s="1"/>
      <c r="AB29" s="1"/>
      <c r="AC29" s="1"/>
      <c r="AD29" s="1"/>
      <c r="AE29" s="1"/>
      <c r="AF29" s="1"/>
      <c r="AG29" s="1"/>
      <c r="AH29" s="1"/>
      <c r="AI29" s="1"/>
      <c r="AJ29" s="1"/>
      <c r="AK29" s="1"/>
      <c r="AL29" s="1"/>
      <c r="AM29" s="1"/>
      <c r="AN29" s="1"/>
      <c r="AO29" s="4"/>
      <c r="AP29" s="4"/>
      <c r="AQ29" s="4"/>
      <c r="AR29" s="4"/>
      <c r="AS29" s="4"/>
    </row>
    <row r="30" ht="14.25" customHeight="1">
      <c r="A30" s="1"/>
      <c r="B30" s="8" t="s">
        <v>41</v>
      </c>
      <c r="C30" s="9"/>
      <c r="D30" s="7"/>
      <c r="E30" s="27">
        <v>0.5</v>
      </c>
      <c r="G30" s="1"/>
      <c r="H30" s="27">
        <v>0.2</v>
      </c>
      <c r="J30" s="1"/>
      <c r="K30" s="27">
        <v>0.2</v>
      </c>
      <c r="M30" s="1"/>
      <c r="N30" s="27">
        <v>0.1</v>
      </c>
      <c r="P30" s="1"/>
      <c r="Q30" s="2"/>
      <c r="R30" s="2" t="s">
        <v>42</v>
      </c>
      <c r="S30" s="1"/>
      <c r="T30" s="1"/>
      <c r="U30" s="1"/>
      <c r="V30" s="1"/>
      <c r="W30" s="1"/>
      <c r="X30" s="1"/>
      <c r="Y30" s="1"/>
      <c r="Z30" s="1"/>
      <c r="AA30" s="1"/>
      <c r="AB30" s="1"/>
      <c r="AC30" s="1"/>
      <c r="AD30" s="1"/>
      <c r="AE30" s="1"/>
      <c r="AF30" s="1"/>
      <c r="AG30" s="1"/>
      <c r="AH30" s="1"/>
      <c r="AI30" s="1"/>
      <c r="AJ30" s="1"/>
      <c r="AK30" s="1"/>
      <c r="AL30" s="1"/>
      <c r="AM30" s="1"/>
      <c r="AN30" s="1"/>
      <c r="AO30" s="4"/>
      <c r="AP30" s="4"/>
      <c r="AQ30" s="4"/>
      <c r="AR30" s="4"/>
      <c r="AS30" s="4"/>
    </row>
    <row r="31" ht="14.25" customHeight="1">
      <c r="A31" s="1"/>
      <c r="B31" s="8" t="str">
        <f>IF(RotationMode=Flexible, "Time between bursts", "Number of rotations between bursts")</f>
        <v>Number of rotations between bursts</v>
      </c>
      <c r="C31" s="9"/>
      <c r="D31" s="7"/>
      <c r="E31" s="20">
        <v>1.0</v>
      </c>
      <c r="G31" s="1"/>
      <c r="H31" s="14">
        <v>2.0</v>
      </c>
      <c r="J31" s="1"/>
      <c r="K31" s="20">
        <v>1.0</v>
      </c>
      <c r="M31" s="1"/>
      <c r="N31" s="20">
        <v>1.0</v>
      </c>
      <c r="P31" s="1"/>
      <c r="Q31" s="2"/>
      <c r="R31" s="28" t="s">
        <v>43</v>
      </c>
      <c r="S31" s="1"/>
      <c r="T31" s="1"/>
      <c r="U31" s="1"/>
      <c r="V31" s="1"/>
      <c r="W31" s="1"/>
      <c r="X31" s="1"/>
      <c r="Y31" s="1"/>
      <c r="Z31" s="1"/>
      <c r="AA31" s="1"/>
      <c r="AB31" s="1"/>
      <c r="AC31" s="1"/>
      <c r="AD31" s="1"/>
      <c r="AE31" s="1"/>
      <c r="AF31" s="1"/>
      <c r="AG31" s="1"/>
      <c r="AH31" s="1"/>
      <c r="AI31" s="1"/>
      <c r="AJ31" s="1"/>
      <c r="AK31" s="1"/>
      <c r="AL31" s="1"/>
      <c r="AM31" s="1"/>
      <c r="AN31" s="1"/>
      <c r="AO31" s="4" t="s">
        <v>44</v>
      </c>
      <c r="AP31" s="4"/>
      <c r="AQ31" s="4"/>
      <c r="AR31" s="4"/>
      <c r="AS31" s="4"/>
    </row>
    <row r="32" ht="14.25" customHeight="1">
      <c r="A32" s="1"/>
      <c r="B32" s="8" t="s">
        <v>45</v>
      </c>
      <c r="C32" s="9"/>
      <c r="D32" s="7"/>
      <c r="E32" s="29">
        <f t="array" ref="E32">INDEX(Data!$U$2:$U$75, MATCH(E$7, Data!$A$2:$A$75,0))</f>
        <v>18</v>
      </c>
      <c r="F32" s="9"/>
      <c r="G32" s="1"/>
      <c r="H32" s="29">
        <f t="array" ref="H32">INDEX(Data!$U$2:$U$75, MATCH(H$7, Data!$A$2:$A$75,0))</f>
        <v>15</v>
      </c>
      <c r="I32" s="9"/>
      <c r="J32" s="1"/>
      <c r="K32" s="29">
        <f t="array" ref="K32">INDEX(Data!$U$2:$U$75, MATCH(K$7, Data!$A$2:$A$75,0))</f>
        <v>20</v>
      </c>
      <c r="L32" s="9"/>
      <c r="M32" s="1"/>
      <c r="N32" s="29">
        <f t="array" ref="N32">INDEX(Data!$U$2:$U$75, MATCH(N$7, Data!$A$2:$A$75,0))</f>
        <v>20</v>
      </c>
      <c r="O32" s="9"/>
      <c r="P32" s="1"/>
      <c r="Q32" s="2"/>
      <c r="R32" s="2"/>
      <c r="S32" s="1"/>
      <c r="T32" s="1"/>
      <c r="U32" s="1"/>
      <c r="V32" s="1"/>
      <c r="W32" s="1"/>
      <c r="X32" s="1"/>
      <c r="Y32" s="1"/>
      <c r="Z32" s="1"/>
      <c r="AA32" s="1"/>
      <c r="AB32" s="1"/>
      <c r="AC32" s="1"/>
      <c r="AD32" s="1"/>
      <c r="AE32" s="1"/>
      <c r="AF32" s="1"/>
      <c r="AG32" s="1"/>
      <c r="AH32" s="1"/>
      <c r="AI32" s="1"/>
      <c r="AJ32" s="1"/>
      <c r="AK32" s="1"/>
      <c r="AL32" s="1"/>
      <c r="AM32" s="1"/>
      <c r="AN32" s="1"/>
      <c r="AO32" s="4" t="s">
        <v>46</v>
      </c>
      <c r="AP32" s="4"/>
      <c r="AQ32" s="4"/>
      <c r="AR32" s="4"/>
      <c r="AS32" s="4"/>
    </row>
    <row r="33" ht="14.25" customHeight="1">
      <c r="A33" s="1"/>
      <c r="B33" s="8" t="s">
        <v>47</v>
      </c>
      <c r="C33" s="9"/>
      <c r="D33" s="7"/>
      <c r="E33" s="29">
        <f t="array" ref="E33">INDEX(Data!$V$2:$V$75, MATCH(E$7, Data!$A$2:$A$75,0)) - INDEX(Data!$W$2:$W$75, MATCH(E$7, Data!$A$2:$A$75)) - IF(E7="Traveler (Dendro)", 3.5*E67,0)</f>
        <v>70</v>
      </c>
      <c r="F33" s="9"/>
      <c r="G33" s="1"/>
      <c r="H33" s="29">
        <f t="array" ref="H33">INDEX(Data!$V$2:$V$75, MATCH(H$7, Data!$A$2:$A$75,0)) - INDEX(Data!$W$2:$W$75, MATCH(H$7, Data!$A$2:$A$75)) - IF(H7="Traveler (Dendro)", 3.5*H67,0)</f>
        <v>60</v>
      </c>
      <c r="I33" s="9"/>
      <c r="J33" s="1"/>
      <c r="K33" s="29">
        <f t="array" ref="K33">INDEX(Data!$V$2:$V$75, MATCH(K$7, Data!$A$2:$A$75,0)) - INDEX(Data!$W$2:$W$75, MATCH(K$7, Data!$A$2:$A$75)) - IF(K7="Traveler (Dendro)", 3.5*K67,0)</f>
        <v>80</v>
      </c>
      <c r="L33" s="9"/>
      <c r="M33" s="1"/>
      <c r="N33" s="29">
        <f t="array" ref="N33">INDEX(Data!$V$2:$V$75, MATCH(N$7, Data!$A$2:$A$75,0)) - INDEX(Data!$W$2:$W$75, MATCH(N$7, Data!$A$2:$A$75)) - IF(N7="Traveler (Dendro)", 3.5*N67,0)</f>
        <v>80</v>
      </c>
      <c r="O33" s="9"/>
      <c r="P33" s="1"/>
      <c r="Q33" s="2"/>
      <c r="R33" s="2"/>
      <c r="S33" s="1"/>
      <c r="T33" s="1"/>
      <c r="U33" s="1"/>
      <c r="V33" s="1"/>
      <c r="W33" s="1"/>
      <c r="X33" s="1"/>
      <c r="Y33" s="1"/>
      <c r="Z33" s="1"/>
      <c r="AA33" s="1"/>
      <c r="AB33" s="1"/>
      <c r="AC33" s="1"/>
      <c r="AD33" s="1"/>
      <c r="AE33" s="1"/>
      <c r="AF33" s="1"/>
      <c r="AG33" s="1"/>
      <c r="AH33" s="1"/>
      <c r="AI33" s="1"/>
      <c r="AJ33" s="1"/>
      <c r="AK33" s="1"/>
      <c r="AL33" s="1"/>
      <c r="AM33" s="1"/>
      <c r="AN33" s="1"/>
      <c r="AO33" s="4" t="s">
        <v>48</v>
      </c>
      <c r="AP33" s="4"/>
      <c r="AQ33" s="4"/>
      <c r="AR33" s="4"/>
      <c r="AS33" s="4"/>
    </row>
    <row r="34" ht="19.5" customHeight="1">
      <c r="A34" s="1"/>
      <c r="B34" s="30" t="s">
        <v>49</v>
      </c>
      <c r="C34" s="9"/>
      <c r="D34" s="31"/>
      <c r="E34" s="32">
        <f t="array" ref="E34">IFERROR(MAX(1, (E$33-E$72)/E$46 - INDEX(Data!$X$2:$X$75,MATCH('Energy Recharge Calculator'!E7,Data!$A$2:$A$75,0))),"")</f>
        <v>1.228932584</v>
      </c>
      <c r="F34" s="9"/>
      <c r="G34" s="1"/>
      <c r="H34" s="32">
        <f t="array" ref="H34">IFERROR(MAX(1, (H$33-H$72)/H$46 - INDEX(Data!$X$2:$X$75,MATCH('Energy Recharge Calculator'!H7,Data!$A$2:$A$75,0))),"")</f>
        <v>1.02501025</v>
      </c>
      <c r="I34" s="9"/>
      <c r="J34" s="1"/>
      <c r="K34" s="32">
        <f t="array" ref="K34">IFERROR(MAX(1, (K$33-K$72)/K$46 - INDEX(Data!$X$2:$X$75,MATCH('Energy Recharge Calculator'!K7,Data!$A$2:$A$75,0))),"")</f>
        <v>2.032726903</v>
      </c>
      <c r="L34" s="9"/>
      <c r="M34" s="1"/>
      <c r="N34" s="32">
        <f t="array" ref="N34">IFERROR(MAX(1, (N$33-N$72)/N$46 - INDEX(Data!$X$2:$X$75,MATCH('Energy Recharge Calculator'!N7,Data!$A$2:$A$75,0))),"")</f>
        <v>1.643115347</v>
      </c>
      <c r="O34" s="9"/>
      <c r="P34" s="1"/>
      <c r="Q34" s="2"/>
      <c r="R34" s="28" t="s">
        <v>50</v>
      </c>
      <c r="S34" s="1"/>
      <c r="T34" s="1"/>
      <c r="U34" s="1"/>
      <c r="V34" s="1"/>
      <c r="W34" s="1"/>
      <c r="X34" s="1"/>
      <c r="Y34" s="1"/>
      <c r="Z34" s="1"/>
      <c r="AA34" s="1"/>
      <c r="AB34" s="1"/>
      <c r="AC34" s="1"/>
      <c r="AD34" s="1"/>
      <c r="AE34" s="1"/>
      <c r="AF34" s="1"/>
      <c r="AG34" s="1"/>
      <c r="AH34" s="1"/>
      <c r="AI34" s="1"/>
      <c r="AJ34" s="1"/>
      <c r="AK34" s="1"/>
      <c r="AL34" s="1"/>
      <c r="AM34" s="1"/>
      <c r="AN34" s="1"/>
      <c r="AO34" s="4" t="s">
        <v>51</v>
      </c>
      <c r="AP34" s="4"/>
      <c r="AQ34" s="4"/>
      <c r="AR34" s="4"/>
      <c r="AS34" s="4"/>
    </row>
    <row r="35" ht="22.5" customHeight="1">
      <c r="A35" s="1"/>
      <c r="B35" s="33"/>
      <c r="C35" s="9"/>
      <c r="D35" s="34"/>
      <c r="E35" s="4"/>
      <c r="F35" s="4"/>
      <c r="G35" s="1"/>
      <c r="H35" s="4"/>
      <c r="I35" s="4"/>
      <c r="J35" s="1"/>
      <c r="K35" s="4"/>
      <c r="L35" s="4"/>
      <c r="M35" s="1"/>
      <c r="N35" s="4"/>
      <c r="O35" s="4"/>
      <c r="P35" s="1"/>
      <c r="Q35" s="35"/>
      <c r="R35" s="36" t="str">
        <f t="array" ref="R35">INDEX(IF($E$59=0,Data!$Y$2:$Y$75,Data!$AA$2:$AA$75),MATCH('Energy Recharge Calculator'!$E$7,Data!$A$2:$A$75,0))</f>
        <v/>
      </c>
      <c r="S35" s="1"/>
      <c r="T35" s="1"/>
      <c r="U35" s="1"/>
      <c r="V35" s="1"/>
      <c r="W35" s="1"/>
      <c r="X35" s="1"/>
      <c r="Y35" s="1"/>
      <c r="Z35" s="1"/>
      <c r="AA35" s="1"/>
      <c r="AB35" s="1"/>
      <c r="AC35" s="1"/>
      <c r="AD35" s="1"/>
      <c r="AE35" s="1"/>
      <c r="AF35" s="1"/>
      <c r="AG35" s="1"/>
      <c r="AH35" s="1"/>
      <c r="AI35" s="1"/>
      <c r="AJ35" s="1"/>
      <c r="AK35" s="1"/>
      <c r="AL35" s="1"/>
      <c r="AM35" s="1"/>
      <c r="AN35" s="1"/>
      <c r="AO35" s="4" t="s">
        <v>52</v>
      </c>
      <c r="AP35" s="4"/>
      <c r="AQ35" s="4"/>
      <c r="AR35" s="4"/>
      <c r="AS35" s="4"/>
    </row>
    <row r="36" ht="14.25" customHeight="1">
      <c r="A36" s="1"/>
      <c r="B36" s="33" t="s">
        <v>53</v>
      </c>
      <c r="C36" s="9"/>
      <c r="D36" s="34"/>
      <c r="E36" s="33" t="str">
        <f t="array" ref="E36">INDEX(Data!$B$2:$B$75, MATCH(E$7, Data!$A$2:$A$75,0))</f>
        <v>Dendro</v>
      </c>
      <c r="F36" s="9"/>
      <c r="G36" s="1"/>
      <c r="H36" s="4" t="str">
        <f t="array" ref="H36">INDEX(Data!$B$2:$B$75, MATCH(H$7, Data!$A$2:$A$75,0))</f>
        <v>Electro</v>
      </c>
      <c r="I36" s="4"/>
      <c r="J36" s="1"/>
      <c r="K36" s="4" t="str">
        <f t="array" ref="K36">INDEX(Data!$B$2:$B$75, MATCH(K$7, Data!$A$2:$A$75,0))</f>
        <v>Anemo</v>
      </c>
      <c r="L36" s="4"/>
      <c r="M36" s="1"/>
      <c r="N36" s="4" t="str">
        <f t="array" ref="N36">INDEX(Data!$B$2:$B$75, MATCH(N$7, Data!$A$2:$A$75,0))</f>
        <v>Dendro</v>
      </c>
      <c r="O36" s="4"/>
      <c r="P36" s="4"/>
      <c r="Q36" s="35"/>
      <c r="R36" s="26"/>
      <c r="S36" s="1"/>
      <c r="T36" s="1"/>
      <c r="U36" s="1"/>
      <c r="V36" s="1"/>
      <c r="W36" s="1"/>
      <c r="X36" s="1"/>
      <c r="Y36" s="1"/>
      <c r="Z36" s="1"/>
      <c r="AA36" s="1"/>
      <c r="AB36" s="1"/>
      <c r="AC36" s="1"/>
      <c r="AD36" s="1"/>
      <c r="AE36" s="1"/>
      <c r="AF36" s="1"/>
      <c r="AG36" s="1"/>
      <c r="AH36" s="1"/>
      <c r="AI36" s="1"/>
      <c r="AJ36" s="1"/>
      <c r="AK36" s="1"/>
      <c r="AL36" s="1"/>
      <c r="AM36" s="1"/>
      <c r="AN36" s="1"/>
      <c r="AO36" s="4" t="s">
        <v>54</v>
      </c>
      <c r="AP36" s="4"/>
      <c r="AQ36" s="4"/>
      <c r="AR36" s="4"/>
      <c r="AS36" s="4"/>
    </row>
    <row r="37" ht="14.25" customHeight="1">
      <c r="A37" s="1"/>
      <c r="B37" s="37" t="s">
        <v>55</v>
      </c>
      <c r="C37" s="9"/>
      <c r="D37" s="34"/>
      <c r="E37" s="38">
        <f t="shared" ref="E37:E39" si="5">E80</f>
        <v>0.6</v>
      </c>
      <c r="F37" s="9"/>
      <c r="G37" s="1"/>
      <c r="H37" s="38">
        <f t="shared" ref="H37:H39" si="6">H80</f>
        <v>0.335</v>
      </c>
      <c r="I37" s="9"/>
      <c r="J37" s="1"/>
      <c r="K37" s="38">
        <f t="shared" ref="K37:K39" si="7">K80</f>
        <v>0.4</v>
      </c>
      <c r="L37" s="9"/>
      <c r="M37" s="1"/>
      <c r="N37" s="38">
        <f t="shared" ref="N37:N39" si="8">N80</f>
        <v>0.3</v>
      </c>
      <c r="O37" s="9"/>
      <c r="P37" s="4"/>
      <c r="Q37" s="35"/>
      <c r="R37" s="36" t="str">
        <f t="array" ref="R37">INDEX(Data!$Y$2:$Y$75,MATCH('Energy Recharge Calculator'!$H$7,Data!$A$2:$A$75,0))</f>
        <v>The Oz generated by Fischl's burst doesn't count as a skill use. "Skill uses per burst" should be the number of times you summon Oz with the skill (E) specifically.</v>
      </c>
      <c r="S37" s="1"/>
      <c r="T37" s="1"/>
      <c r="U37" s="1"/>
      <c r="V37" s="1"/>
      <c r="W37" s="1"/>
      <c r="X37" s="1"/>
      <c r="Y37" s="1"/>
      <c r="Z37" s="1"/>
      <c r="AA37" s="1"/>
      <c r="AB37" s="1"/>
      <c r="AC37" s="1"/>
      <c r="AD37" s="1"/>
      <c r="AE37" s="1"/>
      <c r="AF37" s="1"/>
      <c r="AG37" s="1"/>
      <c r="AH37" s="1"/>
      <c r="AI37" s="1"/>
      <c r="AJ37" s="1"/>
      <c r="AK37" s="1"/>
      <c r="AL37" s="1"/>
      <c r="AM37" s="1"/>
      <c r="AN37" s="1"/>
      <c r="AO37" s="4" t="s">
        <v>56</v>
      </c>
      <c r="AP37" s="4"/>
      <c r="AQ37" s="4"/>
      <c r="AR37" s="4"/>
      <c r="AS37" s="4"/>
    </row>
    <row r="38" ht="14.25" customHeight="1">
      <c r="A38" s="1"/>
      <c r="B38" s="37" t="s">
        <v>57</v>
      </c>
      <c r="C38" s="9"/>
      <c r="D38" s="34"/>
      <c r="E38" s="38">
        <f t="shared" si="5"/>
        <v>0</v>
      </c>
      <c r="F38" s="9"/>
      <c r="G38" s="1"/>
      <c r="H38" s="38">
        <f t="shared" si="6"/>
        <v>0</v>
      </c>
      <c r="I38" s="9"/>
      <c r="J38" s="1"/>
      <c r="K38" s="38">
        <f t="shared" si="7"/>
        <v>0</v>
      </c>
      <c r="L38" s="9"/>
      <c r="M38" s="1"/>
      <c r="N38" s="38">
        <f t="shared" si="8"/>
        <v>0</v>
      </c>
      <c r="O38" s="9"/>
      <c r="P38" s="4"/>
      <c r="Q38" s="35"/>
      <c r="R38" s="26"/>
      <c r="S38" s="1"/>
      <c r="T38" s="1"/>
      <c r="U38" s="1"/>
      <c r="V38" s="1"/>
      <c r="W38" s="1"/>
      <c r="X38" s="1"/>
      <c r="Y38" s="1"/>
      <c r="Z38" s="1"/>
      <c r="AA38" s="1"/>
      <c r="AB38" s="1"/>
      <c r="AC38" s="1"/>
      <c r="AD38" s="1"/>
      <c r="AE38" s="1"/>
      <c r="AF38" s="1"/>
      <c r="AG38" s="1"/>
      <c r="AH38" s="1"/>
      <c r="AI38" s="1"/>
      <c r="AJ38" s="1"/>
      <c r="AK38" s="1"/>
      <c r="AL38" s="1"/>
      <c r="AM38" s="1"/>
      <c r="AN38" s="1"/>
      <c r="AO38" s="4"/>
      <c r="AP38" s="4"/>
      <c r="AQ38" s="4"/>
      <c r="AR38" s="4"/>
      <c r="AS38" s="4"/>
    </row>
    <row r="39" ht="14.25" customHeight="1">
      <c r="A39" s="1"/>
      <c r="B39" s="37" t="s">
        <v>58</v>
      </c>
      <c r="C39" s="9"/>
      <c r="D39" s="34"/>
      <c r="E39" s="38">
        <f t="shared" si="5"/>
        <v>0</v>
      </c>
      <c r="F39" s="9"/>
      <c r="G39" s="1"/>
      <c r="H39" s="38">
        <f t="shared" si="6"/>
        <v>0</v>
      </c>
      <c r="I39" s="9"/>
      <c r="J39" s="1"/>
      <c r="K39" s="38">
        <f t="shared" si="7"/>
        <v>0</v>
      </c>
      <c r="L39" s="9"/>
      <c r="M39" s="1"/>
      <c r="N39" s="38">
        <f t="shared" si="8"/>
        <v>0</v>
      </c>
      <c r="O39" s="9"/>
      <c r="P39" s="4"/>
      <c r="Q39" s="35"/>
      <c r="R39" s="39"/>
      <c r="S39" s="1"/>
      <c r="T39" s="1"/>
      <c r="U39" s="1"/>
      <c r="V39" s="1"/>
      <c r="W39" s="1"/>
      <c r="X39" s="1"/>
      <c r="Y39" s="1"/>
      <c r="Z39" s="1"/>
      <c r="AA39" s="1"/>
      <c r="AB39" s="1"/>
      <c r="AC39" s="1"/>
      <c r="AD39" s="1"/>
      <c r="AE39" s="1"/>
      <c r="AF39" s="1"/>
      <c r="AG39" s="1"/>
      <c r="AH39" s="1"/>
      <c r="AI39" s="1"/>
      <c r="AJ39" s="1"/>
      <c r="AK39" s="1"/>
      <c r="AL39" s="1"/>
      <c r="AM39" s="1"/>
      <c r="AN39" s="1"/>
      <c r="AO39" s="4"/>
      <c r="AP39" s="4"/>
      <c r="AQ39" s="4"/>
      <c r="AR39" s="4"/>
      <c r="AS39" s="4"/>
    </row>
    <row r="40" ht="14.25" customHeight="1">
      <c r="A40" s="1"/>
      <c r="B40" s="40" t="str">
        <f>CONCATENATE("Energy from ", $E$7)</f>
        <v>Energy from Alhaitham</v>
      </c>
      <c r="C40" s="40"/>
      <c r="D40" s="34"/>
      <c r="E40" s="41">
        <f t="shared" ref="E40:E43" si="9">E95+E99+E103</f>
        <v>36</v>
      </c>
      <c r="F40" s="9"/>
      <c r="G40" s="1"/>
      <c r="H40" s="41">
        <f t="shared" ref="H40:H43" si="10">H95+H99+H103</f>
        <v>14.4</v>
      </c>
      <c r="I40" s="9"/>
      <c r="J40" s="1"/>
      <c r="K40" s="41">
        <f t="shared" ref="K40:K43" si="11">K95+K99+K103</f>
        <v>7.2</v>
      </c>
      <c r="L40" s="9"/>
      <c r="M40" s="1"/>
      <c r="N40" s="41">
        <f t="shared" ref="N40:N43" si="12">N95+N99+N103</f>
        <v>21.6</v>
      </c>
      <c r="O40" s="9"/>
      <c r="P40" s="4"/>
      <c r="Q40" s="35"/>
      <c r="R40" s="36" t="str">
        <f t="array" ref="R40">INDEX(Data!$Y$2:$Y$75,MATCH('Energy Recharge Calculator'!$K$7,Data!$A$2:$A$75,0))</f>
        <v/>
      </c>
      <c r="S40" s="1"/>
      <c r="T40" s="1"/>
      <c r="U40" s="1"/>
      <c r="V40" s="1"/>
      <c r="W40" s="1"/>
      <c r="X40" s="1"/>
      <c r="Y40" s="1"/>
      <c r="Z40" s="1"/>
      <c r="AA40" s="1"/>
      <c r="AB40" s="1"/>
      <c r="AC40" s="1"/>
      <c r="AD40" s="1"/>
      <c r="AE40" s="1"/>
      <c r="AF40" s="1"/>
      <c r="AG40" s="1"/>
      <c r="AH40" s="1"/>
      <c r="AI40" s="1"/>
      <c r="AJ40" s="1"/>
      <c r="AK40" s="1"/>
      <c r="AL40" s="1"/>
      <c r="AM40" s="1"/>
      <c r="AN40" s="1"/>
      <c r="AO40" s="4"/>
      <c r="AP40" s="4"/>
      <c r="AQ40" s="4"/>
      <c r="AR40" s="4"/>
      <c r="AS40" s="4"/>
    </row>
    <row r="41" ht="14.25" customHeight="1">
      <c r="A41" s="1"/>
      <c r="B41" s="40" t="str">
        <f>CONCATENATE("Energy from ", $H$7)</f>
        <v>Energy from Fischl</v>
      </c>
      <c r="C41" s="40"/>
      <c r="D41" s="34"/>
      <c r="E41" s="41">
        <f t="shared" si="9"/>
        <v>5.36</v>
      </c>
      <c r="F41" s="9"/>
      <c r="G41" s="1"/>
      <c r="H41" s="41">
        <f t="shared" si="10"/>
        <v>27.336</v>
      </c>
      <c r="I41" s="9"/>
      <c r="J41" s="1"/>
      <c r="K41" s="41">
        <f t="shared" si="11"/>
        <v>4.556</v>
      </c>
      <c r="L41" s="9"/>
      <c r="M41" s="1"/>
      <c r="N41" s="41">
        <f t="shared" si="12"/>
        <v>4.288</v>
      </c>
      <c r="O41" s="9"/>
      <c r="P41" s="4"/>
      <c r="Q41" s="35"/>
      <c r="R41" s="26"/>
      <c r="S41" s="1"/>
      <c r="T41" s="1"/>
      <c r="U41" s="1"/>
      <c r="V41" s="1"/>
      <c r="W41" s="1"/>
      <c r="X41" s="1"/>
      <c r="Y41" s="1"/>
      <c r="Z41" s="1"/>
      <c r="AA41" s="1"/>
      <c r="AB41" s="1"/>
      <c r="AC41" s="1"/>
      <c r="AD41" s="1"/>
      <c r="AE41" s="1"/>
      <c r="AF41" s="1"/>
      <c r="AG41" s="1"/>
      <c r="AH41" s="1"/>
      <c r="AI41" s="1"/>
      <c r="AJ41" s="1"/>
      <c r="AK41" s="1"/>
      <c r="AL41" s="1"/>
      <c r="AM41" s="1"/>
      <c r="AN41" s="1"/>
      <c r="AO41" s="4"/>
      <c r="AP41" s="4"/>
      <c r="AQ41" s="4"/>
      <c r="AR41" s="4"/>
      <c r="AS41" s="4"/>
    </row>
    <row r="42" ht="14.25" customHeight="1">
      <c r="A42" s="1"/>
      <c r="B42" s="40" t="str">
        <f>CONCATENATE("Energy from ", $K$7)</f>
        <v>Energy from Sucrose</v>
      </c>
      <c r="C42" s="40"/>
      <c r="D42" s="34"/>
      <c r="E42" s="41">
        <f t="shared" si="9"/>
        <v>4.8</v>
      </c>
      <c r="F42" s="9"/>
      <c r="G42" s="1"/>
      <c r="H42" s="41">
        <f t="shared" si="10"/>
        <v>9.6</v>
      </c>
      <c r="I42" s="9"/>
      <c r="J42" s="1"/>
      <c r="K42" s="41">
        <f t="shared" si="11"/>
        <v>24</v>
      </c>
      <c r="L42" s="9"/>
      <c r="M42" s="1"/>
      <c r="N42" s="41">
        <f t="shared" si="12"/>
        <v>4.8</v>
      </c>
      <c r="O42" s="9"/>
      <c r="P42" s="4"/>
      <c r="Q42" s="35"/>
      <c r="R42" s="36" t="str">
        <f t="array" ref="R42">INDEX(Data!$Y$2:$Y$75,MATCH('Energy Recharge Calculator'!$N$7,Data!$A$2:$A$75,0))</f>
        <v/>
      </c>
      <c r="S42" s="1"/>
      <c r="T42" s="1"/>
      <c r="U42" s="1"/>
      <c r="V42" s="1"/>
      <c r="W42" s="1"/>
      <c r="X42" s="1"/>
      <c r="Y42" s="1"/>
      <c r="Z42" s="1"/>
      <c r="AA42" s="1"/>
      <c r="AB42" s="1"/>
      <c r="AC42" s="1"/>
      <c r="AD42" s="1"/>
      <c r="AE42" s="1"/>
      <c r="AF42" s="1"/>
      <c r="AG42" s="1"/>
      <c r="AH42" s="1"/>
      <c r="AI42" s="1"/>
      <c r="AJ42" s="1"/>
      <c r="AK42" s="1"/>
      <c r="AL42" s="1"/>
      <c r="AM42" s="1"/>
      <c r="AN42" s="1"/>
      <c r="AO42" s="4"/>
      <c r="AP42" s="4"/>
      <c r="AQ42" s="4"/>
      <c r="AR42" s="4"/>
      <c r="AS42" s="4"/>
    </row>
    <row r="43" ht="14.25" customHeight="1">
      <c r="A43" s="1"/>
      <c r="B43" s="40" t="str">
        <f>CONCATENATE("Energy from ", $N$7)</f>
        <v>Energy from Baizhu</v>
      </c>
      <c r="C43" s="40"/>
      <c r="D43" s="34"/>
      <c r="E43" s="41">
        <f t="shared" si="9"/>
        <v>10.8</v>
      </c>
      <c r="F43" s="9"/>
      <c r="G43" s="1"/>
      <c r="H43" s="41">
        <f t="shared" si="10"/>
        <v>7.2</v>
      </c>
      <c r="I43" s="9"/>
      <c r="J43" s="1"/>
      <c r="K43" s="41">
        <f t="shared" si="11"/>
        <v>3.6</v>
      </c>
      <c r="L43" s="9"/>
      <c r="M43" s="1"/>
      <c r="N43" s="41">
        <f t="shared" si="12"/>
        <v>18</v>
      </c>
      <c r="O43" s="9"/>
      <c r="P43" s="4"/>
      <c r="Q43" s="35"/>
      <c r="R43" s="26"/>
      <c r="S43" s="1"/>
      <c r="T43" s="1"/>
      <c r="U43" s="1"/>
      <c r="V43" s="1"/>
      <c r="W43" s="1"/>
      <c r="X43" s="1"/>
      <c r="Y43" s="1"/>
      <c r="Z43" s="1"/>
      <c r="AA43" s="1"/>
      <c r="AB43" s="1"/>
      <c r="AC43" s="1"/>
      <c r="AD43" s="1"/>
      <c r="AE43" s="1"/>
      <c r="AF43" s="1"/>
      <c r="AG43" s="1"/>
      <c r="AH43" s="1"/>
      <c r="AI43" s="1"/>
      <c r="AJ43" s="1"/>
      <c r="AK43" s="1"/>
      <c r="AL43" s="1"/>
      <c r="AM43" s="1"/>
      <c r="AN43" s="1"/>
      <c r="AO43" s="4"/>
      <c r="AP43" s="4"/>
      <c r="AQ43" s="4"/>
      <c r="AR43" s="4"/>
      <c r="AS43" s="4"/>
    </row>
    <row r="44" ht="14.25" customHeight="1">
      <c r="A44" s="1"/>
      <c r="B44" s="40" t="s">
        <v>59</v>
      </c>
      <c r="C44" s="40"/>
      <c r="D44" s="34"/>
      <c r="E44" s="41">
        <f t="array" ref="E44">E$73 * INDEX('Enemy Particles'!$K$3:$R$11, MATCH($C$3,'Enemy Particles'!$A$3:$A$11,0),MATCH(E$36,'Enemy Particles'!$K$2:$R$2,0)) * (0.6+0.4*E$30) / $C$2</f>
        <v>0</v>
      </c>
      <c r="F44" s="9"/>
      <c r="G44" s="1"/>
      <c r="H44" s="41">
        <f t="array" ref="H44">H$73 * INDEX('Enemy Particles'!$K$3:$R$11, MATCH($C$3,'Enemy Particles'!$A$3:$A$11,0),MATCH(H$36,'Enemy Particles'!$K$2:$R$2,0)) * (0.6+0.4*H$30) / $C$2</f>
        <v>0</v>
      </c>
      <c r="I44" s="9"/>
      <c r="J44" s="1"/>
      <c r="K44" s="41">
        <f t="array" ref="K44">K$73 * INDEX('Enemy Particles'!$K$3:$R$11, MATCH($C$3,'Enemy Particles'!$A$3:$A$11,0),MATCH(K$36,'Enemy Particles'!$K$2:$R$2,0)) * (0.6+0.4*K$30) / $C$2</f>
        <v>0</v>
      </c>
      <c r="L44" s="9"/>
      <c r="M44" s="1"/>
      <c r="N44" s="41">
        <f t="array" ref="N44">N$73 * INDEX('Enemy Particles'!$K$3:$R$11, MATCH($C$3,'Enemy Particles'!$A$3:$A$11,0),MATCH(N$36,'Enemy Particles'!$K$2:$R$2,0)) * (0.6+0.4*N$30) / $C$2</f>
        <v>0</v>
      </c>
      <c r="O44" s="9"/>
      <c r="P44" s="4"/>
      <c r="Q44" s="35"/>
      <c r="R44" s="39"/>
      <c r="S44" s="1"/>
      <c r="T44" s="1"/>
      <c r="U44" s="1"/>
      <c r="V44" s="1"/>
      <c r="W44" s="1"/>
      <c r="X44" s="1"/>
      <c r="Y44" s="1"/>
      <c r="Z44" s="1"/>
      <c r="AA44" s="1"/>
      <c r="AB44" s="1"/>
      <c r="AC44" s="1"/>
      <c r="AD44" s="1"/>
      <c r="AE44" s="1"/>
      <c r="AF44" s="1"/>
      <c r="AG44" s="1"/>
      <c r="AH44" s="1"/>
      <c r="AI44" s="1"/>
      <c r="AJ44" s="1"/>
      <c r="AK44" s="1"/>
      <c r="AL44" s="1"/>
      <c r="AM44" s="1"/>
      <c r="AN44" s="1"/>
      <c r="AO44" s="4"/>
      <c r="AP44" s="4"/>
      <c r="AQ44" s="4"/>
      <c r="AR44" s="4"/>
      <c r="AS44" s="4"/>
    </row>
    <row r="45" ht="14.25" customHeight="1">
      <c r="A45" s="1"/>
      <c r="B45" s="42" t="s">
        <v>60</v>
      </c>
      <c r="C45" s="9"/>
      <c r="D45" s="34"/>
      <c r="E45" s="41">
        <f>E$73 * IF(AND(COUNTIF($E$36:$N$36, "Electro") &gt;= 2, OR(COUNTIF($E$36:$N$36, "Pyro") &gt;= 1, COUNTIF($E$36:$N$36, "Hydro") &gt;= 1, COUNTIF($E$36:$N$36, "Cryo") &gt;= 1, COUNTIF($E$36:$N$36, "Dendro") &gt;= 1)),(1/$N$2) * ( 0.6+0.4*E$30) * IF("Electro"=E$36, OnFieldRight, OnFieldWrong), 0) +
IF(E7="Dori", 5*(F12+F13), 0)</f>
        <v>0</v>
      </c>
      <c r="F45" s="9"/>
      <c r="G45" s="1"/>
      <c r="H45" s="41">
        <f>H$73 * IF(AND(COUNTIF($E$36:$N$36, "Electro") &gt;= 2, OR(COUNTIF($E$36:$N$36, "Pyro") &gt;= 1, COUNTIF($E$36:$N$36, "Hydro") &gt;= 1, COUNTIF($E$36:$N$36, "Cryo") &gt;= 1, COUNTIF($E$36:$N$36, "Dendro") &gt;= 1)),(1/$N$2) * ( 0.6+0.4*H$30) * IF("Electro"=H$36, OnFieldRight, OnFieldWrong), 0) +
IF(H7="Dori", 5*(I12+I13), 0)</f>
        <v>0</v>
      </c>
      <c r="I45" s="9"/>
      <c r="J45" s="1"/>
      <c r="K45" s="41">
        <f>K$73 * IF(AND(COUNTIF($E$36:$N$36, "Electro") &gt;= 2, OR(COUNTIF($E$36:$N$36, "Pyro") &gt;= 1, COUNTIF($E$36:$N$36, "Hydro") &gt;= 1, COUNTIF($E$36:$N$36, "Cryo") &gt;= 1, COUNTIF($E$36:$N$36, "Dendro") &gt;= 1)),(1/$N$2) * ( 0.6+0.4*K$30) * IF("Electro"=K$36, OnFieldRight, OnFieldWrong), 0) +
IF(K7="Dori", 5*(L12+L13), 0)</f>
        <v>0</v>
      </c>
      <c r="L45" s="9"/>
      <c r="M45" s="1"/>
      <c r="N45" s="41">
        <f>N$73 * IF(AND(COUNTIF($E$36:$N$36, "Electro") &gt;= 2, OR(COUNTIF($E$36:$N$36, "Pyro") &gt;= 1, COUNTIF($E$36:$N$36, "Hydro") &gt;= 1, COUNTIF($E$36:$N$36, "Cryo") &gt;= 1, COUNTIF($E$36:$N$36, "Dendro") &gt;= 1)),(1/$N$2) * ( 0.6+0.4*N$30) * IF("Electro"=N$36, OnFieldRight, OnFieldWrong), 0) +
IF(N7="Dori", 5*(O12+O13), 0)</f>
        <v>0</v>
      </c>
      <c r="O45" s="9"/>
      <c r="P45" s="4"/>
      <c r="Q45" s="35"/>
      <c r="R45" s="39"/>
      <c r="S45" s="1"/>
      <c r="T45" s="1"/>
      <c r="U45" s="1"/>
      <c r="V45" s="1"/>
      <c r="W45" s="1"/>
      <c r="X45" s="1"/>
      <c r="Y45" s="1"/>
      <c r="Z45" s="1"/>
      <c r="AA45" s="1"/>
      <c r="AB45" s="1"/>
      <c r="AC45" s="1"/>
      <c r="AD45" s="1"/>
      <c r="AE45" s="1"/>
      <c r="AF45" s="1"/>
      <c r="AG45" s="1"/>
      <c r="AH45" s="1"/>
      <c r="AI45" s="1"/>
      <c r="AJ45" s="1"/>
      <c r="AK45" s="1"/>
      <c r="AL45" s="1"/>
      <c r="AM45" s="1"/>
      <c r="AN45" s="1"/>
      <c r="AO45" s="4"/>
      <c r="AP45" s="4"/>
      <c r="AQ45" s="4"/>
      <c r="AR45" s="4"/>
      <c r="AS45" s="4"/>
    </row>
    <row r="46" ht="14.25" customHeight="1">
      <c r="A46" s="1"/>
      <c r="B46" s="33" t="s">
        <v>61</v>
      </c>
      <c r="C46" s="9"/>
      <c r="D46" s="34"/>
      <c r="E46" s="43">
        <f>SUM(E40:E45)</f>
        <v>56.96</v>
      </c>
      <c r="F46" s="9"/>
      <c r="G46" s="1"/>
      <c r="H46" s="43">
        <f>SUM(H40:H45)</f>
        <v>58.536</v>
      </c>
      <c r="I46" s="9"/>
      <c r="J46" s="1"/>
      <c r="K46" s="43">
        <f>SUM(K40:K45)</f>
        <v>39.356</v>
      </c>
      <c r="L46" s="9"/>
      <c r="M46" s="1"/>
      <c r="N46" s="43">
        <f>SUM(N40:N45)</f>
        <v>48.688</v>
      </c>
      <c r="O46" s="9"/>
      <c r="P46" s="4"/>
      <c r="Q46" s="35"/>
      <c r="R46" s="39"/>
      <c r="S46" s="1"/>
      <c r="T46" s="1"/>
      <c r="U46" s="1"/>
      <c r="V46" s="1"/>
      <c r="W46" s="1"/>
      <c r="X46" s="1"/>
      <c r="Y46" s="1"/>
      <c r="Z46" s="1"/>
      <c r="AA46" s="1"/>
      <c r="AB46" s="1"/>
      <c r="AC46" s="1"/>
      <c r="AD46" s="1"/>
      <c r="AE46" s="1"/>
      <c r="AF46" s="1"/>
      <c r="AG46" s="1"/>
      <c r="AH46" s="1"/>
      <c r="AI46" s="1"/>
      <c r="AJ46" s="1"/>
      <c r="AK46" s="1"/>
      <c r="AL46" s="1"/>
      <c r="AM46" s="1"/>
      <c r="AN46" s="1"/>
      <c r="AO46" s="4"/>
      <c r="AP46" s="4"/>
      <c r="AQ46" s="4"/>
      <c r="AR46" s="4"/>
      <c r="AS46" s="4"/>
    </row>
    <row r="47" ht="14.25" hidden="1" customHeight="1">
      <c r="A47" s="1"/>
      <c r="B47" s="34"/>
      <c r="C47" s="34"/>
      <c r="D47" s="34"/>
      <c r="E47" s="43"/>
      <c r="F47" s="9"/>
      <c r="G47" s="1"/>
      <c r="H47" s="43"/>
      <c r="I47" s="9"/>
      <c r="J47" s="1"/>
      <c r="K47" s="43"/>
      <c r="L47" s="9"/>
      <c r="M47" s="1"/>
      <c r="N47" s="43"/>
      <c r="O47" s="9"/>
      <c r="P47" s="4"/>
      <c r="Q47" s="35"/>
      <c r="R47" s="44"/>
      <c r="S47" s="1"/>
      <c r="T47" s="1"/>
      <c r="U47" s="1"/>
      <c r="V47" s="1"/>
      <c r="W47" s="1"/>
      <c r="X47" s="1"/>
      <c r="Y47" s="1"/>
      <c r="Z47" s="1"/>
      <c r="AA47" s="1"/>
      <c r="AB47" s="1"/>
      <c r="AC47" s="1"/>
      <c r="AD47" s="1"/>
      <c r="AE47" s="1"/>
      <c r="AF47" s="1"/>
      <c r="AG47" s="1"/>
      <c r="AH47" s="1"/>
      <c r="AI47" s="1"/>
      <c r="AJ47" s="1"/>
      <c r="AK47" s="1"/>
      <c r="AL47" s="1"/>
      <c r="AM47" s="1"/>
      <c r="AN47" s="1"/>
      <c r="AO47" s="4"/>
      <c r="AP47" s="4"/>
      <c r="AQ47" s="4"/>
      <c r="AR47" s="4"/>
      <c r="AS47" s="4"/>
    </row>
    <row r="48" ht="14.25" hidden="1" customHeight="1">
      <c r="A48" s="23"/>
      <c r="B48" s="45" t="s">
        <v>62</v>
      </c>
      <c r="C48" s="9"/>
      <c r="D48" s="46"/>
      <c r="E48" s="47">
        <f>IF(E$73=0,0,E$63/E$73)</f>
        <v>0.6</v>
      </c>
      <c r="F48" s="9"/>
      <c r="G48" s="23"/>
      <c r="H48" s="47">
        <f>IF(H$73=0,0,H$63/H$73)</f>
        <v>0</v>
      </c>
      <c r="I48" s="9"/>
      <c r="J48" s="23"/>
      <c r="K48" s="47">
        <f>IF(K$73=0,0,K$63/K$73)</f>
        <v>0.4</v>
      </c>
      <c r="L48" s="9"/>
      <c r="M48" s="23"/>
      <c r="N48" s="47">
        <f>IF(N$73=0,0,N$63/N$73)</f>
        <v>0.3</v>
      </c>
      <c r="O48" s="9"/>
      <c r="P48" s="48"/>
      <c r="Q48" s="35"/>
      <c r="R48" s="39"/>
      <c r="S48" s="1"/>
      <c r="T48" s="1"/>
      <c r="U48" s="1"/>
      <c r="V48" s="1"/>
      <c r="W48" s="1"/>
      <c r="X48" s="1"/>
      <c r="Y48" s="1"/>
      <c r="Z48" s="1"/>
      <c r="AA48" s="1"/>
      <c r="AB48" s="1"/>
      <c r="AC48" s="1"/>
      <c r="AD48" s="1"/>
      <c r="AE48" s="1"/>
      <c r="AF48" s="1"/>
      <c r="AG48" s="1"/>
      <c r="AH48" s="1"/>
      <c r="AI48" s="1"/>
      <c r="AJ48" s="1"/>
      <c r="AK48" s="1"/>
      <c r="AL48" s="1"/>
      <c r="AM48" s="1"/>
      <c r="AN48" s="1"/>
      <c r="AO48" s="4" t="s">
        <v>63</v>
      </c>
      <c r="AP48" s="4"/>
      <c r="AQ48" s="4"/>
      <c r="AR48" s="4"/>
      <c r="AS48" s="4"/>
    </row>
    <row r="49" ht="14.25" hidden="1" customHeight="1">
      <c r="A49" s="23"/>
      <c r="B49" s="45" t="s">
        <v>64</v>
      </c>
      <c r="C49" s="9"/>
      <c r="D49" s="46"/>
      <c r="E49" s="47">
        <f>IF(E$73=0,0,E$10 * E$69 / E$73)</f>
        <v>0</v>
      </c>
      <c r="F49" s="9"/>
      <c r="G49" s="23"/>
      <c r="H49" s="47">
        <f>IF(H$73=0,0,H$10 * H$69 / H$73)</f>
        <v>0.335</v>
      </c>
      <c r="I49" s="9"/>
      <c r="J49" s="23"/>
      <c r="K49" s="47">
        <f>IF(K$73=0,0,K$10 * K$69 / K$73)</f>
        <v>0</v>
      </c>
      <c r="L49" s="9"/>
      <c r="M49" s="23"/>
      <c r="N49" s="47">
        <f>IF(N$73=0,0,N$10 * N$69 / N$73)</f>
        <v>0</v>
      </c>
      <c r="O49" s="9"/>
      <c r="P49" s="48"/>
      <c r="Q49" s="35"/>
      <c r="R49" s="39"/>
      <c r="AO49" s="4"/>
      <c r="AP49" s="4"/>
      <c r="AQ49" s="4"/>
      <c r="AR49" s="4"/>
      <c r="AS49" s="4"/>
    </row>
    <row r="50" ht="14.25" hidden="1" customHeight="1">
      <c r="A50" s="23"/>
      <c r="B50" s="45" t="s">
        <v>58</v>
      </c>
      <c r="C50" s="9"/>
      <c r="D50" s="46"/>
      <c r="E50" s="47">
        <f>IF(E$73=0,0,3*E$28/E$73)</f>
        <v>0</v>
      </c>
      <c r="F50" s="9"/>
      <c r="G50" s="23"/>
      <c r="H50" s="47">
        <f>IF(H$73=0,0,3*H$28/H$73)</f>
        <v>0</v>
      </c>
      <c r="I50" s="9"/>
      <c r="J50" s="23"/>
      <c r="K50" s="47">
        <f>IF(K$73=0,0,3*K$28/K$73)</f>
        <v>0</v>
      </c>
      <c r="L50" s="9"/>
      <c r="M50" s="23"/>
      <c r="N50" s="47">
        <f>IF(N$73=0,0,3*N$28/N$73)</f>
        <v>0</v>
      </c>
      <c r="O50" s="9"/>
      <c r="P50" s="48"/>
      <c r="Q50" s="35"/>
      <c r="R50" s="39"/>
      <c r="AO50" s="4"/>
      <c r="AP50" s="4"/>
      <c r="AQ50" s="4"/>
      <c r="AR50" s="4"/>
      <c r="AS50" s="4"/>
    </row>
    <row r="51" ht="14.25" hidden="1" customHeight="1">
      <c r="A51" s="23"/>
      <c r="B51" s="49" t="str">
        <f>CONCATENATE("Energy from ", $E$7)</f>
        <v>Energy from Alhaitham</v>
      </c>
      <c r="C51" s="49"/>
      <c r="D51" s="49"/>
      <c r="E51" s="50">
        <f>E$73*(IF($AA61=E$7,$AB61*OnField+(1-$AB61)*OffField,IF($S61=E$7,(1-$AB61)*OnField+$AB61*OffField, OffField))*($W61*IF(E$36=$U61,RightElement,WrongElement)+$Y61*NoElement)+
$X61*(E74*OnField+(1-E74)*OffField)*IF(E$36=$U61,RightElement,WrongElement))</f>
        <v>36</v>
      </c>
      <c r="F51" s="9"/>
      <c r="G51" s="23"/>
      <c r="H51" s="50">
        <f>H$73*(IF($AA61=H$7,$AB61*OnField+(1-$AB61)*OffField,IF($S61=H$7,(1-$AB61)*OnField+$AB61*OffField, OffField))*($W61*IF(H$36=$U61,RightElement,WrongElement)+$Y61*NoElement)+
$X61*(H74*OnField+(1-H74)*OffField)*IF(H$36=$U61,RightElement,WrongElement))</f>
        <v>14.4</v>
      </c>
      <c r="I51" s="9"/>
      <c r="J51" s="23"/>
      <c r="K51" s="50">
        <f>K$73*(IF($AA61=K$7,$AB61*OnField+(1-$AB61)*OffField,IF($S61=K$7,(1-$AB61)*OnField+$AB61*OffField, OffField))*($W61*IF(K$36=$U61,RightElement,WrongElement)+$Y61*NoElement)+
$X61*(K74*OnField+(1-K74)*OffField)*IF(K$36=$U61,RightElement,WrongElement))</f>
        <v>7.2</v>
      </c>
      <c r="L51" s="9"/>
      <c r="M51" s="23"/>
      <c r="N51" s="50">
        <f>N$73*(IF($AA61=N$7,$AB61*OnField+(1-$AB61)*OffField,IF($S61=N$7,(1-$AB61)*OnField+$AB61*OffField, OffField))*($W61*IF(N$36=$U61,RightElement,WrongElement)+$Y61*NoElement)+
$X61*(N74*OnField+(1-N74)*OffField)*IF(N$36=$U61,RightElement,WrongElement))</f>
        <v>21.6</v>
      </c>
      <c r="O51" s="9"/>
      <c r="P51" s="48"/>
      <c r="Q51" s="35"/>
      <c r="R51" s="39"/>
      <c r="AO51" s="4"/>
      <c r="AP51" s="4"/>
      <c r="AQ51" s="4"/>
      <c r="AR51" s="4"/>
      <c r="AS51" s="4"/>
    </row>
    <row r="52" ht="14.25" hidden="1" customHeight="1">
      <c r="A52" s="23"/>
      <c r="B52" s="49" t="str">
        <f>CONCATENATE("Energy from ", $H$7)</f>
        <v>Energy from Fischl</v>
      </c>
      <c r="C52" s="49"/>
      <c r="D52" s="49"/>
      <c r="E52" s="50">
        <f>E$73*(IF($AA62=E$7,$AB62*OnField+(1-$AB62)*OffField,IF($S62=E$7,(1-$AB62)*OnField+$AB62*OffField, OffField))*($W62*IF(E$36=$U62,RightElement,WrongElement)+$Y62*NoElement)+
$X62*(E75*OnField+(1-E75)*OffField)*IF(E$36=$U62,RightElement,WrongElement))</f>
        <v>5.36</v>
      </c>
      <c r="F52" s="9"/>
      <c r="G52" s="23"/>
      <c r="H52" s="50">
        <f>H$73*(IF($AA62=H$7,$AB62*OnField+(1-$AB62)*OffField,IF($S62=H$7,(1-$AB62)*OnField+$AB62*OffField, OffField))*($W62*IF(H$36=$U62,RightElement,WrongElement)+$Y62*NoElement)+
$X62*(H75*OnField+(1-H75)*OffField)*IF(H$36=$U62,RightElement,WrongElement))</f>
        <v>27.336</v>
      </c>
      <c r="I52" s="9"/>
      <c r="J52" s="23"/>
      <c r="K52" s="50">
        <f>K$73*(IF($AA62=K$7,$AB62*OnField+(1-$AB62)*OffField,IF($S62=K$7,(1-$AB62)*OnField+$AB62*OffField, OffField))*($W62*IF(K$36=$U62,RightElement,WrongElement)+$Y62*NoElement)+
$X62*(K75*OnField+(1-K75)*OffField)*IF(K$36=$U62,RightElement,WrongElement))</f>
        <v>4.556</v>
      </c>
      <c r="L52" s="9"/>
      <c r="M52" s="23"/>
      <c r="N52" s="50">
        <f>N$73*(IF($AA62=N$7,$AB62*OnField+(1-$AB62)*OffField,IF($S62=N$7,(1-$AB62)*OnField+$AB62*OffField, OffField))*($W62*IF(N$36=$U62,RightElement,WrongElement)+$Y62*NoElement)+
$X62*(N75*OnField+(1-N75)*OffField)*IF(N$36=$U62,RightElement,WrongElement))</f>
        <v>4.288</v>
      </c>
      <c r="O52" s="9"/>
      <c r="P52" s="48"/>
      <c r="Q52" s="35"/>
      <c r="R52" s="39"/>
      <c r="AO52" s="4"/>
      <c r="AP52" s="4"/>
      <c r="AQ52" s="4"/>
      <c r="AR52" s="4"/>
      <c r="AS52" s="4"/>
    </row>
    <row r="53" ht="14.25" hidden="1" customHeight="1">
      <c r="A53" s="23"/>
      <c r="B53" s="49" t="str">
        <f>CONCATENATE("Energy from ", $K$7)</f>
        <v>Energy from Sucrose</v>
      </c>
      <c r="C53" s="49"/>
      <c r="D53" s="49"/>
      <c r="E53" s="50">
        <f>E$73*(IF($AA63=E$7,$AB63*OnField+(1-$AB63)*OffField,IF($S63=E$7,(1-$AB63)*OnField+$AB63*OffField, OffField))*($W63*IF(E$36=$U63,RightElement,WrongElement)+$Y63*NoElement)+
$X63*(E76*OnField+(1-E76)*OffField)*IF(E$36=$U63,RightElement,WrongElement))</f>
        <v>4.8</v>
      </c>
      <c r="F53" s="9"/>
      <c r="G53" s="23"/>
      <c r="H53" s="50">
        <f>H$73*(IF($AA63=H$7,$AB63*OnField+(1-$AB63)*OffField,IF($S63=H$7,(1-$AB63)*OnField+$AB63*OffField, OffField))*($W63*IF(H$36=$U63,RightElement,WrongElement)+$Y63*NoElement)+
$X63*(H76*OnField+(1-H76)*OffField)*IF(H$36=$U63,RightElement,WrongElement))</f>
        <v>9.6</v>
      </c>
      <c r="I53" s="9"/>
      <c r="J53" s="23"/>
      <c r="K53" s="50">
        <f>K$73*(IF($AA63=K$7,$AB63*OnField+(1-$AB63)*OffField,IF($S63=K$7,(1-$AB63)*OnField+$AB63*OffField, OffField))*($W63*IF(K$36=$U63,RightElement,WrongElement)+$Y63*NoElement)+
$X63*(K76*OnField+(1-K76)*OffField)*IF(K$36=$U63,RightElement,WrongElement))</f>
        <v>24</v>
      </c>
      <c r="L53" s="9"/>
      <c r="M53" s="23"/>
      <c r="N53" s="50">
        <f>N$73*(IF($AA63=N$7,$AB63*OnField+(1-$AB63)*OffField,IF($S63=N$7,(1-$AB63)*OnField+$AB63*OffField, OffField))*($W63*IF(N$36=$U63,RightElement,WrongElement)+$Y63*NoElement)+
$X63*(N76*OnField+(1-N76)*OffField)*IF(N$36=$U63,RightElement,WrongElement))</f>
        <v>4.8</v>
      </c>
      <c r="O53" s="9"/>
      <c r="P53" s="48"/>
      <c r="Q53" s="35"/>
      <c r="R53" s="39"/>
      <c r="AO53" s="4"/>
      <c r="AP53" s="4"/>
      <c r="AQ53" s="4"/>
      <c r="AR53" s="4"/>
      <c r="AS53" s="4"/>
    </row>
    <row r="54" ht="14.25" hidden="1" customHeight="1">
      <c r="A54" s="23"/>
      <c r="B54" s="49" t="str">
        <f>CONCATENATE("Energy from ", $N$7)</f>
        <v>Energy from Baizhu</v>
      </c>
      <c r="C54" s="49"/>
      <c r="D54" s="49"/>
      <c r="E54" s="50">
        <f>E$73*(IF($AA64=E$7,$AB64*OnField+(1-$AB64)*OffField,IF($S64=E$7,(1-$AB64)*OnField+$AB64*OffField, OffField))*($W64*IF(E$36=$U64,RightElement,WrongElement)+$Y64*NoElement)+
$X64*(E77*OnField+(1-E77)*OffField)*IF(E$36=$U64,RightElement,WrongElement))</f>
        <v>10.8</v>
      </c>
      <c r="F54" s="9"/>
      <c r="G54" s="23"/>
      <c r="H54" s="50">
        <f>H$73*(IF($AA64=H$7,$AB64*OnField+(1-$AB64)*OffField,IF($S64=H$7,(1-$AB64)*OnField+$AB64*OffField, OffField))*($W64*IF(H$36=$U64,RightElement,WrongElement)+$Y64*NoElement)+
$X64*(H77*OnField+(1-H77)*OffField)*IF(H$36=$U64,RightElement,WrongElement))</f>
        <v>7.2</v>
      </c>
      <c r="I54" s="9"/>
      <c r="J54" s="23"/>
      <c r="K54" s="50">
        <f>K$73*(IF($AA64=K$7,$AB64*OnField+(1-$AB64)*OffField,IF($S64=K$7,(1-$AB64)*OnField+$AB64*OffField, OffField))*($W64*IF(K$36=$U64,RightElement,WrongElement)+$Y64*NoElement)+
$X64*(K77*OnField+(1-K77)*OffField)*IF(K$36=$U64,RightElement,WrongElement))</f>
        <v>3.6</v>
      </c>
      <c r="L54" s="9"/>
      <c r="M54" s="23"/>
      <c r="N54" s="50">
        <f>N$73*(IF($AA64=N$7,$AB64*OnField+(1-$AB64)*OffField,IF($S64=N$7,(1-$AB64)*OnField+$AB64*OffField, OffField))*($W64*IF(N$36=$U64,RightElement,WrongElement)+$Y64*NoElement)+
$X64*(N77*OnField+(1-N77)*OffField)*IF(N$36=$U64,RightElement,WrongElement))</f>
        <v>18</v>
      </c>
      <c r="O54" s="9"/>
      <c r="P54" s="48"/>
      <c r="Q54" s="35"/>
      <c r="R54" s="39"/>
      <c r="AO54" s="4"/>
      <c r="AP54" s="4"/>
      <c r="AQ54" s="4"/>
      <c r="AR54" s="4"/>
      <c r="AS54" s="4"/>
    </row>
    <row r="55" ht="14.25" hidden="1" customHeight="1">
      <c r="A55" s="23"/>
      <c r="B55" s="49" t="s">
        <v>59</v>
      </c>
      <c r="C55" s="49"/>
      <c r="D55" s="49"/>
      <c r="E55" s="50">
        <f t="array" ref="E55">E$73 * INDEX('Enemy Particles'!$K$3:$R$11, MATCH('Energy Recharge Calculator'!$C$3,'Enemy Particles'!$A$3:$A$11,0),MATCH('Energy Recharge Calculator'!E$36,'Enemy Particles'!$K$2:$R$2,0)) * (0.6+0.4*E$30) / $C$2</f>
        <v>0</v>
      </c>
      <c r="F55" s="9"/>
      <c r="G55" s="23"/>
      <c r="H55" s="50">
        <f t="array" ref="H55">H$73 * INDEX('Enemy Particles'!$K$3:$R$11, MATCH('Energy Recharge Calculator'!$C$3,'Enemy Particles'!$A$3:$A$11,0),MATCH('Energy Recharge Calculator'!H$36,'Enemy Particles'!$K$2:$R$2,0)) * (0.6+0.4*H$30) / $C$2</f>
        <v>0</v>
      </c>
      <c r="I55" s="9"/>
      <c r="J55" s="23"/>
      <c r="K55" s="50">
        <f t="array" ref="K55">K$73 * INDEX('Enemy Particles'!$K$3:$R$11, MATCH('Energy Recharge Calculator'!$C$3,'Enemy Particles'!$A$3:$A$11,0),MATCH('Energy Recharge Calculator'!K$36,'Enemy Particles'!$K$2:$R$2,0)) * (0.6+0.4*K$30) / $C$2</f>
        <v>0</v>
      </c>
      <c r="L55" s="9"/>
      <c r="M55" s="23"/>
      <c r="N55" s="50">
        <f t="array" ref="N55">N$73 * INDEX('Enemy Particles'!$K$3:$R$11, MATCH('Energy Recharge Calculator'!$C$3,'Enemy Particles'!$A$3:$A$11,0),MATCH('Energy Recharge Calculator'!N$36,'Enemy Particles'!$K$2:$R$2,0)) * (0.6+0.4*N$30) / $C$2</f>
        <v>0</v>
      </c>
      <c r="O55" s="9"/>
      <c r="P55" s="48"/>
      <c r="Q55" s="35"/>
      <c r="R55" s="39"/>
      <c r="AO55" s="4"/>
      <c r="AP55" s="4"/>
      <c r="AQ55" s="4"/>
      <c r="AR55" s="4"/>
      <c r="AS55" s="4"/>
    </row>
    <row r="56" ht="14.25" hidden="1" customHeight="1">
      <c r="A56" s="23"/>
      <c r="B56" s="51" t="s">
        <v>60</v>
      </c>
      <c r="C56" s="9"/>
      <c r="D56" s="52"/>
      <c r="E56" s="50">
        <f>E$73 * IF(AND(COUNTIF($E$36:$N$36, "Electro") &gt;= 2, OR(COUNTIF($E$36:$N$36, "Pyro") &gt;= 1, COUNTIF($E$36:$N$36, "Hydro") &gt;= 1, COUNTIF($E$36:$N$36, "Cryo") &gt;= 1, COUNTIF($E$36:$N$36, "Dendro") &gt;= 1)),(1/$N$2) * ( 0.6+0.4*E$30) * IF("Electro"=E$36, OnFieldRight, OnFieldWrong), 0) +
IF(E7="Dori", 5*(F12+F13), 0)</f>
        <v>0</v>
      </c>
      <c r="F56" s="9"/>
      <c r="G56" s="23"/>
      <c r="H56" s="50">
        <f>H$73 * IF(AND(COUNTIF($E$36:$N$36, "Electro") &gt;= 2, OR(COUNTIF($E$36:$N$36, "Pyro") &gt;= 1, COUNTIF($E$36:$N$36, "Hydro") &gt;= 1, COUNTIF($E$36:$N$36, "Cryo") &gt;= 1, COUNTIF($E$36:$N$36, "Dendro") &gt;= 1)),(1/$N$2) * ( 0.6+0.4*H$30) * IF("Electro"=H$36, OnFieldRight, OnFieldWrong), 0) +
IF(H7="Dori", 5*(I12+I13), 0)</f>
        <v>0</v>
      </c>
      <c r="I56" s="9"/>
      <c r="J56" s="23"/>
      <c r="K56" s="50">
        <f>K$73 * IF(AND(COUNTIF($E$36:$N$36, "Electro") &gt;= 2, OR(COUNTIF($E$36:$N$36, "Pyro") &gt;= 1, COUNTIF($E$36:$N$36, "Hydro") &gt;= 1, COUNTIF($E$36:$N$36, "Cryo") &gt;= 1, COUNTIF($E$36:$N$36, "Dendro") &gt;= 1)),(1/$N$2) * ( 0.6+0.4*K$30) * IF("Electro"=K$36, OnFieldRight, OnFieldWrong), 0) +
IF(K7="Dori", 5*(L12+L13), 0)</f>
        <v>0</v>
      </c>
      <c r="L56" s="9"/>
      <c r="M56" s="23"/>
      <c r="N56" s="50">
        <f>N$73 * IF(AND(COUNTIF($E$36:$N$36, "Electro") &gt;= 2, OR(COUNTIF($E$36:$N$36, "Pyro") &gt;= 1, COUNTIF($E$36:$N$36, "Hydro") &gt;= 1, COUNTIF($E$36:$N$36, "Cryo") &gt;= 1, COUNTIF($E$36:$N$36, "Dendro") &gt;= 1)),(1/$N$2) * ( 0.6+0.4*N$30) * IF("Electro"=N$36, OnFieldRight, OnFieldWrong), 0) +
IF(N7="Dori", 5*(O12+O13), 0)</f>
        <v>0</v>
      </c>
      <c r="O56" s="9"/>
      <c r="P56" s="48"/>
      <c r="Q56" s="35"/>
      <c r="R56" s="39"/>
      <c r="AO56" s="4"/>
      <c r="AP56" s="4"/>
      <c r="AQ56" s="4"/>
      <c r="AR56" s="4"/>
      <c r="AS56" s="4"/>
    </row>
    <row r="57" ht="14.25" hidden="1" customHeight="1">
      <c r="A57" s="23"/>
      <c r="B57" s="53" t="s">
        <v>61</v>
      </c>
      <c r="C57" s="9"/>
      <c r="D57" s="54"/>
      <c r="E57" s="55">
        <f>SUM(E51:E56)</f>
        <v>56.96</v>
      </c>
      <c r="F57" s="9"/>
      <c r="G57" s="23"/>
      <c r="H57" s="55">
        <f>SUM(H51:H56)</f>
        <v>58.536</v>
      </c>
      <c r="I57" s="9"/>
      <c r="J57" s="23"/>
      <c r="K57" s="55">
        <f>SUM(K51:K56)</f>
        <v>39.356</v>
      </c>
      <c r="L57" s="9"/>
      <c r="M57" s="23"/>
      <c r="N57" s="55">
        <f>SUM(N51:N56)</f>
        <v>48.688</v>
      </c>
      <c r="O57" s="9"/>
      <c r="P57" s="48"/>
      <c r="Q57" s="35"/>
      <c r="R57" s="39"/>
      <c r="AO57" s="4"/>
      <c r="AP57" s="4"/>
      <c r="AQ57" s="4"/>
      <c r="AR57" s="4"/>
      <c r="AS57" s="4"/>
    </row>
    <row r="58" ht="14.25" hidden="1" customHeight="1">
      <c r="A58" s="23"/>
      <c r="B58" s="54"/>
      <c r="C58" s="54"/>
      <c r="D58" s="54"/>
      <c r="E58" s="56"/>
      <c r="F58" s="56"/>
      <c r="G58" s="23"/>
      <c r="H58" s="56"/>
      <c r="I58" s="56"/>
      <c r="J58" s="23"/>
      <c r="K58" s="56"/>
      <c r="L58" s="56"/>
      <c r="M58" s="23"/>
      <c r="N58" s="56"/>
      <c r="O58" s="56"/>
      <c r="P58" s="48"/>
      <c r="Q58" s="35"/>
      <c r="R58" s="39"/>
      <c r="AO58" s="4"/>
      <c r="AP58" s="4"/>
      <c r="AQ58" s="4"/>
      <c r="AR58" s="4"/>
      <c r="AS58" s="4"/>
    </row>
    <row r="59" ht="14.25" hidden="1" customHeight="1">
      <c r="A59" s="1"/>
      <c r="B59" s="7" t="s">
        <v>65</v>
      </c>
      <c r="C59" s="34"/>
      <c r="D59" s="34"/>
      <c r="E59" s="57">
        <f>IF(AND(OR(E7="Fischl",E7="Fischl (C6)"),F12+F13&gt;=1,E73&lt;25),31,
IF(AND(E7="Mona",OR(ISBLANK(E14),E14="Mona"),F12+F13&gt;0),14,
IF(AND(E7="Jean",E29=16),29,
IF(AND(E7="Tartaglia",E29&lt;20),29,
IF(AND(E7="Traveler (Geo)",ISBLANK(E29)),29,
IF(AND(E7="Venti",E29=15),29,
IF(AND(E7="Traveler (Dendro)",OR(E29=3.5,E29=7,E29=10.5)),29,
0)))))))</f>
        <v>0</v>
      </c>
      <c r="F59" s="57">
        <f>IF(AND(E7="Diluc",F12=3),12,
IF(AND(E7="Kokomi",F12=2),12,
IF(AND(E7="Tartaglia",F12&gt;=3),12,
IF(AND(E7="Yae Miko",F12=3),12,
0))))</f>
        <v>0</v>
      </c>
      <c r="G59" s="1"/>
      <c r="H59" s="57">
        <f>IF(AND(OR(H7="Fischl",H7="Fischl (C6)"),I12+I13&gt;=1,H73&lt;25),31,
IF(AND(H7="Mona",OR(ISBLANK(H14),H14="Mona"),I12+I13&gt;0),14,
IF(AND(H7="Jean",H29=16),29,
IF(AND(H7="Tartaglia",H29&lt;20),29,
IF(AND(H7="Traveler (Geo)",ISBLANK(H29)),29,
IF(AND(H7="Venti",H29=15),29,
IF(AND(H7="Traveler (Dendro)",OR(H29=3.5,H29=7,H29=10.5)),29,
0)))))))</f>
        <v>0</v>
      </c>
      <c r="I59" s="57">
        <f>IF(AND(H7="Diluc",I12=3),12,
IF(AND(H7="Kokomi",I12=2),12,
IF(AND(H7="Tartaglia",I12&gt;=3),12,
IF(AND(H7="Yae Miko",I12=3),12,
0))))</f>
        <v>0</v>
      </c>
      <c r="J59" s="1"/>
      <c r="K59" s="57">
        <f>IF(AND(OR(K7="Fischl",K7="Fischl (C6)"),L12+L13&gt;=1,K73&lt;25),31,
IF(AND(K7="Mona",OR(ISBLANK(K14),K14="Mona"),L12+L13&gt;0),14,
IF(AND(K7="Jean",K29=16),29,
IF(AND(K7="Tartaglia",K29&lt;20),29,
IF(AND(K7="Traveler (Geo)",ISBLANK(K29)),29,
IF(AND(K7="Venti",K29=15),29,
IF(AND(K7="Traveler (Dendro)",OR(K29=3.5,K29=7,K29=10.5)),29,
0)))))))</f>
        <v>0</v>
      </c>
      <c r="L59" s="57">
        <f>IF(AND(K7="Diluc",L12=3),12,
IF(AND(K7="Kokomi",L12=2),12,
IF(AND(K7="Tartaglia",L12&gt;=3),12,
IF(AND(K7="Yae Miko",L12=3),12,
0))))</f>
        <v>0</v>
      </c>
      <c r="M59" s="1"/>
      <c r="N59" s="57">
        <f>IF(AND(OR(N7="Fischl",N7="Fischl (C6)"),O12+O13&gt;=1,N73&lt;25),31,
IF(AND(N7="Mona",OR(ISBLANK(N14),N14="Mona"),O12+O13&gt;0),14,
IF(AND(N7="Jean",N29=16),29,
IF(AND(N7="Tartaglia",N29&lt;20),29,
IF(AND(N7="Traveler (Geo)",ISBLANK(N29)),29,
IF(AND(N7="Venti",N29=15),29,
IF(AND(N7="Traveler (Dendro)",OR(N29=3.5,N29=7,N29=10.5)),29,
0)))))))</f>
        <v>0</v>
      </c>
      <c r="O59" s="57">
        <f>IF(AND(N7="Diluc",O12=3),12,
IF(AND(N7="Kokomi",O12=2),12,
IF(AND(N7="Tartaglia",O12&gt;=3),12,
IF(AND(N7="Yae Miko",O12=3),12,
0))))</f>
        <v>0</v>
      </c>
      <c r="P59" s="4"/>
      <c r="Q59" s="39"/>
      <c r="R59" s="39"/>
      <c r="S59" s="4" t="s">
        <v>66</v>
      </c>
      <c r="T59" s="4" t="s">
        <v>67</v>
      </c>
      <c r="U59" s="4" t="s">
        <v>53</v>
      </c>
      <c r="V59" s="4" t="s">
        <v>68</v>
      </c>
      <c r="W59" s="48" t="s">
        <v>69</v>
      </c>
      <c r="X59" s="48" t="s">
        <v>70</v>
      </c>
      <c r="Y59" s="48" t="s">
        <v>71</v>
      </c>
      <c r="Z59" s="4" t="s">
        <v>72</v>
      </c>
      <c r="AA59" s="58" t="s">
        <v>73</v>
      </c>
      <c r="AB59" s="59" t="s">
        <v>74</v>
      </c>
      <c r="AC59" s="60" t="s">
        <v>75</v>
      </c>
      <c r="AD59" s="61"/>
      <c r="AE59" s="61"/>
      <c r="AF59" s="9"/>
      <c r="AG59" s="60" t="s">
        <v>76</v>
      </c>
      <c r="AH59" s="61"/>
      <c r="AI59" s="61"/>
      <c r="AJ59" s="9"/>
      <c r="AK59" s="60" t="s">
        <v>77</v>
      </c>
      <c r="AL59" s="61"/>
      <c r="AM59" s="61"/>
      <c r="AN59" s="9"/>
      <c r="AO59" s="4"/>
      <c r="AP59" s="4"/>
      <c r="AQ59" s="4"/>
      <c r="AR59" s="4"/>
      <c r="AS59" s="4"/>
    </row>
    <row r="60" ht="14.25" hidden="1" customHeight="1">
      <c r="A60" s="1"/>
      <c r="B60" s="8" t="s">
        <v>78</v>
      </c>
      <c r="C60" s="9"/>
      <c r="D60" s="7"/>
      <c r="E60" s="4">
        <f>MATCH(E$7, Data!$A$2:$A$75,0)</f>
        <v>2</v>
      </c>
      <c r="F60" s="4"/>
      <c r="G60" s="1"/>
      <c r="H60" s="4">
        <f>MATCH(H$7, Data!$A$2:$A$75,0)</f>
        <v>22</v>
      </c>
      <c r="I60" s="4"/>
      <c r="J60" s="1"/>
      <c r="K60" s="4">
        <f>MATCH(K$7, Data!$A$2:$A$75,0)</f>
        <v>54</v>
      </c>
      <c r="L60" s="4"/>
      <c r="M60" s="1"/>
      <c r="N60" s="4">
        <f>MATCH(N$7, Data!$A$2:$A$75,0)</f>
        <v>7</v>
      </c>
      <c r="O60" s="4"/>
      <c r="P60" s="1"/>
      <c r="Q60" s="39"/>
      <c r="R60" s="39"/>
      <c r="S60" s="4"/>
      <c r="T60" s="4"/>
      <c r="U60" s="4"/>
      <c r="V60" s="4"/>
      <c r="W60" s="48"/>
      <c r="X60" s="48"/>
      <c r="Y60" s="48"/>
      <c r="Z60" s="4"/>
      <c r="AA60" s="58"/>
      <c r="AB60" s="59"/>
      <c r="AC60" s="4" t="str">
        <f>$E$7</f>
        <v>Alhaitham</v>
      </c>
      <c r="AD60" s="4" t="str">
        <f>$H$7</f>
        <v>Fischl</v>
      </c>
      <c r="AE60" s="4" t="str">
        <f>$K$7</f>
        <v>Sucrose</v>
      </c>
      <c r="AF60" s="4" t="str">
        <f>$N$7</f>
        <v>Baizhu</v>
      </c>
      <c r="AG60" s="4" t="str">
        <f>$E$7</f>
        <v>Alhaitham</v>
      </c>
      <c r="AH60" s="4" t="str">
        <f>$H$7</f>
        <v>Fischl</v>
      </c>
      <c r="AI60" s="4" t="str">
        <f>$K$7</f>
        <v>Sucrose</v>
      </c>
      <c r="AJ60" s="4" t="str">
        <f>$N$7</f>
        <v>Baizhu</v>
      </c>
      <c r="AK60" s="4" t="str">
        <f>$E$7</f>
        <v>Alhaitham</v>
      </c>
      <c r="AL60" s="4" t="str">
        <f>$H$7</f>
        <v>Fischl</v>
      </c>
      <c r="AM60" s="4" t="str">
        <f>$K$7</f>
        <v>Sucrose</v>
      </c>
      <c r="AN60" s="4" t="str">
        <f>$N$7</f>
        <v>Baizhu</v>
      </c>
      <c r="AO60" s="4"/>
      <c r="AP60" s="4"/>
      <c r="AQ60" s="4"/>
      <c r="AR60" s="4"/>
      <c r="AS60" s="4"/>
    </row>
    <row r="61" ht="14.25" hidden="1" customHeight="1">
      <c r="A61" s="1"/>
      <c r="B61" s="7" t="s">
        <v>79</v>
      </c>
      <c r="C61" s="7"/>
      <c r="D61" s="7"/>
      <c r="E61" s="4">
        <f t="shared" ref="E61:E62" si="13">IFERROR(IF(E12="",1,MATCH(E12,E$108:E$110,0)),1)</f>
        <v>1</v>
      </c>
      <c r="F61" s="4"/>
      <c r="G61" s="1"/>
      <c r="H61" s="4">
        <f t="shared" ref="H61:H62" si="14">IFERROR(IF(H12="",1,MATCH(H12,H$108:H$110,0)),1)</f>
        <v>1</v>
      </c>
      <c r="I61" s="4"/>
      <c r="J61" s="1"/>
      <c r="K61" s="4">
        <f t="shared" ref="K61:K62" si="15">IFERROR(IF(K12="",1,MATCH(K12,K$108:K$110,0)),1)</f>
        <v>1</v>
      </c>
      <c r="L61" s="4"/>
      <c r="M61" s="1"/>
      <c r="N61" s="4">
        <f t="shared" ref="N61:N62" si="16">IFERROR(IF(N12="",1,MATCH(N12,N$108:N$110,0)),1)</f>
        <v>1</v>
      </c>
      <c r="O61" s="4"/>
      <c r="P61" s="1"/>
      <c r="Q61" s="39"/>
      <c r="R61" s="39"/>
      <c r="S61" s="4" t="str">
        <f>E7</f>
        <v>Alhaitham</v>
      </c>
      <c r="T61" s="4" t="s">
        <v>80</v>
      </c>
      <c r="U61" s="4" t="str">
        <f>E36</f>
        <v>Dendro</v>
      </c>
      <c r="V61" s="62">
        <f>E80</f>
        <v>0.6</v>
      </c>
      <c r="W61" s="56">
        <f>E48</f>
        <v>0.6</v>
      </c>
      <c r="X61" s="56">
        <f>E49</f>
        <v>0</v>
      </c>
      <c r="Y61" s="56">
        <f>E50</f>
        <v>0</v>
      </c>
      <c r="Z61" s="62" t="b">
        <f>E78</f>
        <v>0</v>
      </c>
      <c r="AA61" s="58" t="str">
        <f>IF(ISBLANK(E$14),S61,E$14)</f>
        <v>Alhaitham</v>
      </c>
      <c r="AB61" s="63">
        <f>E111</f>
        <v>1</v>
      </c>
      <c r="AC61" s="64" t="str">
        <f t="array" ref="AC61:AN61">TRANSPOSE($E$15:$E$26)</f>
        <v/>
      </c>
      <c r="AD61" s="64"/>
      <c r="AE61" s="64"/>
      <c r="AF61" s="64"/>
      <c r="AG61" s="64"/>
      <c r="AH61" s="64"/>
      <c r="AI61" s="64"/>
      <c r="AJ61" s="64"/>
      <c r="AK61" s="64"/>
      <c r="AL61" s="64"/>
      <c r="AM61" s="64"/>
      <c r="AN61" s="64"/>
      <c r="AO61" s="4"/>
      <c r="AP61" s="4"/>
      <c r="AQ61" s="4"/>
      <c r="AR61" s="4"/>
      <c r="AS61" s="4"/>
    </row>
    <row r="62" ht="14.25" hidden="1" customHeight="1">
      <c r="A62" s="1"/>
      <c r="B62" s="7" t="s">
        <v>81</v>
      </c>
      <c r="C62" s="7"/>
      <c r="D62" s="7"/>
      <c r="E62" s="4">
        <f t="shared" si="13"/>
        <v>1</v>
      </c>
      <c r="F62" s="4"/>
      <c r="G62" s="1"/>
      <c r="H62" s="4">
        <f t="shared" si="14"/>
        <v>1</v>
      </c>
      <c r="I62" s="4"/>
      <c r="J62" s="1"/>
      <c r="K62" s="4">
        <f t="shared" si="15"/>
        <v>1</v>
      </c>
      <c r="L62" s="4"/>
      <c r="M62" s="1"/>
      <c r="N62" s="4">
        <f t="shared" si="16"/>
        <v>1</v>
      </c>
      <c r="O62" s="4"/>
      <c r="P62" s="1"/>
      <c r="Q62" s="39"/>
      <c r="R62" s="39"/>
      <c r="S62" s="4" t="str">
        <f>H7</f>
        <v>Fischl</v>
      </c>
      <c r="T62" s="4" t="s">
        <v>80</v>
      </c>
      <c r="U62" s="4" t="str">
        <f>H36</f>
        <v>Electro</v>
      </c>
      <c r="V62" s="62">
        <f>H80</f>
        <v>0.335</v>
      </c>
      <c r="W62" s="56">
        <f>H48</f>
        <v>0</v>
      </c>
      <c r="X62" s="56">
        <f>H49</f>
        <v>0.335</v>
      </c>
      <c r="Y62" s="56">
        <f>H50</f>
        <v>0</v>
      </c>
      <c r="Z62" s="62" t="b">
        <f>H78</f>
        <v>1</v>
      </c>
      <c r="AA62" s="58" t="str">
        <f>IF(ISBLANK(H$14),S62,H$14)</f>
        <v>Fischl</v>
      </c>
      <c r="AB62" s="63">
        <f>H111</f>
        <v>1</v>
      </c>
      <c r="AC62" s="64" t="str">
        <f t="array" ref="AC62:AN62">TRANSPOSE($H$15:$H$26)</f>
        <v/>
      </c>
      <c r="AD62" s="64"/>
      <c r="AE62" s="64"/>
      <c r="AF62" s="64"/>
      <c r="AG62" s="64"/>
      <c r="AH62" s="64"/>
      <c r="AI62" s="64"/>
      <c r="AJ62" s="64"/>
      <c r="AK62" s="64"/>
      <c r="AL62" s="64"/>
      <c r="AM62" s="64"/>
      <c r="AN62" s="64"/>
      <c r="AO62" s="4"/>
      <c r="AP62" s="4"/>
      <c r="AQ62" s="4"/>
      <c r="AR62" s="4"/>
      <c r="AS62" s="4"/>
    </row>
    <row r="63" ht="14.25" hidden="1" customHeight="1">
      <c r="A63" s="1"/>
      <c r="B63" s="8" t="s">
        <v>82</v>
      </c>
      <c r="C63" s="9"/>
      <c r="D63" s="7"/>
      <c r="E63" s="4">
        <f t="array" ref="E63">INDEX(Data!$F$2:$H$75,E$60,E$61) * (1-E$65) * F$12 +
INDEX(Data!$F$2:$H$75,E$60,E$62) * (1-E$66) * F$13</f>
        <v>12</v>
      </c>
      <c r="F63" s="4"/>
      <c r="G63" s="4"/>
      <c r="H63" s="4">
        <f t="array" ref="H63">INDEX(Data!$F$2:$H$75,H$60,H$61) * (1-H$65) * I$12 +
INDEX(Data!$F$2:$H$75,H$60,H$62) * (1-H$66) * I$13</f>
        <v>0</v>
      </c>
      <c r="I63" s="4"/>
      <c r="J63" s="4"/>
      <c r="K63" s="4">
        <f t="array" ref="K63">INDEX(Data!$F$2:$H$75,K$60,K$61) * (1-K$65) * L$12 +
INDEX(Data!$F$2:$H$75,K$60,K$62) * (1-K$66) * L$13</f>
        <v>8</v>
      </c>
      <c r="L63" s="4"/>
      <c r="M63" s="4"/>
      <c r="N63" s="4">
        <f t="array" ref="N63">INDEX(Data!$F$2:$H$75,N$60,N$61) * (1-N$65) * O$12 +
INDEX(Data!$F$2:$H$75,N$60,N$62) * (1-N$66) * O$13</f>
        <v>6</v>
      </c>
      <c r="O63" s="4"/>
      <c r="P63" s="1"/>
      <c r="Q63" s="39"/>
      <c r="R63" s="39"/>
      <c r="S63" s="4" t="str">
        <f>K7</f>
        <v>Sucrose</v>
      </c>
      <c r="T63" s="4" t="s">
        <v>80</v>
      </c>
      <c r="U63" s="4" t="str">
        <f>K36</f>
        <v>Anemo</v>
      </c>
      <c r="V63" s="62">
        <f>K80</f>
        <v>0.4</v>
      </c>
      <c r="W63" s="56">
        <f>K48</f>
        <v>0.4</v>
      </c>
      <c r="X63" s="56">
        <f>K49</f>
        <v>0</v>
      </c>
      <c r="Y63" s="56">
        <f>K50</f>
        <v>0</v>
      </c>
      <c r="Z63" s="62" t="b">
        <f>K78</f>
        <v>0</v>
      </c>
      <c r="AA63" s="58" t="str">
        <f>IF(ISBLANK(K$14),S63,K$14)</f>
        <v>Sucrose</v>
      </c>
      <c r="AB63" s="63">
        <f>K111</f>
        <v>1</v>
      </c>
      <c r="AC63" s="64" t="str">
        <f t="array" ref="AC63:AN63">TRANSPOSE($K$15:$K$26)</f>
        <v/>
      </c>
      <c r="AD63" s="64"/>
      <c r="AE63" s="64"/>
      <c r="AF63" s="64"/>
      <c r="AG63" s="64"/>
      <c r="AH63" s="64"/>
      <c r="AI63" s="64"/>
      <c r="AJ63" s="64"/>
      <c r="AK63" s="64"/>
      <c r="AL63" s="64"/>
      <c r="AM63" s="64"/>
      <c r="AN63" s="64"/>
      <c r="AO63" s="4"/>
      <c r="AP63" s="4"/>
      <c r="AQ63" s="4"/>
      <c r="AR63" s="4"/>
      <c r="AS63" s="4"/>
    </row>
    <row r="64" ht="14.25" hidden="1" customHeight="1">
      <c r="A64" s="1"/>
      <c r="B64" s="8" t="s">
        <v>83</v>
      </c>
      <c r="C64" s="9"/>
      <c r="D64" s="7"/>
      <c r="E64" s="4">
        <f t="array" ref="E64">IF(E12&lt;&gt;"",INDEX(Data!$L$2:$N$75, E$60, E$61),0) +
IF(E13&lt;&gt;"",INDEX(Data!$L$2:$N$75, E$60, E$62),0)</f>
        <v>0</v>
      </c>
      <c r="F64" s="4"/>
      <c r="G64" s="4"/>
      <c r="H64" s="4">
        <f t="array" ref="H64">IF(H12&lt;&gt;"",INDEX(Data!$L$2:$N$75, H$60, H$61),0) +
IF(H13&lt;&gt;"",INDEX(Data!$L$2:$N$75, H$60, H$62),0)</f>
        <v>0.67</v>
      </c>
      <c r="I64" s="4"/>
      <c r="J64" s="4"/>
      <c r="K64" s="4">
        <f t="array" ref="K64">IF(K12&lt;&gt;"",INDEX(Data!$L$2:$N$75, K$60, K$61),0) +
IF(K13&lt;&gt;"",INDEX(Data!$L$2:$N$75, K$60, K$62),0)</f>
        <v>0</v>
      </c>
      <c r="L64" s="4"/>
      <c r="M64" s="4"/>
      <c r="N64" s="4">
        <f t="array" ref="N64">IF(N12&lt;&gt;"",INDEX(Data!$L$2:$N$75, N$60, N$61),0) * (1-N$65) +
IF(N13&lt;&gt;"",INDEX(Data!$L$2:$N$75, N$60, N$62),0) * (1-N$66)</f>
        <v>0</v>
      </c>
      <c r="O64" s="4"/>
      <c r="P64" s="1"/>
      <c r="Q64" s="39"/>
      <c r="R64" s="39"/>
      <c r="S64" s="4" t="str">
        <f>N7</f>
        <v>Baizhu</v>
      </c>
      <c r="T64" s="4" t="s">
        <v>80</v>
      </c>
      <c r="U64" s="4" t="str">
        <f>N36</f>
        <v>Dendro</v>
      </c>
      <c r="V64" s="62">
        <f>N80</f>
        <v>0.3</v>
      </c>
      <c r="W64" s="56">
        <f>N48</f>
        <v>0.3</v>
      </c>
      <c r="X64" s="56">
        <f>N49</f>
        <v>0</v>
      </c>
      <c r="Y64" s="56">
        <f>N50</f>
        <v>0</v>
      </c>
      <c r="Z64" s="62" t="b">
        <f>N78</f>
        <v>0</v>
      </c>
      <c r="AA64" s="58" t="str">
        <f>IF(ISBLANK(N$14),S64,N$14)</f>
        <v>Baizhu</v>
      </c>
      <c r="AB64" s="63">
        <f>N111</f>
        <v>1</v>
      </c>
      <c r="AC64" s="64" t="str">
        <f t="array" ref="AC64:AN64">TRANSPOSE($N$15:$N$26)</f>
        <v/>
      </c>
      <c r="AD64" s="64"/>
      <c r="AE64" s="64"/>
      <c r="AF64" s="64"/>
      <c r="AG64" s="64"/>
      <c r="AH64" s="64"/>
      <c r="AI64" s="64"/>
      <c r="AJ64" s="64"/>
      <c r="AK64" s="64"/>
      <c r="AL64" s="64"/>
      <c r="AM64" s="64"/>
      <c r="AN64" s="64"/>
      <c r="AO64" s="4"/>
      <c r="AP64" s="4"/>
      <c r="AQ64" s="4"/>
      <c r="AR64" s="4"/>
      <c r="AS64" s="4"/>
    </row>
    <row r="65" ht="14.25" hidden="1" customHeight="1">
      <c r="A65" s="1"/>
      <c r="B65" s="7" t="s">
        <v>84</v>
      </c>
      <c r="C65" s="7"/>
      <c r="D65" s="7"/>
      <c r="E65" s="64">
        <f t="array" ref="E65">INDEX(Data!$I$2:$K$75,E$60,E61) * INDEX(VarianceMultipliers,MATCH($C$4,VarianceLabels,0))</f>
        <v>0</v>
      </c>
      <c r="F65" s="64"/>
      <c r="G65" s="4"/>
      <c r="H65" s="64">
        <f t="array" ref="H65">INDEX(Data!$I$2:$K$75,H$60,H61) * INDEX(VarianceMultipliers,MATCH($C$4,VarianceLabels,0))</f>
        <v>0.5</v>
      </c>
      <c r="I65" s="64"/>
      <c r="J65" s="4"/>
      <c r="K65" s="64">
        <f t="array" ref="K65">INDEX(Data!$I$2:$K$75,K$60,K61) * INDEX(VarianceMultipliers,MATCH($C$4,VarianceLabels,0))</f>
        <v>0</v>
      </c>
      <c r="L65" s="64"/>
      <c r="M65" s="4"/>
      <c r="N65" s="64">
        <f t="array" ref="N65">INDEX(Data!$I$2:$K$75,N$60,N61) * INDEX(VarianceMultipliers,MATCH($C$4,VarianceLabels,0))</f>
        <v>0.1428571429</v>
      </c>
      <c r="O65" s="64"/>
      <c r="P65" s="1"/>
      <c r="Q65" s="39"/>
      <c r="R65" s="39"/>
      <c r="S65" s="4" t="str">
        <f t="shared" ref="S65:S72" si="18">S61</f>
        <v>Alhaitham</v>
      </c>
      <c r="T65" s="4" t="s">
        <v>85</v>
      </c>
      <c r="U65" s="4" t="str">
        <f t="shared" ref="U65:U68" si="19">U61</f>
        <v>Dendro</v>
      </c>
      <c r="V65" s="62">
        <f>E81</f>
        <v>0</v>
      </c>
      <c r="W65" s="62"/>
      <c r="X65" s="62"/>
      <c r="Y65" s="62"/>
      <c r="Z65" s="62" t="b">
        <f>E79</f>
        <v>0</v>
      </c>
      <c r="AA65" s="58" t="str">
        <f t="shared" ref="AA65:AN65" si="17">AA61</f>
        <v>Alhaitham</v>
      </c>
      <c r="AB65" s="63">
        <f t="shared" si="17"/>
        <v>1</v>
      </c>
      <c r="AC65" s="64" t="str">
        <f t="shared" si="17"/>
        <v/>
      </c>
      <c r="AD65" s="64" t="str">
        <f t="shared" si="17"/>
        <v/>
      </c>
      <c r="AE65" s="64" t="str">
        <f t="shared" si="17"/>
        <v/>
      </c>
      <c r="AF65" s="64" t="str">
        <f t="shared" si="17"/>
        <v/>
      </c>
      <c r="AG65" s="64" t="str">
        <f t="shared" si="17"/>
        <v/>
      </c>
      <c r="AH65" s="64" t="str">
        <f t="shared" si="17"/>
        <v/>
      </c>
      <c r="AI65" s="64" t="str">
        <f t="shared" si="17"/>
        <v/>
      </c>
      <c r="AJ65" s="64" t="str">
        <f t="shared" si="17"/>
        <v/>
      </c>
      <c r="AK65" s="64" t="str">
        <f t="shared" si="17"/>
        <v/>
      </c>
      <c r="AL65" s="64" t="str">
        <f t="shared" si="17"/>
        <v/>
      </c>
      <c r="AM65" s="64" t="str">
        <f t="shared" si="17"/>
        <v/>
      </c>
      <c r="AN65" s="64" t="str">
        <f t="shared" si="17"/>
        <v/>
      </c>
      <c r="AO65" s="4"/>
      <c r="AP65" s="4"/>
      <c r="AQ65" s="4"/>
      <c r="AR65" s="4"/>
      <c r="AS65" s="4"/>
    </row>
    <row r="66" ht="14.25" hidden="1" customHeight="1">
      <c r="A66" s="1"/>
      <c r="B66" s="7" t="s">
        <v>86</v>
      </c>
      <c r="C66" s="7"/>
      <c r="D66" s="7"/>
      <c r="E66" s="64">
        <f t="array" ref="E66">INDEX(Data!$I$2:$K$75,E$60,E62) * INDEX(VarianceMultipliers,MATCH($C$4,VarianceLabels,0))</f>
        <v>0</v>
      </c>
      <c r="F66" s="64"/>
      <c r="G66" s="4"/>
      <c r="H66" s="64">
        <f t="array" ref="H66">INDEX(Data!$I$2:$K$75,H$60,H62) * INDEX(VarianceMultipliers,MATCH($C$4,VarianceLabels,0))</f>
        <v>0.5</v>
      </c>
      <c r="I66" s="64"/>
      <c r="J66" s="4"/>
      <c r="K66" s="64">
        <f t="array" ref="K66">INDEX(Data!$I$2:$K$75,K$60,K62) * INDEX(VarianceMultipliers,MATCH($C$4,VarianceLabels,0))</f>
        <v>0</v>
      </c>
      <c r="L66" s="64"/>
      <c r="M66" s="4"/>
      <c r="N66" s="64">
        <f t="array" ref="N66">INDEX(Data!$I$2:$K$75,N$60,N62) * INDEX(VarianceMultipliers,MATCH($C$4,VarianceLabels,0))</f>
        <v>0.1428571429</v>
      </c>
      <c r="O66" s="64"/>
      <c r="P66" s="1"/>
      <c r="Q66" s="39"/>
      <c r="R66" s="39"/>
      <c r="S66" s="4" t="str">
        <f t="shared" si="18"/>
        <v>Fischl</v>
      </c>
      <c r="T66" s="4" t="s">
        <v>85</v>
      </c>
      <c r="U66" s="4" t="str">
        <f t="shared" si="19"/>
        <v>Electro</v>
      </c>
      <c r="V66" s="62">
        <f>H81</f>
        <v>0</v>
      </c>
      <c r="W66" s="62"/>
      <c r="X66" s="62"/>
      <c r="Y66" s="62"/>
      <c r="Z66" s="62" t="b">
        <f>H79</f>
        <v>0</v>
      </c>
      <c r="AA66" s="58" t="str">
        <f t="shared" ref="AA66:AN66" si="20">AA62</f>
        <v>Fischl</v>
      </c>
      <c r="AB66" s="63">
        <f t="shared" si="20"/>
        <v>1</v>
      </c>
      <c r="AC66" s="64" t="str">
        <f t="shared" si="20"/>
        <v/>
      </c>
      <c r="AD66" s="64" t="str">
        <f t="shared" si="20"/>
        <v/>
      </c>
      <c r="AE66" s="64" t="str">
        <f t="shared" si="20"/>
        <v/>
      </c>
      <c r="AF66" s="64" t="str">
        <f t="shared" si="20"/>
        <v/>
      </c>
      <c r="AG66" s="64" t="str">
        <f t="shared" si="20"/>
        <v/>
      </c>
      <c r="AH66" s="64" t="str">
        <f t="shared" si="20"/>
        <v/>
      </c>
      <c r="AI66" s="64" t="str">
        <f t="shared" si="20"/>
        <v/>
      </c>
      <c r="AJ66" s="64" t="str">
        <f t="shared" si="20"/>
        <v/>
      </c>
      <c r="AK66" s="64" t="str">
        <f t="shared" si="20"/>
        <v/>
      </c>
      <c r="AL66" s="64" t="str">
        <f t="shared" si="20"/>
        <v/>
      </c>
      <c r="AM66" s="64" t="str">
        <f t="shared" si="20"/>
        <v/>
      </c>
      <c r="AN66" s="64" t="str">
        <f t="shared" si="20"/>
        <v/>
      </c>
      <c r="AO66" s="4"/>
      <c r="AP66" s="4"/>
      <c r="AQ66" s="4"/>
      <c r="AR66" s="4"/>
      <c r="AS66" s="4"/>
    </row>
    <row r="67" ht="14.25" hidden="1" customHeight="1">
      <c r="A67" s="1"/>
      <c r="B67" s="7" t="s">
        <v>87</v>
      </c>
      <c r="C67" s="7"/>
      <c r="D67" s="7"/>
      <c r="E67" s="4">
        <f>IF(RotationMode=Fixed,E$31,1) * F12 + IF(OR(E$7="Fischl",AND(E$7="Kokomi",E12="Refresh")),1,0)</f>
        <v>2</v>
      </c>
      <c r="F67" s="4"/>
      <c r="G67" s="4"/>
      <c r="H67" s="4">
        <f>IF(RotationMode=Fixed,H$31,1) * I12 + IF(OR(H$7="Fischl",AND(H$7="Kokomi",H12="Refresh")),1,0)</f>
        <v>5</v>
      </c>
      <c r="I67" s="4"/>
      <c r="J67" s="4"/>
      <c r="K67" s="4">
        <f>IF(RotationMode=Fixed,K$31,1) * L12 + IF(OR(K$7="Fischl",AND(K$7="Kokomi",K12="Refresh")),1,0)</f>
        <v>2</v>
      </c>
      <c r="L67" s="4"/>
      <c r="M67" s="4"/>
      <c r="N67" s="4">
        <f>IF(RotationMode=Fixed,N$31,1) * O12 + IF(OR(N$7="Fischl",AND(N$7="Kokomi",N12="Refresh")),1,0)</f>
        <v>2</v>
      </c>
      <c r="O67" s="64"/>
      <c r="P67" s="1"/>
      <c r="Q67" s="39"/>
      <c r="R67" s="39"/>
      <c r="S67" s="4" t="str">
        <f t="shared" si="18"/>
        <v>Sucrose</v>
      </c>
      <c r="T67" s="4" t="s">
        <v>85</v>
      </c>
      <c r="U67" s="4" t="str">
        <f t="shared" si="19"/>
        <v>Anemo</v>
      </c>
      <c r="V67" s="62">
        <f>K81</f>
        <v>0</v>
      </c>
      <c r="W67" s="62"/>
      <c r="X67" s="62"/>
      <c r="Y67" s="62"/>
      <c r="Z67" s="62" t="b">
        <f>K79</f>
        <v>0</v>
      </c>
      <c r="AA67" s="58" t="str">
        <f t="shared" ref="AA67:AN67" si="21">AA63</f>
        <v>Sucrose</v>
      </c>
      <c r="AB67" s="63">
        <f t="shared" si="21"/>
        <v>1</v>
      </c>
      <c r="AC67" s="64" t="str">
        <f t="shared" si="21"/>
        <v/>
      </c>
      <c r="AD67" s="64" t="str">
        <f t="shared" si="21"/>
        <v/>
      </c>
      <c r="AE67" s="64" t="str">
        <f t="shared" si="21"/>
        <v/>
      </c>
      <c r="AF67" s="64" t="str">
        <f t="shared" si="21"/>
        <v/>
      </c>
      <c r="AG67" s="64" t="str">
        <f t="shared" si="21"/>
        <v/>
      </c>
      <c r="AH67" s="64" t="str">
        <f t="shared" si="21"/>
        <v/>
      </c>
      <c r="AI67" s="64" t="str">
        <f t="shared" si="21"/>
        <v/>
      </c>
      <c r="AJ67" s="64" t="str">
        <f t="shared" si="21"/>
        <v/>
      </c>
      <c r="AK67" s="64" t="str">
        <f t="shared" si="21"/>
        <v/>
      </c>
      <c r="AL67" s="64" t="str">
        <f t="shared" si="21"/>
        <v/>
      </c>
      <c r="AM67" s="64" t="str">
        <f t="shared" si="21"/>
        <v/>
      </c>
      <c r="AN67" s="64" t="str">
        <f t="shared" si="21"/>
        <v/>
      </c>
      <c r="AO67" s="4"/>
      <c r="AP67" s="4"/>
      <c r="AQ67" s="4"/>
      <c r="AR67" s="4"/>
      <c r="AS67" s="4"/>
    </row>
    <row r="68" ht="14.25" hidden="1" customHeight="1">
      <c r="A68" s="1"/>
      <c r="B68" s="7" t="s">
        <v>88</v>
      </c>
      <c r="C68" s="7"/>
      <c r="D68" s="7"/>
      <c r="E68" s="4">
        <f>IF(RotationMode=Fixed,E$31,1) * F13 + IF(OR(AND(E$7="Fischl",E67=0),AND(E$7="Kokomi",E13="Refresh")),1,0)</f>
        <v>0</v>
      </c>
      <c r="F68" s="4"/>
      <c r="G68" s="4"/>
      <c r="H68" s="4">
        <f>IF(RotationMode=Fixed,H$31,1) * I13 + IF(OR(AND(H$7="Fischl",H67=0),AND(H$7="Kokomi",H13="Refresh")),1,0)</f>
        <v>0</v>
      </c>
      <c r="I68" s="4"/>
      <c r="J68" s="4"/>
      <c r="K68" s="4">
        <f>IF(RotationMode=Fixed,K$31,1) * L13 + IF(OR(AND(K$7="Fischl",K67=0),AND(K$7="Kokomi",K13="Refresh")),1,0)</f>
        <v>0</v>
      </c>
      <c r="L68" s="4"/>
      <c r="M68" s="4"/>
      <c r="N68" s="4">
        <f>IF(RotationMode=Fixed,N$31,1) * O13 + IF(OR(AND(N$7="Fischl",N67=0),AND(N$7="Kokomi",N13="Refresh")),1,0)</f>
        <v>0</v>
      </c>
      <c r="O68" s="64"/>
      <c r="P68" s="1"/>
      <c r="Q68" s="39"/>
      <c r="R68" s="39"/>
      <c r="S68" s="4" t="str">
        <f t="shared" si="18"/>
        <v>Baizhu</v>
      </c>
      <c r="T68" s="4" t="s">
        <v>85</v>
      </c>
      <c r="U68" s="4" t="str">
        <f t="shared" si="19"/>
        <v>Dendro</v>
      </c>
      <c r="V68" s="62">
        <f>N81</f>
        <v>0</v>
      </c>
      <c r="W68" s="62"/>
      <c r="X68" s="62"/>
      <c r="Y68" s="62"/>
      <c r="Z68" s="62" t="b">
        <f>N79</f>
        <v>0</v>
      </c>
      <c r="AA68" s="58" t="str">
        <f t="shared" ref="AA68:AN68" si="22">AA64</f>
        <v>Baizhu</v>
      </c>
      <c r="AB68" s="63">
        <f t="shared" si="22"/>
        <v>1</v>
      </c>
      <c r="AC68" s="64" t="str">
        <f t="shared" si="22"/>
        <v/>
      </c>
      <c r="AD68" s="64" t="str">
        <f t="shared" si="22"/>
        <v/>
      </c>
      <c r="AE68" s="64" t="str">
        <f t="shared" si="22"/>
        <v/>
      </c>
      <c r="AF68" s="64" t="str">
        <f t="shared" si="22"/>
        <v/>
      </c>
      <c r="AG68" s="64" t="str">
        <f t="shared" si="22"/>
        <v/>
      </c>
      <c r="AH68" s="64" t="str">
        <f t="shared" si="22"/>
        <v/>
      </c>
      <c r="AI68" s="64" t="str">
        <f t="shared" si="22"/>
        <v/>
      </c>
      <c r="AJ68" s="64" t="str">
        <f t="shared" si="22"/>
        <v/>
      </c>
      <c r="AK68" s="64" t="str">
        <f t="shared" si="22"/>
        <v/>
      </c>
      <c r="AL68" s="64" t="str">
        <f t="shared" si="22"/>
        <v/>
      </c>
      <c r="AM68" s="64" t="str">
        <f t="shared" si="22"/>
        <v/>
      </c>
      <c r="AN68" s="64" t="str">
        <f t="shared" si="22"/>
        <v/>
      </c>
      <c r="AO68" s="4"/>
      <c r="AP68" s="4"/>
      <c r="AQ68" s="4"/>
      <c r="AR68" s="4"/>
      <c r="AS68" s="4"/>
    </row>
    <row r="69" ht="14.25" hidden="1" customHeight="1">
      <c r="A69" s="1"/>
      <c r="B69" s="7" t="s">
        <v>89</v>
      </c>
      <c r="C69" s="7"/>
      <c r="D69" s="7"/>
      <c r="E69" s="4">
        <f t="array" ref="E69">MIN(INDEX(Data!$O$2:$Q$75, E$60, E61) * E67, E$73)</f>
        <v>0</v>
      </c>
      <c r="F69" s="4"/>
      <c r="G69" s="4"/>
      <c r="H69" s="4">
        <f t="array" ref="H69">MIN(INDEX(Data!$O$2:$Q$75, H$60, H61) * H67, H$73)</f>
        <v>40</v>
      </c>
      <c r="I69" s="4"/>
      <c r="J69" s="4"/>
      <c r="K69" s="4">
        <f t="array" ref="K69">MIN(INDEX(Data!$O$2:$Q$75, K$60, K61) * K67, K$73)</f>
        <v>0</v>
      </c>
      <c r="L69" s="4"/>
      <c r="M69" s="4"/>
      <c r="N69" s="4">
        <f t="array" ref="N69">MIN(INDEX(Data!$O$2:$Q$75, N$60, N61) * N67, N$73)</f>
        <v>0</v>
      </c>
      <c r="O69" s="64"/>
      <c r="P69" s="1"/>
      <c r="Q69" s="39"/>
      <c r="R69" s="39"/>
      <c r="S69" s="4" t="str">
        <f t="shared" si="18"/>
        <v>Alhaitham</v>
      </c>
      <c r="T69" s="4" t="s">
        <v>90</v>
      </c>
      <c r="U69" s="4" t="s">
        <v>44</v>
      </c>
      <c r="V69" s="62">
        <f>E82</f>
        <v>0</v>
      </c>
      <c r="W69" s="62"/>
      <c r="X69" s="62"/>
      <c r="Y69" s="62"/>
      <c r="Z69" s="62" t="b">
        <v>0</v>
      </c>
      <c r="AA69" s="58" t="str">
        <f t="shared" ref="AA69:AN69" si="23">AA65</f>
        <v>Alhaitham</v>
      </c>
      <c r="AB69" s="63">
        <f t="shared" si="23"/>
        <v>1</v>
      </c>
      <c r="AC69" s="64" t="str">
        <f t="shared" si="23"/>
        <v/>
      </c>
      <c r="AD69" s="64" t="str">
        <f t="shared" si="23"/>
        <v/>
      </c>
      <c r="AE69" s="64" t="str">
        <f t="shared" si="23"/>
        <v/>
      </c>
      <c r="AF69" s="64" t="str">
        <f t="shared" si="23"/>
        <v/>
      </c>
      <c r="AG69" s="64" t="str">
        <f t="shared" si="23"/>
        <v/>
      </c>
      <c r="AH69" s="64" t="str">
        <f t="shared" si="23"/>
        <v/>
      </c>
      <c r="AI69" s="64" t="str">
        <f t="shared" si="23"/>
        <v/>
      </c>
      <c r="AJ69" s="64" t="str">
        <f t="shared" si="23"/>
        <v/>
      </c>
      <c r="AK69" s="64" t="str">
        <f t="shared" si="23"/>
        <v/>
      </c>
      <c r="AL69" s="64" t="str">
        <f t="shared" si="23"/>
        <v/>
      </c>
      <c r="AM69" s="64" t="str">
        <f t="shared" si="23"/>
        <v/>
      </c>
      <c r="AN69" s="64" t="str">
        <f t="shared" si="23"/>
        <v/>
      </c>
      <c r="AO69" s="4"/>
      <c r="AP69" s="4"/>
      <c r="AQ69" s="4"/>
      <c r="AR69" s="4"/>
      <c r="AS69" s="4"/>
    </row>
    <row r="70" ht="14.25" hidden="1" customHeight="1">
      <c r="A70" s="1"/>
      <c r="B70" s="7" t="s">
        <v>91</v>
      </c>
      <c r="C70" s="7"/>
      <c r="D70" s="7"/>
      <c r="E70" s="4">
        <f t="array" ref="E70">MIN(INDEX(Data!$O$2:$Q$75, E$60, E62) * E68, E$73-E$69)</f>
        <v>0</v>
      </c>
      <c r="F70" s="4"/>
      <c r="G70" s="4"/>
      <c r="H70" s="4">
        <f t="array" ref="H70">MIN(INDEX(Data!$O$2:$Q$75, H$60, H62) * H68, H$73-H$69)</f>
        <v>0</v>
      </c>
      <c r="I70" s="4"/>
      <c r="J70" s="4"/>
      <c r="K70" s="4">
        <f t="array" ref="K70">MIN(INDEX(Data!$O$2:$Q$75, K$60, K62) * K68, K$73-K$69)</f>
        <v>0</v>
      </c>
      <c r="L70" s="4"/>
      <c r="M70" s="4"/>
      <c r="N70" s="4">
        <f t="array" ref="N70">MIN(INDEX(Data!$O$2:$Q$75, N$60, N62) * N68, N$73-N$69)</f>
        <v>0</v>
      </c>
      <c r="O70" s="64"/>
      <c r="P70" s="1"/>
      <c r="Q70" s="39"/>
      <c r="R70" s="39"/>
      <c r="S70" s="4" t="str">
        <f t="shared" si="18"/>
        <v>Fischl</v>
      </c>
      <c r="T70" s="4" t="s">
        <v>90</v>
      </c>
      <c r="U70" s="4" t="s">
        <v>44</v>
      </c>
      <c r="V70" s="62">
        <f>H82</f>
        <v>0</v>
      </c>
      <c r="W70" s="62"/>
      <c r="X70" s="62"/>
      <c r="Y70" s="62"/>
      <c r="Z70" s="62" t="b">
        <v>0</v>
      </c>
      <c r="AA70" s="58" t="str">
        <f t="shared" ref="AA70:AN70" si="24">AA66</f>
        <v>Fischl</v>
      </c>
      <c r="AB70" s="63">
        <f t="shared" si="24"/>
        <v>1</v>
      </c>
      <c r="AC70" s="64" t="str">
        <f t="shared" si="24"/>
        <v/>
      </c>
      <c r="AD70" s="64" t="str">
        <f t="shared" si="24"/>
        <v/>
      </c>
      <c r="AE70" s="64" t="str">
        <f t="shared" si="24"/>
        <v/>
      </c>
      <c r="AF70" s="64" t="str">
        <f t="shared" si="24"/>
        <v/>
      </c>
      <c r="AG70" s="64" t="str">
        <f t="shared" si="24"/>
        <v/>
      </c>
      <c r="AH70" s="64" t="str">
        <f t="shared" si="24"/>
        <v/>
      </c>
      <c r="AI70" s="64" t="str">
        <f t="shared" si="24"/>
        <v/>
      </c>
      <c r="AJ70" s="64" t="str">
        <f t="shared" si="24"/>
        <v/>
      </c>
      <c r="AK70" s="64" t="str">
        <f t="shared" si="24"/>
        <v/>
      </c>
      <c r="AL70" s="64" t="str">
        <f t="shared" si="24"/>
        <v/>
      </c>
      <c r="AM70" s="64" t="str">
        <f t="shared" si="24"/>
        <v/>
      </c>
      <c r="AN70" s="64" t="str">
        <f t="shared" si="24"/>
        <v/>
      </c>
      <c r="AO70" s="4"/>
      <c r="AP70" s="4"/>
      <c r="AQ70" s="4"/>
      <c r="AR70" s="4"/>
      <c r="AS70" s="4"/>
    </row>
    <row r="71" ht="14.25" hidden="1" customHeight="1">
      <c r="A71" s="1"/>
      <c r="B71" s="7" t="s">
        <v>92</v>
      </c>
      <c r="C71" s="7"/>
      <c r="D71" s="7"/>
      <c r="E71" s="4">
        <f>IF(RotationMode=Fixed,E$31,1) * E$28</f>
        <v>0</v>
      </c>
      <c r="F71" s="4"/>
      <c r="G71" s="4"/>
      <c r="H71" s="4">
        <f>IF(RotationMode=Fixed,H$31,1) * H$28</f>
        <v>0</v>
      </c>
      <c r="I71" s="4"/>
      <c r="J71" s="4"/>
      <c r="K71" s="4">
        <f>IF(RotationMode=Fixed,K$31,1) * K$28</f>
        <v>0</v>
      </c>
      <c r="L71" s="4"/>
      <c r="M71" s="4"/>
      <c r="N71" s="4">
        <f>IF(RotationMode=Fixed,N$31,1) * N$28</f>
        <v>0</v>
      </c>
      <c r="O71" s="64"/>
      <c r="P71" s="1"/>
      <c r="Q71" s="39"/>
      <c r="R71" s="39"/>
      <c r="S71" s="4" t="str">
        <f t="shared" si="18"/>
        <v>Sucrose</v>
      </c>
      <c r="T71" s="4" t="s">
        <v>90</v>
      </c>
      <c r="U71" s="4" t="s">
        <v>44</v>
      </c>
      <c r="V71" s="62">
        <f>K82</f>
        <v>0</v>
      </c>
      <c r="W71" s="62"/>
      <c r="X71" s="62"/>
      <c r="Y71" s="62"/>
      <c r="Z71" s="62" t="b">
        <v>0</v>
      </c>
      <c r="AA71" s="58" t="str">
        <f t="shared" ref="AA71:AN71" si="25">AA67</f>
        <v>Sucrose</v>
      </c>
      <c r="AB71" s="63">
        <f t="shared" si="25"/>
        <v>1</v>
      </c>
      <c r="AC71" s="64" t="str">
        <f t="shared" si="25"/>
        <v/>
      </c>
      <c r="AD71" s="64" t="str">
        <f t="shared" si="25"/>
        <v/>
      </c>
      <c r="AE71" s="64" t="str">
        <f t="shared" si="25"/>
        <v/>
      </c>
      <c r="AF71" s="64" t="str">
        <f t="shared" si="25"/>
        <v/>
      </c>
      <c r="AG71" s="64" t="str">
        <f t="shared" si="25"/>
        <v/>
      </c>
      <c r="AH71" s="64" t="str">
        <f t="shared" si="25"/>
        <v/>
      </c>
      <c r="AI71" s="64" t="str">
        <f t="shared" si="25"/>
        <v/>
      </c>
      <c r="AJ71" s="64" t="str">
        <f t="shared" si="25"/>
        <v/>
      </c>
      <c r="AK71" s="64" t="str">
        <f t="shared" si="25"/>
        <v/>
      </c>
      <c r="AL71" s="64" t="str">
        <f t="shared" si="25"/>
        <v/>
      </c>
      <c r="AM71" s="64" t="str">
        <f t="shared" si="25"/>
        <v/>
      </c>
      <c r="AN71" s="64" t="str">
        <f t="shared" si="25"/>
        <v/>
      </c>
      <c r="AO71" s="4"/>
      <c r="AP71" s="4"/>
      <c r="AQ71" s="4"/>
      <c r="AR71" s="4"/>
      <c r="AS71" s="4"/>
    </row>
    <row r="72" ht="14.25" hidden="1" customHeight="1">
      <c r="A72" s="1"/>
      <c r="B72" s="8" t="s">
        <v>93</v>
      </c>
      <c r="C72" s="9"/>
      <c r="D72" s="7"/>
      <c r="E72" s="4">
        <f>IF(RotationMode=Fixed,E$31,1)*E$29</f>
        <v>0</v>
      </c>
      <c r="F72" s="4"/>
      <c r="G72" s="4"/>
      <c r="H72" s="4">
        <f>IF(RotationMode=Fixed,H$31,1)*H$29</f>
        <v>0</v>
      </c>
      <c r="I72" s="4"/>
      <c r="J72" s="4"/>
      <c r="K72" s="4">
        <f>IF(RotationMode=Fixed,K$31,1)*K$29</f>
        <v>0</v>
      </c>
      <c r="L72" s="4"/>
      <c r="M72" s="4"/>
      <c r="N72" s="4">
        <f>IF(RotationMode=Fixed,N$31,1)*N$29</f>
        <v>0</v>
      </c>
      <c r="O72" s="64"/>
      <c r="P72" s="1"/>
      <c r="Q72" s="39"/>
      <c r="R72" s="39"/>
      <c r="S72" s="4" t="str">
        <f t="shared" si="18"/>
        <v>Baizhu</v>
      </c>
      <c r="T72" s="4" t="s">
        <v>90</v>
      </c>
      <c r="U72" s="4" t="s">
        <v>44</v>
      </c>
      <c r="V72" s="62">
        <f>N82</f>
        <v>0</v>
      </c>
      <c r="W72" s="62"/>
      <c r="X72" s="62"/>
      <c r="Y72" s="62"/>
      <c r="Z72" s="62" t="b">
        <v>0</v>
      </c>
      <c r="AA72" s="58" t="str">
        <f t="shared" ref="AA72:AN72" si="26">AA68</f>
        <v>Baizhu</v>
      </c>
      <c r="AB72" s="63">
        <f t="shared" si="26"/>
        <v>1</v>
      </c>
      <c r="AC72" s="64" t="str">
        <f t="shared" si="26"/>
        <v/>
      </c>
      <c r="AD72" s="64" t="str">
        <f t="shared" si="26"/>
        <v/>
      </c>
      <c r="AE72" s="64" t="str">
        <f t="shared" si="26"/>
        <v/>
      </c>
      <c r="AF72" s="64" t="str">
        <f t="shared" si="26"/>
        <v/>
      </c>
      <c r="AG72" s="64" t="str">
        <f t="shared" si="26"/>
        <v/>
      </c>
      <c r="AH72" s="64" t="str">
        <f t="shared" si="26"/>
        <v/>
      </c>
      <c r="AI72" s="64" t="str">
        <f t="shared" si="26"/>
        <v/>
      </c>
      <c r="AJ72" s="64" t="str">
        <f t="shared" si="26"/>
        <v/>
      </c>
      <c r="AK72" s="64" t="str">
        <f t="shared" si="26"/>
        <v/>
      </c>
      <c r="AL72" s="64" t="str">
        <f t="shared" si="26"/>
        <v/>
      </c>
      <c r="AM72" s="64" t="str">
        <f t="shared" si="26"/>
        <v/>
      </c>
      <c r="AN72" s="64" t="str">
        <f t="shared" si="26"/>
        <v/>
      </c>
      <c r="AO72" s="4"/>
      <c r="AP72" s="4"/>
      <c r="AQ72" s="4"/>
      <c r="AR72" s="4"/>
      <c r="AS72" s="4"/>
    </row>
    <row r="73" ht="14.25" hidden="1" customHeight="1">
      <c r="A73" s="1"/>
      <c r="B73" s="7" t="s">
        <v>94</v>
      </c>
      <c r="C73" s="7"/>
      <c r="D73" s="7"/>
      <c r="E73" s="4">
        <f>IF(RotationMode=Fixed,RotationLength,1)*E$31</f>
        <v>20</v>
      </c>
      <c r="F73" s="4"/>
      <c r="G73" s="4"/>
      <c r="H73" s="4">
        <f>IF(RotationMode=Fixed,RotationLength,1)*H$31</f>
        <v>40</v>
      </c>
      <c r="I73" s="4"/>
      <c r="J73" s="4"/>
      <c r="K73" s="4">
        <f>IF(RotationMode=Fixed,RotationLength,1)*K$31</f>
        <v>20</v>
      </c>
      <c r="L73" s="4"/>
      <c r="M73" s="4"/>
      <c r="N73" s="4">
        <f>IF(RotationMode=Fixed,RotationLength,1)*N$31</f>
        <v>20</v>
      </c>
      <c r="O73" s="64"/>
      <c r="P73" s="1"/>
      <c r="Q73" s="39"/>
      <c r="R73" s="39"/>
      <c r="S73" s="65"/>
      <c r="T73" s="65"/>
      <c r="U73" s="65"/>
      <c r="V73" s="65"/>
      <c r="W73" s="65"/>
      <c r="X73" s="65"/>
      <c r="Y73" s="65"/>
      <c r="Z73" s="65"/>
      <c r="AA73" s="65"/>
      <c r="AB73" s="65"/>
      <c r="AC73" s="65"/>
      <c r="AD73" s="65"/>
      <c r="AE73" s="65"/>
      <c r="AF73" s="65"/>
      <c r="AG73" s="65"/>
      <c r="AH73" s="65"/>
      <c r="AI73" s="65"/>
      <c r="AJ73" s="65"/>
      <c r="AK73" s="65"/>
      <c r="AL73" s="65"/>
      <c r="AM73" s="65"/>
      <c r="AN73" s="65"/>
      <c r="AO73" s="4"/>
      <c r="AP73" s="4"/>
      <c r="AQ73" s="4"/>
      <c r="AR73" s="4"/>
      <c r="AS73" s="4"/>
    </row>
    <row r="74" ht="14.25" hidden="1" customHeight="1">
      <c r="A74" s="1"/>
      <c r="B74" s="66" t="str">
        <f>E7&amp;" Skill Time on Field"</f>
        <v>Alhaitham Skill Time on Field</v>
      </c>
      <c r="C74" s="67">
        <f>E30</f>
        <v>0.5</v>
      </c>
      <c r="D74" s="66"/>
      <c r="E74" s="68">
        <f>IF($B74="Dehya Skill Time On Field",
IF(E$7="Dehya",MAX(0,E$30-6/E$73),
E$30/(1-$C74)),
E$30)</f>
        <v>0.5</v>
      </c>
      <c r="F74" s="68"/>
      <c r="G74" s="69"/>
      <c r="H74" s="68">
        <f>IF($B74="Dehya Skill Time On Field",
IF(H$7="Dehya",MAX(0,H$30-6/H$73),
H$30/(1-$C74)),
H$30)</f>
        <v>0.2</v>
      </c>
      <c r="I74" s="68"/>
      <c r="J74" s="69"/>
      <c r="K74" s="68">
        <f>IF($B74="Dehya Skill Time On Field",
IF(K$7="Dehya",MAX(0,K$30-6/K$73),
K$30/(1-$C74)),
K$30)</f>
        <v>0.2</v>
      </c>
      <c r="L74" s="68"/>
      <c r="M74" s="69"/>
      <c r="N74" s="68">
        <f>IF($B74="Dehya Skill Time On Field",
IF(N$7="Dehya",MAX(0,N$30-6/N$73),
N$30/(1-$C74)),
N$30)</f>
        <v>0.1</v>
      </c>
      <c r="O74" s="68"/>
      <c r="P74" s="70"/>
      <c r="Q74" s="71"/>
      <c r="R74" s="71"/>
      <c r="S74" s="69"/>
      <c r="T74" s="69"/>
      <c r="U74" s="69"/>
      <c r="V74" s="69"/>
      <c r="W74" s="69"/>
      <c r="X74" s="69"/>
      <c r="Y74" s="69"/>
      <c r="Z74" s="69"/>
      <c r="AA74" s="69"/>
      <c r="AB74" s="69"/>
      <c r="AC74" s="69"/>
      <c r="AD74" s="69"/>
      <c r="AE74" s="69"/>
      <c r="AF74" s="69"/>
      <c r="AG74" s="69"/>
      <c r="AH74" s="69"/>
      <c r="AI74" s="69"/>
      <c r="AJ74" s="69"/>
      <c r="AK74" s="69"/>
      <c r="AL74" s="69"/>
      <c r="AM74" s="69"/>
      <c r="AN74" s="69"/>
      <c r="AO74" s="4"/>
      <c r="AP74" s="4"/>
      <c r="AQ74" s="4"/>
      <c r="AR74" s="4"/>
      <c r="AS74" s="4"/>
    </row>
    <row r="75" ht="14.25" hidden="1" customHeight="1">
      <c r="A75" s="1"/>
      <c r="B75" s="7" t="str">
        <f>H7&amp;" Skill Time on Field"</f>
        <v>Fischl Skill Time on Field</v>
      </c>
      <c r="C75" s="72">
        <f>H30</f>
        <v>0.2</v>
      </c>
      <c r="D75" s="7"/>
      <c r="E75" s="64">
        <f t="shared" ref="E75:E77" si="27">IF(B75="Dehya Skill Time On Field",
IF(E$7="Dehya",MAX(0,E$30-6/E$73),
E$30/(1-$C75)),
E$30)</f>
        <v>0.5</v>
      </c>
      <c r="F75" s="64"/>
      <c r="G75" s="4"/>
      <c r="H75" s="64">
        <f t="shared" ref="H75:H77" si="28">IF(E75="Dehya Skill Time On Field",
IF(H$7="Dehya",MAX(0,H$30-6/H$73),
H$30/(1-$C75)),
H$30)</f>
        <v>0.2</v>
      </c>
      <c r="I75" s="64"/>
      <c r="J75" s="4"/>
      <c r="K75" s="64">
        <f t="shared" ref="K75:K77" si="29">IF(H75="Dehya Skill Time On Field",
IF(K$7="Dehya",MAX(0,K$30-6/K$73),
K$30/(1-$C75)),
K$30)</f>
        <v>0.2</v>
      </c>
      <c r="L75" s="64"/>
      <c r="M75" s="4"/>
      <c r="N75" s="64">
        <f t="shared" ref="N75:N77" si="30">IF(K75="Dehya Skill Time On Field",
IF(N$7="Dehya",MAX(0,N$30-6/N$73),
N$30/(1-$C75)),
N$30)</f>
        <v>0.1</v>
      </c>
      <c r="O75" s="64"/>
      <c r="P75" s="1"/>
      <c r="Q75" s="39"/>
      <c r="R75" s="39"/>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row>
    <row r="76" ht="14.25" hidden="1" customHeight="1">
      <c r="A76" s="1"/>
      <c r="B76" s="7" t="str">
        <f>K7&amp;" Skill Time on Field"</f>
        <v>Sucrose Skill Time on Field</v>
      </c>
      <c r="C76" s="72">
        <f>K30</f>
        <v>0.2</v>
      </c>
      <c r="D76" s="7"/>
      <c r="E76" s="64">
        <f t="shared" si="27"/>
        <v>0.5</v>
      </c>
      <c r="F76" s="64"/>
      <c r="G76" s="4"/>
      <c r="H76" s="64">
        <f t="shared" si="28"/>
        <v>0.2</v>
      </c>
      <c r="I76" s="64"/>
      <c r="J76" s="4"/>
      <c r="K76" s="64">
        <f t="shared" si="29"/>
        <v>0.2</v>
      </c>
      <c r="L76" s="64"/>
      <c r="M76" s="4"/>
      <c r="N76" s="64">
        <f t="shared" si="30"/>
        <v>0.1</v>
      </c>
      <c r="O76" s="64"/>
      <c r="P76" s="1"/>
      <c r="Q76" s="39"/>
      <c r="R76" s="39"/>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row>
    <row r="77" ht="14.25" hidden="1" customHeight="1">
      <c r="A77" s="1"/>
      <c r="B77" s="73" t="str">
        <f>N7&amp;" Skill Time on Field"</f>
        <v>Baizhu Skill Time on Field</v>
      </c>
      <c r="C77" s="74">
        <f>N30</f>
        <v>0.1</v>
      </c>
      <c r="D77" s="73"/>
      <c r="E77" s="75">
        <f t="shared" si="27"/>
        <v>0.5</v>
      </c>
      <c r="F77" s="75"/>
      <c r="G77" s="65"/>
      <c r="H77" s="75">
        <f t="shared" si="28"/>
        <v>0.2</v>
      </c>
      <c r="I77" s="75"/>
      <c r="J77" s="65"/>
      <c r="K77" s="75">
        <f t="shared" si="29"/>
        <v>0.2</v>
      </c>
      <c r="L77" s="75"/>
      <c r="M77" s="65"/>
      <c r="N77" s="75">
        <f t="shared" si="30"/>
        <v>0.1</v>
      </c>
      <c r="O77" s="75"/>
      <c r="P77" s="76"/>
      <c r="Q77" s="77"/>
      <c r="R77" s="77"/>
      <c r="S77" s="65"/>
      <c r="T77" s="65"/>
      <c r="U77" s="65"/>
      <c r="V77" s="65"/>
      <c r="W77" s="65"/>
      <c r="X77" s="65"/>
      <c r="Y77" s="65"/>
      <c r="Z77" s="65"/>
      <c r="AA77" s="65"/>
      <c r="AB77" s="65"/>
      <c r="AC77" s="65"/>
      <c r="AD77" s="65"/>
      <c r="AE77" s="65"/>
      <c r="AF77" s="65"/>
      <c r="AG77" s="65"/>
      <c r="AH77" s="65"/>
      <c r="AI77" s="65"/>
      <c r="AJ77" s="65"/>
      <c r="AK77" s="65"/>
      <c r="AL77" s="65"/>
      <c r="AM77" s="65"/>
      <c r="AN77" s="65"/>
      <c r="AO77" s="4"/>
      <c r="AP77" s="4"/>
      <c r="AQ77" s="4"/>
      <c r="AR77" s="4"/>
      <c r="AS77" s="4"/>
    </row>
    <row r="78" ht="14.25" hidden="1" customHeight="1">
      <c r="A78" s="1"/>
      <c r="B78" s="66" t="s">
        <v>95</v>
      </c>
      <c r="C78" s="67"/>
      <c r="D78" s="66"/>
      <c r="E78" s="78" t="b">
        <f t="array" ref="E78">IF(E12&lt;&gt;"",INDEX(Data!$L$2:$N$75, E$60, E61),0)&gt;0</f>
        <v>0</v>
      </c>
      <c r="F78" s="78"/>
      <c r="G78" s="79"/>
      <c r="H78" s="78" t="b">
        <f t="array" ref="H78">IF(H12&lt;&gt;"",INDEX(Data!$L$2:$N$75, H$60, H61),0)&gt;0</f>
        <v>1</v>
      </c>
      <c r="I78" s="78"/>
      <c r="J78" s="79"/>
      <c r="K78" s="78" t="b">
        <f t="array" ref="K78">IF(K12&lt;&gt;"",INDEX(Data!$L$2:$N$75, K$60, K61),0)&gt;0</f>
        <v>0</v>
      </c>
      <c r="L78" s="78"/>
      <c r="M78" s="79"/>
      <c r="N78" s="78" t="b">
        <f t="array" ref="N78">IF(N12&lt;&gt;"",INDEX(Data!$L$2:$N$75, N$60, N61),0)&gt;0</f>
        <v>0</v>
      </c>
      <c r="O78" s="68"/>
      <c r="P78" s="70"/>
      <c r="Q78" s="71"/>
      <c r="R78" s="71"/>
      <c r="S78" s="69"/>
      <c r="T78" s="69"/>
      <c r="U78" s="69"/>
      <c r="V78" s="69"/>
      <c r="W78" s="69"/>
      <c r="X78" s="69"/>
      <c r="Y78" s="69"/>
      <c r="Z78" s="69"/>
      <c r="AA78" s="69"/>
      <c r="AB78" s="69"/>
      <c r="AC78" s="69"/>
      <c r="AD78" s="69"/>
      <c r="AE78" s="69"/>
      <c r="AF78" s="69"/>
      <c r="AG78" s="69"/>
      <c r="AH78" s="69"/>
      <c r="AI78" s="69"/>
      <c r="AJ78" s="69"/>
      <c r="AK78" s="69"/>
      <c r="AL78" s="69"/>
      <c r="AM78" s="69"/>
      <c r="AN78" s="69"/>
      <c r="AO78" s="4"/>
      <c r="AP78" s="4"/>
      <c r="AQ78" s="4"/>
      <c r="AR78" s="4"/>
      <c r="AS78" s="4"/>
    </row>
    <row r="79" ht="14.25" hidden="1" customHeight="1">
      <c r="A79" s="1"/>
      <c r="B79" s="73" t="s">
        <v>96</v>
      </c>
      <c r="C79" s="74"/>
      <c r="D79" s="73"/>
      <c r="E79" s="80" t="b">
        <f t="array" ref="E79">IF(E13&lt;&gt;"",INDEX(Data!$L$2:$N$75, E$60, E62),0)&gt;0</f>
        <v>0</v>
      </c>
      <c r="F79" s="80"/>
      <c r="G79" s="81"/>
      <c r="H79" s="80" t="b">
        <f t="array" ref="H79">IF(H13&lt;&gt;"",INDEX(Data!$L$2:$N$75, H$60, H62),0)&gt;0</f>
        <v>0</v>
      </c>
      <c r="I79" s="80"/>
      <c r="J79" s="81"/>
      <c r="K79" s="80" t="b">
        <f t="array" ref="K79">IF(K13&lt;&gt;"",INDEX(Data!$L$2:$N$75, K$60, K62),0)&gt;0</f>
        <v>0</v>
      </c>
      <c r="L79" s="80"/>
      <c r="M79" s="81"/>
      <c r="N79" s="80" t="b">
        <f t="array" ref="N79">IF(N13&lt;&gt;"",INDEX(Data!$L$2:$N$75, N$60, N62),0)&gt;0</f>
        <v>0</v>
      </c>
      <c r="O79" s="75"/>
      <c r="P79" s="76"/>
      <c r="Q79" s="77"/>
      <c r="R79" s="77"/>
      <c r="S79" s="65"/>
      <c r="T79" s="65"/>
      <c r="U79" s="65"/>
      <c r="V79" s="65"/>
      <c r="W79" s="65"/>
      <c r="X79" s="65"/>
      <c r="Y79" s="65"/>
      <c r="Z79" s="65"/>
      <c r="AA79" s="65"/>
      <c r="AB79" s="65"/>
      <c r="AC79" s="65"/>
      <c r="AD79" s="65"/>
      <c r="AE79" s="65"/>
      <c r="AF79" s="65"/>
      <c r="AG79" s="65"/>
      <c r="AH79" s="65"/>
      <c r="AI79" s="65"/>
      <c r="AJ79" s="65"/>
      <c r="AK79" s="65"/>
      <c r="AL79" s="65"/>
      <c r="AM79" s="65"/>
      <c r="AN79" s="65"/>
      <c r="AO79" s="4"/>
      <c r="AP79" s="4"/>
      <c r="AQ79" s="4"/>
      <c r="AR79" s="4"/>
      <c r="AS79" s="4"/>
    </row>
    <row r="80" ht="14.25" hidden="1" customHeight="1">
      <c r="A80" s="1"/>
      <c r="B80" s="66" t="s">
        <v>55</v>
      </c>
      <c r="C80" s="67"/>
      <c r="D80" s="66"/>
      <c r="E80" s="82">
        <f t="array" ref="E80">IF(OR(E$73=0, E12=""),0,IF(E78,INDEX(Data!$L$2:$N$75, E$60, E61)*E69/E$73,
INDEX(Data!$F$2:$H$75,E$60,E61) * E67 / E$73)) * (1-E65)</f>
        <v>0.6</v>
      </c>
      <c r="F80" s="82"/>
      <c r="G80" s="82"/>
      <c r="H80" s="82">
        <f t="array" ref="H80">IF(OR(H$73=0, H12=""),0,IF(H78,INDEX(Data!$L$2:$N$75, H$60, H61)*H69/H$73,
INDEX(Data!$F$2:$H$75,H$60,H61) * H67 / H$73)) * (1-H65)</f>
        <v>0.335</v>
      </c>
      <c r="I80" s="82"/>
      <c r="J80" s="82"/>
      <c r="K80" s="82">
        <f t="array" ref="K80">IF(OR(K$73=0, K12=""),0,IF(K78,INDEX(Data!$L$2:$N$75, K$60, K61)*K69/K$73,
INDEX(Data!$F$2:$H$75,K$60,K61) * K67 / K$73)) * (1-K65)</f>
        <v>0.4</v>
      </c>
      <c r="L80" s="82"/>
      <c r="M80" s="82"/>
      <c r="N80" s="82">
        <f t="array" ref="N80">IF(OR(N$73=0, N12=""),0,IF(N78,INDEX(Data!$L$2:$N$75, N$60, N61)*N69/N$73,
INDEX(Data!$F$2:$H$75,N$60,N61) * N67 / N$73)) * (1-N65)</f>
        <v>0.3</v>
      </c>
      <c r="O80" s="68"/>
      <c r="P80" s="70"/>
      <c r="Q80" s="71"/>
      <c r="R80" s="71"/>
      <c r="S80" s="69"/>
      <c r="T80" s="69"/>
      <c r="U80" s="69"/>
      <c r="V80" s="69"/>
      <c r="W80" s="69"/>
      <c r="X80" s="69"/>
      <c r="Y80" s="69"/>
      <c r="Z80" s="69"/>
      <c r="AA80" s="69"/>
      <c r="AB80" s="69"/>
      <c r="AC80" s="69"/>
      <c r="AD80" s="69"/>
      <c r="AE80" s="69"/>
      <c r="AF80" s="69"/>
      <c r="AG80" s="69"/>
      <c r="AH80" s="69"/>
      <c r="AI80" s="69"/>
      <c r="AJ80" s="69"/>
      <c r="AK80" s="69"/>
      <c r="AL80" s="69"/>
      <c r="AM80" s="69"/>
      <c r="AN80" s="69"/>
      <c r="AO80" s="4"/>
      <c r="AP80" s="4"/>
      <c r="AQ80" s="4"/>
      <c r="AR80" s="4"/>
      <c r="AS80" s="4"/>
    </row>
    <row r="81" ht="14.25" hidden="1" customHeight="1">
      <c r="A81" s="1"/>
      <c r="B81" s="7" t="s">
        <v>57</v>
      </c>
      <c r="C81" s="72"/>
      <c r="D81" s="7"/>
      <c r="E81" s="62">
        <f t="array" ref="E81">IF(OR(E$73=0, E13=""),0,IF(E79,INDEX(Data!$L$2:$N$75, E$60, E62)*E70/E$73,
INDEX(Data!$F$2:$H$75,E$60,E62) * E68 / E$73)) * (1-E66)</f>
        <v>0</v>
      </c>
      <c r="F81" s="62"/>
      <c r="G81" s="62"/>
      <c r="H81" s="62">
        <f t="array" ref="H81">IF(OR(H$73=0, H13=""),0,IF(H79,INDEX(Data!$L$2:$N$75, H$60, H62)*H70/H$73,
INDEX(Data!$F$2:$H$75,H$60,H62) * H68 / H$73)) * (1-H66)</f>
        <v>0</v>
      </c>
      <c r="I81" s="62"/>
      <c r="J81" s="62"/>
      <c r="K81" s="62">
        <f t="array" ref="K81">IF(OR(K$73=0, K13=""),0,IF(K79,INDEX(Data!$L$2:$N$75, K$60, K62)*K70/K$73,
INDEX(Data!$F$2:$H$75,K$60,K62) * K68 / K$73)) * (1-K66)</f>
        <v>0</v>
      </c>
      <c r="L81" s="62"/>
      <c r="M81" s="62"/>
      <c r="N81" s="62">
        <f t="array" ref="N81">IF(OR(N$73=0, N13=""),0,IF(N79,INDEX(Data!$L$2:$N$75, N$60, N62)*N70/N$73,
INDEX(Data!$F$2:$H$75,N$60,N62) * N68 / N$73)) * (1-N66)</f>
        <v>0</v>
      </c>
      <c r="O81" s="64"/>
      <c r="P81" s="1"/>
      <c r="Q81" s="39"/>
      <c r="R81" s="39"/>
      <c r="S81" s="4"/>
      <c r="T81" s="4"/>
      <c r="U81" s="4"/>
      <c r="V81" s="4"/>
      <c r="W81" s="4"/>
      <c r="X81" s="4"/>
      <c r="Y81" s="4"/>
      <c r="Z81" s="4"/>
      <c r="AA81" s="4"/>
      <c r="AB81" s="4"/>
      <c r="AC81" s="60" t="s">
        <v>97</v>
      </c>
      <c r="AD81" s="61"/>
      <c r="AE81" s="61"/>
      <c r="AF81" s="61"/>
      <c r="AG81" s="61"/>
      <c r="AH81" s="61"/>
      <c r="AI81" s="61"/>
      <c r="AJ81" s="61"/>
      <c r="AK81" s="61"/>
      <c r="AL81" s="9"/>
      <c r="AM81" s="4"/>
      <c r="AN81" s="4"/>
      <c r="AO81" s="4"/>
      <c r="AP81" s="4"/>
      <c r="AQ81" s="4"/>
      <c r="AR81" s="4"/>
      <c r="AS81" s="4"/>
    </row>
    <row r="82" ht="14.25" hidden="1" customHeight="1">
      <c r="A82" s="1"/>
      <c r="B82" s="7" t="s">
        <v>58</v>
      </c>
      <c r="C82" s="72"/>
      <c r="D82" s="7"/>
      <c r="E82" s="62">
        <f>IF(E$73=0,0,E$71*3/E$73)</f>
        <v>0</v>
      </c>
      <c r="F82" s="62"/>
      <c r="G82" s="62"/>
      <c r="H82" s="62">
        <f>IF(H$73=0,0,H$71*3/H$73)</f>
        <v>0</v>
      </c>
      <c r="I82" s="62"/>
      <c r="J82" s="62"/>
      <c r="K82" s="62">
        <f>IF(K$73=0,0,K$71*3/K$73)</f>
        <v>0</v>
      </c>
      <c r="L82" s="62"/>
      <c r="M82" s="62"/>
      <c r="N82" s="62">
        <f>IF(N$73=0,0,N$71*3/N$73)</f>
        <v>0</v>
      </c>
      <c r="O82" s="64"/>
      <c r="P82" s="1"/>
      <c r="Q82" s="39"/>
      <c r="R82" s="39"/>
      <c r="S82" s="4"/>
      <c r="T82" s="4"/>
      <c r="U82" s="4"/>
      <c r="V82" s="4"/>
      <c r="W82" s="4"/>
      <c r="X82" s="4"/>
      <c r="Y82" s="62"/>
      <c r="Z82" s="62"/>
      <c r="AA82" s="62"/>
      <c r="AB82" s="4"/>
      <c r="AC82" s="4" t="str">
        <f t="shared" ref="AC82:AC86" si="31">AC60</f>
        <v>Alhaitham</v>
      </c>
      <c r="AD82" s="4"/>
      <c r="AE82" s="4"/>
      <c r="AF82" s="4" t="str">
        <f t="shared" ref="AF82:AF86" si="32">AD60</f>
        <v>Fischl</v>
      </c>
      <c r="AG82" s="4"/>
      <c r="AH82" s="4"/>
      <c r="AI82" s="4" t="str">
        <f t="shared" ref="AI82:AI86" si="33">AE60</f>
        <v>Sucrose</v>
      </c>
      <c r="AJ82" s="4"/>
      <c r="AK82" s="4"/>
      <c r="AL82" s="4" t="str">
        <f t="shared" ref="AL82:AL86" si="34">AF60</f>
        <v>Baizhu</v>
      </c>
      <c r="AM82" s="4"/>
      <c r="AN82" s="4"/>
      <c r="AO82" s="4"/>
      <c r="AP82" s="4"/>
      <c r="AQ82" s="4"/>
      <c r="AR82" s="4"/>
      <c r="AS82" s="4"/>
    </row>
    <row r="83" ht="14.25" hidden="1" customHeight="1">
      <c r="A83" s="1"/>
      <c r="B83" s="66" t="str">
        <f t="shared" ref="B83:B86" si="35">"Feed from " &amp; S61 &amp; " primary skill"</f>
        <v>Feed from Alhaitham primary skill</v>
      </c>
      <c r="C83" s="66"/>
      <c r="D83" s="66"/>
      <c r="E83" s="68">
        <f t="shared" ref="E83:E94" si="36">IF(SUM($AC83:$AL83)&gt;0,IF(AND($S61=E$7,E15=0),1-SUM($AC83:$AL83),AC83) + N("Advanced mode field time"),
IF($Z61,E74,IF($AA61=E$7,$AB61,IF($S61=E$7,1-$AB61,0)))) + N("Basic mode field time")</f>
        <v>1</v>
      </c>
      <c r="F83" s="68"/>
      <c r="G83" s="68"/>
      <c r="H83" s="68">
        <f t="shared" ref="H83:H94" si="37">IF(SUM($AC83:$AL83)&gt;0,IF(AND($S61=H$7,H15=0),1-SUM($AC83:$AL83),AF83) + N("Advanced mode field time"),
IF($Z61,H74,IF($AA61=H$7,$AB61,IF($S61=H$7,1-$AB61,0)))) + N("Basic mode field time")</f>
        <v>0</v>
      </c>
      <c r="I83" s="68"/>
      <c r="J83" s="68"/>
      <c r="K83" s="68">
        <f t="shared" ref="K83:K94" si="38">IF(SUM($AC83:$AL83)&gt;0,IF(AND($S61=K$7,K15=0),1-SUM($AC83:$AL83),AI83) + N("Advanced mode field time"),
IF($Z61,K74,IF($AA61=K$7,$AB61,IF($S61=K$7,1-$AB61,0)))) + N("Basic mode field time")</f>
        <v>0</v>
      </c>
      <c r="L83" s="68"/>
      <c r="M83" s="68"/>
      <c r="N83" s="68">
        <f t="shared" ref="N83:N94" si="39">IF(SUM($AC83:$AL83)&gt;0,IF(AND($S61=N$7,N15=0),1-SUM($AC83:$AL83),AL83) + N("Advanced mode field time"),
IF($Z61,N74,IF($AA61=N$7,$AB61,IF($S61=N$7,1-$AB61,0)))) + N("Basic mode field time")</f>
        <v>0</v>
      </c>
      <c r="O83" s="66"/>
      <c r="P83" s="66"/>
      <c r="Q83" s="71"/>
      <c r="R83" s="71"/>
      <c r="S83" s="69"/>
      <c r="T83" s="69"/>
      <c r="U83" s="69"/>
      <c r="V83" s="69"/>
      <c r="W83" s="69"/>
      <c r="X83" s="69"/>
      <c r="Y83" s="82"/>
      <c r="Z83" s="82"/>
      <c r="AA83" s="82"/>
      <c r="AB83" s="69"/>
      <c r="AC83" s="68" t="str">
        <f t="shared" si="31"/>
        <v/>
      </c>
      <c r="AD83" s="68"/>
      <c r="AE83" s="68"/>
      <c r="AF83" s="68" t="str">
        <f t="shared" si="32"/>
        <v/>
      </c>
      <c r="AG83" s="68"/>
      <c r="AH83" s="68"/>
      <c r="AI83" s="68" t="str">
        <f t="shared" si="33"/>
        <v/>
      </c>
      <c r="AJ83" s="68"/>
      <c r="AK83" s="68"/>
      <c r="AL83" s="68" t="str">
        <f t="shared" si="34"/>
        <v/>
      </c>
      <c r="AM83" s="69"/>
      <c r="AN83" s="69"/>
      <c r="AO83" s="4"/>
      <c r="AP83" s="4"/>
      <c r="AQ83" s="4"/>
      <c r="AR83" s="4"/>
      <c r="AS83" s="4"/>
    </row>
    <row r="84" ht="14.25" hidden="1" customHeight="1">
      <c r="A84" s="1"/>
      <c r="B84" s="7" t="str">
        <f t="shared" si="35"/>
        <v>Feed from Fischl primary skill</v>
      </c>
      <c r="C84" s="7"/>
      <c r="D84" s="7"/>
      <c r="E84" s="64">
        <f t="shared" si="36"/>
        <v>0.5</v>
      </c>
      <c r="F84" s="64"/>
      <c r="G84" s="64"/>
      <c r="H84" s="64">
        <f t="shared" si="37"/>
        <v>0.2</v>
      </c>
      <c r="I84" s="64"/>
      <c r="J84" s="64"/>
      <c r="K84" s="64">
        <f t="shared" si="38"/>
        <v>0.2</v>
      </c>
      <c r="L84" s="64"/>
      <c r="M84" s="64"/>
      <c r="N84" s="64">
        <f t="shared" si="39"/>
        <v>0.1</v>
      </c>
      <c r="O84" s="7"/>
      <c r="P84" s="7"/>
      <c r="Q84" s="39"/>
      <c r="R84" s="39"/>
      <c r="S84" s="4"/>
      <c r="T84" s="4"/>
      <c r="U84" s="4"/>
      <c r="V84" s="4"/>
      <c r="W84" s="4"/>
      <c r="X84" s="4"/>
      <c r="Y84" s="62"/>
      <c r="Z84" s="62"/>
      <c r="AA84" s="62"/>
      <c r="AB84" s="4"/>
      <c r="AC84" s="64" t="str">
        <f t="shared" si="31"/>
        <v/>
      </c>
      <c r="AD84" s="64"/>
      <c r="AE84" s="64"/>
      <c r="AF84" s="64" t="str">
        <f t="shared" si="32"/>
        <v/>
      </c>
      <c r="AG84" s="64"/>
      <c r="AH84" s="64"/>
      <c r="AI84" s="64" t="str">
        <f t="shared" si="33"/>
        <v/>
      </c>
      <c r="AJ84" s="64"/>
      <c r="AK84" s="64"/>
      <c r="AL84" s="64" t="str">
        <f t="shared" si="34"/>
        <v/>
      </c>
      <c r="AM84" s="4"/>
      <c r="AN84" s="4"/>
      <c r="AO84" s="4"/>
      <c r="AP84" s="4"/>
      <c r="AQ84" s="4"/>
      <c r="AR84" s="4"/>
      <c r="AS84" s="4"/>
    </row>
    <row r="85" ht="14.25" hidden="1" customHeight="1">
      <c r="A85" s="1"/>
      <c r="B85" s="7" t="str">
        <f t="shared" si="35"/>
        <v>Feed from Sucrose primary skill</v>
      </c>
      <c r="C85" s="7"/>
      <c r="D85" s="7"/>
      <c r="E85" s="64">
        <f t="shared" si="36"/>
        <v>0</v>
      </c>
      <c r="F85" s="64"/>
      <c r="G85" s="64"/>
      <c r="H85" s="64">
        <f t="shared" si="37"/>
        <v>0</v>
      </c>
      <c r="I85" s="64"/>
      <c r="J85" s="64"/>
      <c r="K85" s="64">
        <f t="shared" si="38"/>
        <v>1</v>
      </c>
      <c r="L85" s="64"/>
      <c r="M85" s="64"/>
      <c r="N85" s="64">
        <f t="shared" si="39"/>
        <v>0</v>
      </c>
      <c r="O85" s="7"/>
      <c r="P85" s="7"/>
      <c r="Q85" s="39"/>
      <c r="R85" s="39"/>
      <c r="S85" s="4"/>
      <c r="T85" s="4"/>
      <c r="U85" s="4"/>
      <c r="V85" s="4"/>
      <c r="W85" s="4"/>
      <c r="X85" s="4"/>
      <c r="Y85" s="62"/>
      <c r="Z85" s="62"/>
      <c r="AA85" s="62"/>
      <c r="AB85" s="4"/>
      <c r="AC85" s="64" t="str">
        <f t="shared" si="31"/>
        <v/>
      </c>
      <c r="AD85" s="64"/>
      <c r="AE85" s="64"/>
      <c r="AF85" s="64" t="str">
        <f t="shared" si="32"/>
        <v/>
      </c>
      <c r="AG85" s="64"/>
      <c r="AH85" s="64"/>
      <c r="AI85" s="64" t="str">
        <f t="shared" si="33"/>
        <v/>
      </c>
      <c r="AJ85" s="64"/>
      <c r="AK85" s="64"/>
      <c r="AL85" s="64" t="str">
        <f t="shared" si="34"/>
        <v/>
      </c>
      <c r="AM85" s="4"/>
      <c r="AN85" s="4"/>
      <c r="AO85" s="4"/>
      <c r="AP85" s="4"/>
      <c r="AQ85" s="4"/>
      <c r="AR85" s="4"/>
      <c r="AS85" s="4"/>
    </row>
    <row r="86" ht="14.25" hidden="1" customHeight="1">
      <c r="A86" s="1"/>
      <c r="B86" s="7" t="str">
        <f t="shared" si="35"/>
        <v>Feed from Baizhu primary skill</v>
      </c>
      <c r="C86" s="7"/>
      <c r="D86" s="7"/>
      <c r="E86" s="75">
        <f t="shared" si="36"/>
        <v>0</v>
      </c>
      <c r="F86" s="75"/>
      <c r="G86" s="75"/>
      <c r="H86" s="75">
        <f t="shared" si="37"/>
        <v>0</v>
      </c>
      <c r="I86" s="75"/>
      <c r="J86" s="75"/>
      <c r="K86" s="75">
        <f t="shared" si="38"/>
        <v>0</v>
      </c>
      <c r="L86" s="75"/>
      <c r="M86" s="75"/>
      <c r="N86" s="75">
        <f t="shared" si="39"/>
        <v>1</v>
      </c>
      <c r="O86" s="7"/>
      <c r="P86" s="7"/>
      <c r="Q86" s="39"/>
      <c r="R86" s="39"/>
      <c r="S86" s="4"/>
      <c r="T86" s="4"/>
      <c r="U86" s="4"/>
      <c r="V86" s="4"/>
      <c r="W86" s="4"/>
      <c r="X86" s="4"/>
      <c r="Y86" s="62"/>
      <c r="Z86" s="62"/>
      <c r="AA86" s="62"/>
      <c r="AB86" s="4"/>
      <c r="AC86" s="64" t="str">
        <f t="shared" si="31"/>
        <v/>
      </c>
      <c r="AD86" s="64"/>
      <c r="AE86" s="64"/>
      <c r="AF86" s="64" t="str">
        <f t="shared" si="32"/>
        <v/>
      </c>
      <c r="AG86" s="64"/>
      <c r="AH86" s="64"/>
      <c r="AI86" s="64" t="str">
        <f t="shared" si="33"/>
        <v/>
      </c>
      <c r="AJ86" s="64"/>
      <c r="AK86" s="64"/>
      <c r="AL86" s="64" t="str">
        <f t="shared" si="34"/>
        <v/>
      </c>
      <c r="AM86" s="4"/>
      <c r="AN86" s="4"/>
      <c r="AO86" s="4"/>
      <c r="AP86" s="4"/>
      <c r="AQ86" s="4"/>
      <c r="AR86" s="4"/>
      <c r="AS86" s="4"/>
    </row>
    <row r="87" ht="14.25" hidden="1" customHeight="1">
      <c r="A87" s="1"/>
      <c r="B87" s="66" t="str">
        <f t="shared" ref="B87:B90" si="40">"Feed from " &amp; S61 &amp; " secondary skill"</f>
        <v>Feed from Alhaitham secondary skill</v>
      </c>
      <c r="C87" s="66"/>
      <c r="D87" s="66"/>
      <c r="E87" s="68">
        <f t="shared" si="36"/>
        <v>1</v>
      </c>
      <c r="F87" s="68"/>
      <c r="G87" s="68"/>
      <c r="H87" s="68">
        <f t="shared" si="37"/>
        <v>0</v>
      </c>
      <c r="I87" s="68"/>
      <c r="J87" s="68"/>
      <c r="K87" s="68">
        <f t="shared" si="38"/>
        <v>0</v>
      </c>
      <c r="L87" s="68"/>
      <c r="M87" s="68"/>
      <c r="N87" s="68">
        <f t="shared" si="39"/>
        <v>0</v>
      </c>
      <c r="O87" s="66"/>
      <c r="P87" s="66"/>
      <c r="Q87" s="71"/>
      <c r="R87" s="71"/>
      <c r="S87" s="69"/>
      <c r="T87" s="69"/>
      <c r="U87" s="69"/>
      <c r="V87" s="69"/>
      <c r="W87" s="69"/>
      <c r="X87" s="69"/>
      <c r="Y87" s="82"/>
      <c r="Z87" s="82"/>
      <c r="AA87" s="82"/>
      <c r="AB87" s="69"/>
      <c r="AC87" s="68" t="str">
        <f t="shared" ref="AC87:AC90" si="41">AG61</f>
        <v/>
      </c>
      <c r="AD87" s="68"/>
      <c r="AE87" s="68"/>
      <c r="AF87" s="68" t="str">
        <f t="shared" ref="AF87:AF90" si="42">AH61</f>
        <v/>
      </c>
      <c r="AG87" s="68"/>
      <c r="AH87" s="68"/>
      <c r="AI87" s="68" t="str">
        <f t="shared" ref="AI87:AI90" si="43">AI61</f>
        <v/>
      </c>
      <c r="AJ87" s="68"/>
      <c r="AK87" s="68"/>
      <c r="AL87" s="68" t="str">
        <f t="shared" ref="AL87:AL90" si="44">AJ61</f>
        <v/>
      </c>
      <c r="AM87" s="69"/>
      <c r="AN87" s="69"/>
      <c r="AO87" s="4"/>
      <c r="AP87" s="4"/>
      <c r="AQ87" s="4"/>
      <c r="AR87" s="4"/>
      <c r="AS87" s="4"/>
    </row>
    <row r="88" ht="14.25" hidden="1" customHeight="1">
      <c r="A88" s="1"/>
      <c r="B88" s="7" t="str">
        <f t="shared" si="40"/>
        <v>Feed from Fischl secondary skill</v>
      </c>
      <c r="C88" s="7"/>
      <c r="D88" s="7"/>
      <c r="E88" s="64">
        <f t="shared" si="36"/>
        <v>0</v>
      </c>
      <c r="F88" s="64"/>
      <c r="G88" s="64"/>
      <c r="H88" s="64">
        <f t="shared" si="37"/>
        <v>1</v>
      </c>
      <c r="I88" s="64"/>
      <c r="J88" s="64"/>
      <c r="K88" s="64">
        <f t="shared" si="38"/>
        <v>0</v>
      </c>
      <c r="L88" s="64"/>
      <c r="M88" s="64"/>
      <c r="N88" s="64">
        <f t="shared" si="39"/>
        <v>0</v>
      </c>
      <c r="O88" s="7"/>
      <c r="P88" s="7"/>
      <c r="Q88" s="39"/>
      <c r="R88" s="39"/>
      <c r="S88" s="4"/>
      <c r="T88" s="4"/>
      <c r="U88" s="4"/>
      <c r="V88" s="4"/>
      <c r="W88" s="4"/>
      <c r="X88" s="4"/>
      <c r="Y88" s="62"/>
      <c r="Z88" s="62"/>
      <c r="AA88" s="62"/>
      <c r="AB88" s="4"/>
      <c r="AC88" s="64" t="str">
        <f t="shared" si="41"/>
        <v/>
      </c>
      <c r="AD88" s="64"/>
      <c r="AE88" s="64"/>
      <c r="AF88" s="64" t="str">
        <f t="shared" si="42"/>
        <v/>
      </c>
      <c r="AG88" s="64"/>
      <c r="AH88" s="64"/>
      <c r="AI88" s="64" t="str">
        <f t="shared" si="43"/>
        <v/>
      </c>
      <c r="AJ88" s="64"/>
      <c r="AK88" s="64"/>
      <c r="AL88" s="64" t="str">
        <f t="shared" si="44"/>
        <v/>
      </c>
      <c r="AM88" s="4"/>
      <c r="AN88" s="4"/>
      <c r="AO88" s="4"/>
      <c r="AP88" s="4"/>
      <c r="AQ88" s="4"/>
      <c r="AR88" s="4"/>
      <c r="AS88" s="4"/>
    </row>
    <row r="89" ht="14.25" hidden="1" customHeight="1">
      <c r="A89" s="1"/>
      <c r="B89" s="7" t="str">
        <f t="shared" si="40"/>
        <v>Feed from Sucrose secondary skill</v>
      </c>
      <c r="C89" s="7"/>
      <c r="D89" s="7"/>
      <c r="E89" s="64">
        <f t="shared" si="36"/>
        <v>0</v>
      </c>
      <c r="F89" s="64"/>
      <c r="G89" s="64"/>
      <c r="H89" s="64">
        <f t="shared" si="37"/>
        <v>0</v>
      </c>
      <c r="I89" s="64"/>
      <c r="J89" s="64"/>
      <c r="K89" s="64">
        <f t="shared" si="38"/>
        <v>1</v>
      </c>
      <c r="L89" s="64"/>
      <c r="M89" s="64"/>
      <c r="N89" s="64">
        <f t="shared" si="39"/>
        <v>0</v>
      </c>
      <c r="O89" s="7"/>
      <c r="P89" s="7"/>
      <c r="Q89" s="39"/>
      <c r="R89" s="39"/>
      <c r="S89" s="4"/>
      <c r="T89" s="4"/>
      <c r="U89" s="4"/>
      <c r="V89" s="4"/>
      <c r="W89" s="4"/>
      <c r="X89" s="4"/>
      <c r="Y89" s="62"/>
      <c r="Z89" s="62"/>
      <c r="AA89" s="62"/>
      <c r="AB89" s="4"/>
      <c r="AC89" s="64" t="str">
        <f t="shared" si="41"/>
        <v/>
      </c>
      <c r="AD89" s="64"/>
      <c r="AE89" s="64"/>
      <c r="AF89" s="64" t="str">
        <f t="shared" si="42"/>
        <v/>
      </c>
      <c r="AG89" s="64"/>
      <c r="AH89" s="64"/>
      <c r="AI89" s="64" t="str">
        <f t="shared" si="43"/>
        <v/>
      </c>
      <c r="AJ89" s="64"/>
      <c r="AK89" s="64"/>
      <c r="AL89" s="64" t="str">
        <f t="shared" si="44"/>
        <v/>
      </c>
      <c r="AM89" s="4"/>
      <c r="AN89" s="4"/>
      <c r="AO89" s="4"/>
      <c r="AP89" s="4"/>
      <c r="AQ89" s="4"/>
      <c r="AR89" s="4"/>
      <c r="AS89" s="4"/>
    </row>
    <row r="90" ht="14.25" hidden="1" customHeight="1">
      <c r="A90" s="1"/>
      <c r="B90" s="7" t="str">
        <f t="shared" si="40"/>
        <v>Feed from Baizhu secondary skill</v>
      </c>
      <c r="C90" s="7"/>
      <c r="D90" s="7"/>
      <c r="E90" s="75">
        <f t="shared" si="36"/>
        <v>0</v>
      </c>
      <c r="F90" s="75"/>
      <c r="G90" s="75"/>
      <c r="H90" s="75">
        <f t="shared" si="37"/>
        <v>0</v>
      </c>
      <c r="I90" s="75"/>
      <c r="J90" s="75"/>
      <c r="K90" s="75">
        <f t="shared" si="38"/>
        <v>0</v>
      </c>
      <c r="L90" s="75"/>
      <c r="M90" s="75"/>
      <c r="N90" s="75">
        <f t="shared" si="39"/>
        <v>1</v>
      </c>
      <c r="O90" s="7"/>
      <c r="P90" s="7"/>
      <c r="Q90" s="39"/>
      <c r="R90" s="39"/>
      <c r="S90" s="4"/>
      <c r="T90" s="4"/>
      <c r="U90" s="4"/>
      <c r="V90" s="4"/>
      <c r="W90" s="4"/>
      <c r="X90" s="4"/>
      <c r="Y90" s="62"/>
      <c r="Z90" s="62"/>
      <c r="AA90" s="62"/>
      <c r="AB90" s="4"/>
      <c r="AC90" s="64" t="str">
        <f t="shared" si="41"/>
        <v/>
      </c>
      <c r="AD90" s="64"/>
      <c r="AE90" s="64"/>
      <c r="AF90" s="64" t="str">
        <f t="shared" si="42"/>
        <v/>
      </c>
      <c r="AG90" s="64"/>
      <c r="AH90" s="64"/>
      <c r="AI90" s="64" t="str">
        <f t="shared" si="43"/>
        <v/>
      </c>
      <c r="AJ90" s="64"/>
      <c r="AK90" s="64"/>
      <c r="AL90" s="64" t="str">
        <f t="shared" si="44"/>
        <v/>
      </c>
      <c r="AM90" s="4"/>
      <c r="AN90" s="4"/>
      <c r="AO90" s="4"/>
      <c r="AP90" s="4"/>
      <c r="AQ90" s="4"/>
      <c r="AR90" s="4"/>
      <c r="AS90" s="4"/>
    </row>
    <row r="91" ht="14.25" hidden="1" customHeight="1">
      <c r="A91" s="1"/>
      <c r="B91" s="66" t="str">
        <f t="shared" ref="B91:B94" si="45">"Feed from " &amp; S61 &amp; " Favonius"</f>
        <v>Feed from Alhaitham Favonius</v>
      </c>
      <c r="C91" s="66"/>
      <c r="D91" s="66"/>
      <c r="E91" s="68">
        <f t="shared" si="36"/>
        <v>1</v>
      </c>
      <c r="F91" s="68"/>
      <c r="G91" s="68"/>
      <c r="H91" s="68">
        <f t="shared" si="37"/>
        <v>0</v>
      </c>
      <c r="I91" s="68"/>
      <c r="J91" s="68"/>
      <c r="K91" s="68">
        <f t="shared" si="38"/>
        <v>0</v>
      </c>
      <c r="L91" s="68"/>
      <c r="M91" s="68"/>
      <c r="N91" s="68">
        <f t="shared" si="39"/>
        <v>0</v>
      </c>
      <c r="O91" s="66"/>
      <c r="P91" s="66"/>
      <c r="Q91" s="71"/>
      <c r="R91" s="71"/>
      <c r="S91" s="69"/>
      <c r="T91" s="69"/>
      <c r="U91" s="69"/>
      <c r="V91" s="69"/>
      <c r="W91" s="69"/>
      <c r="X91" s="69"/>
      <c r="Y91" s="82"/>
      <c r="Z91" s="82"/>
      <c r="AA91" s="82"/>
      <c r="AB91" s="69"/>
      <c r="AC91" s="68" t="str">
        <f t="shared" ref="AC91:AC94" si="46">AK61</f>
        <v/>
      </c>
      <c r="AD91" s="68"/>
      <c r="AE91" s="68"/>
      <c r="AF91" s="68" t="str">
        <f t="shared" ref="AF91:AF94" si="47">AL61</f>
        <v/>
      </c>
      <c r="AG91" s="68"/>
      <c r="AH91" s="68"/>
      <c r="AI91" s="68" t="str">
        <f t="shared" ref="AI91:AI94" si="48">AM61</f>
        <v/>
      </c>
      <c r="AJ91" s="68"/>
      <c r="AK91" s="68"/>
      <c r="AL91" s="68" t="str">
        <f t="shared" ref="AL91:AL94" si="49">AN61</f>
        <v/>
      </c>
      <c r="AM91" s="69"/>
      <c r="AN91" s="69"/>
      <c r="AO91" s="4"/>
      <c r="AP91" s="4"/>
      <c r="AQ91" s="4"/>
      <c r="AR91" s="4"/>
      <c r="AS91" s="4"/>
    </row>
    <row r="92" ht="14.25" hidden="1" customHeight="1">
      <c r="A92" s="1"/>
      <c r="B92" s="7" t="str">
        <f t="shared" si="45"/>
        <v>Feed from Fischl Favonius</v>
      </c>
      <c r="C92" s="7"/>
      <c r="D92" s="7"/>
      <c r="E92" s="64">
        <f t="shared" si="36"/>
        <v>0</v>
      </c>
      <c r="F92" s="64"/>
      <c r="G92" s="64"/>
      <c r="H92" s="64">
        <f t="shared" si="37"/>
        <v>1</v>
      </c>
      <c r="I92" s="64"/>
      <c r="J92" s="64"/>
      <c r="K92" s="64">
        <f t="shared" si="38"/>
        <v>0</v>
      </c>
      <c r="L92" s="64"/>
      <c r="M92" s="64"/>
      <c r="N92" s="64">
        <f t="shared" si="39"/>
        <v>0</v>
      </c>
      <c r="O92" s="7"/>
      <c r="P92" s="7"/>
      <c r="Q92" s="39"/>
      <c r="R92" s="39"/>
      <c r="S92" s="4"/>
      <c r="T92" s="4"/>
      <c r="U92" s="4"/>
      <c r="V92" s="4"/>
      <c r="W92" s="4"/>
      <c r="X92" s="4"/>
      <c r="Y92" s="62"/>
      <c r="Z92" s="62"/>
      <c r="AA92" s="62"/>
      <c r="AB92" s="4"/>
      <c r="AC92" s="64" t="str">
        <f t="shared" si="46"/>
        <v/>
      </c>
      <c r="AD92" s="64"/>
      <c r="AE92" s="64"/>
      <c r="AF92" s="64" t="str">
        <f t="shared" si="47"/>
        <v/>
      </c>
      <c r="AG92" s="64"/>
      <c r="AH92" s="64"/>
      <c r="AI92" s="64" t="str">
        <f t="shared" si="48"/>
        <v/>
      </c>
      <c r="AJ92" s="64"/>
      <c r="AK92" s="64"/>
      <c r="AL92" s="64" t="str">
        <f t="shared" si="49"/>
        <v/>
      </c>
      <c r="AM92" s="4"/>
      <c r="AN92" s="4"/>
      <c r="AO92" s="4"/>
      <c r="AP92" s="4"/>
      <c r="AQ92" s="4"/>
      <c r="AR92" s="4"/>
      <c r="AS92" s="4"/>
    </row>
    <row r="93" ht="14.25" hidden="1" customHeight="1">
      <c r="A93" s="1"/>
      <c r="B93" s="7" t="str">
        <f t="shared" si="45"/>
        <v>Feed from Sucrose Favonius</v>
      </c>
      <c r="C93" s="7"/>
      <c r="D93" s="7"/>
      <c r="E93" s="64">
        <f t="shared" si="36"/>
        <v>0</v>
      </c>
      <c r="F93" s="64"/>
      <c r="G93" s="64"/>
      <c r="H93" s="64">
        <f t="shared" si="37"/>
        <v>0</v>
      </c>
      <c r="I93" s="64"/>
      <c r="J93" s="64"/>
      <c r="K93" s="64">
        <f t="shared" si="38"/>
        <v>1</v>
      </c>
      <c r="L93" s="64"/>
      <c r="M93" s="64"/>
      <c r="N93" s="64">
        <f t="shared" si="39"/>
        <v>0</v>
      </c>
      <c r="O93" s="7"/>
      <c r="P93" s="7"/>
      <c r="Q93" s="39"/>
      <c r="R93" s="39"/>
      <c r="S93" s="4"/>
      <c r="T93" s="4"/>
      <c r="U93" s="4"/>
      <c r="V93" s="4"/>
      <c r="W93" s="4"/>
      <c r="X93" s="4"/>
      <c r="Y93" s="62"/>
      <c r="Z93" s="62"/>
      <c r="AA93" s="62"/>
      <c r="AB93" s="4"/>
      <c r="AC93" s="64" t="str">
        <f t="shared" si="46"/>
        <v/>
      </c>
      <c r="AD93" s="64"/>
      <c r="AE93" s="64"/>
      <c r="AF93" s="64" t="str">
        <f t="shared" si="47"/>
        <v/>
      </c>
      <c r="AG93" s="64"/>
      <c r="AH93" s="64"/>
      <c r="AI93" s="64" t="str">
        <f t="shared" si="48"/>
        <v/>
      </c>
      <c r="AJ93" s="64"/>
      <c r="AK93" s="64"/>
      <c r="AL93" s="64" t="str">
        <f t="shared" si="49"/>
        <v/>
      </c>
      <c r="AM93" s="4"/>
      <c r="AN93" s="4"/>
      <c r="AO93" s="4"/>
      <c r="AP93" s="4"/>
      <c r="AQ93" s="4"/>
      <c r="AR93" s="4"/>
      <c r="AS93" s="4"/>
    </row>
    <row r="94" ht="14.25" hidden="1" customHeight="1">
      <c r="A94" s="1"/>
      <c r="B94" s="73" t="str">
        <f t="shared" si="45"/>
        <v>Feed from Baizhu Favonius</v>
      </c>
      <c r="C94" s="73"/>
      <c r="D94" s="73"/>
      <c r="E94" s="75">
        <f t="shared" si="36"/>
        <v>0</v>
      </c>
      <c r="F94" s="75"/>
      <c r="G94" s="75"/>
      <c r="H94" s="75">
        <f t="shared" si="37"/>
        <v>0</v>
      </c>
      <c r="I94" s="75"/>
      <c r="J94" s="75"/>
      <c r="K94" s="75">
        <f t="shared" si="38"/>
        <v>0</v>
      </c>
      <c r="L94" s="75"/>
      <c r="M94" s="75"/>
      <c r="N94" s="75">
        <f t="shared" si="39"/>
        <v>1</v>
      </c>
      <c r="O94" s="73"/>
      <c r="P94" s="73"/>
      <c r="Q94" s="77"/>
      <c r="R94" s="77"/>
      <c r="S94" s="65"/>
      <c r="T94" s="65"/>
      <c r="U94" s="65"/>
      <c r="V94" s="65"/>
      <c r="W94" s="65"/>
      <c r="X94" s="65"/>
      <c r="Y94" s="83"/>
      <c r="Z94" s="83"/>
      <c r="AA94" s="83"/>
      <c r="AB94" s="65"/>
      <c r="AC94" s="75" t="str">
        <f t="shared" si="46"/>
        <v/>
      </c>
      <c r="AD94" s="75"/>
      <c r="AE94" s="75"/>
      <c r="AF94" s="75" t="str">
        <f t="shared" si="47"/>
        <v/>
      </c>
      <c r="AG94" s="75"/>
      <c r="AH94" s="75"/>
      <c r="AI94" s="75" t="str">
        <f t="shared" si="48"/>
        <v/>
      </c>
      <c r="AJ94" s="75"/>
      <c r="AK94" s="75"/>
      <c r="AL94" s="75" t="str">
        <f t="shared" si="49"/>
        <v/>
      </c>
      <c r="AM94" s="65"/>
      <c r="AN94" s="65"/>
      <c r="AO94" s="4"/>
      <c r="AP94" s="4"/>
      <c r="AQ94" s="4"/>
      <c r="AR94" s="4"/>
      <c r="AS94" s="4"/>
    </row>
    <row r="95" ht="14.25" hidden="1" customHeight="1">
      <c r="A95" s="1"/>
      <c r="B95" s="7" t="str">
        <f t="shared" ref="B95:B98" si="50">"Particles from " &amp; S61 &amp; " primary skill"</f>
        <v>Particles from Alhaitham primary skill</v>
      </c>
      <c r="C95" s="7"/>
      <c r="D95" s="7"/>
      <c r="E95" s="62">
        <f>$V61 * E$73 * IF($U61 = "Clear", NoElement, IF($U61=E$36, RightElement, WrongElement)) * (E83*OnField + (1-E83)*OffField)</f>
        <v>36</v>
      </c>
      <c r="F95" s="62"/>
      <c r="G95" s="62"/>
      <c r="H95" s="62">
        <f>$V61 * H$73 * IF($U61 = "Clear", NoElement, IF($U61=H$36, RightElement, WrongElement)) * (H83*OnField + (1-H83)*OffField)</f>
        <v>14.4</v>
      </c>
      <c r="I95" s="62"/>
      <c r="J95" s="62"/>
      <c r="K95" s="62">
        <f>$V61 * K$73 * IF($U61 = "Clear", NoElement, IF($U61=K$36, RightElement, WrongElement)) * (K83*OnField + (1-K83)*OffField)</f>
        <v>7.2</v>
      </c>
      <c r="L95" s="62"/>
      <c r="M95" s="62"/>
      <c r="N95" s="62">
        <f>$V61 * N$73 * IF($U61 = "Clear", NoElement, IF($U61=N$36, RightElement, WrongElement)) * (N83*OnField + (1-N83)*OffField)</f>
        <v>21.6</v>
      </c>
      <c r="O95" s="7"/>
      <c r="P95" s="7"/>
      <c r="Q95" s="39"/>
      <c r="R95" s="39"/>
      <c r="S95" s="4"/>
      <c r="T95" s="4"/>
      <c r="U95" s="4"/>
      <c r="V95" s="4"/>
      <c r="W95" s="4"/>
      <c r="X95" s="4"/>
      <c r="Y95" s="62"/>
      <c r="Z95" s="62"/>
      <c r="AA95" s="62"/>
      <c r="AB95" s="4"/>
      <c r="AC95" s="64"/>
      <c r="AD95" s="64"/>
      <c r="AE95" s="64"/>
      <c r="AF95" s="64"/>
      <c r="AG95" s="64"/>
      <c r="AH95" s="64"/>
      <c r="AI95" s="64"/>
      <c r="AJ95" s="64"/>
      <c r="AK95" s="64"/>
      <c r="AL95" s="64"/>
      <c r="AM95" s="4"/>
      <c r="AN95" s="4"/>
      <c r="AO95" s="4"/>
      <c r="AP95" s="4"/>
      <c r="AQ95" s="4"/>
      <c r="AR95" s="4"/>
      <c r="AS95" s="4"/>
    </row>
    <row r="96" ht="14.25" hidden="1" customHeight="1">
      <c r="A96" s="1"/>
      <c r="B96" s="7" t="str">
        <f t="shared" si="50"/>
        <v>Particles from Fischl primary skill</v>
      </c>
      <c r="C96" s="7"/>
      <c r="D96" s="7"/>
      <c r="E96" s="62">
        <f>$V62 * E$73 * IF($U62 = "Clear", NoElement, IF($U62=E$36, RightElement, WrongElement)) * (E84*OnField + (1-E84)*OffField)</f>
        <v>5.36</v>
      </c>
      <c r="F96" s="62"/>
      <c r="G96" s="62"/>
      <c r="H96" s="62">
        <f>$V62 * H$73 * IF($U62 = "Clear", NoElement, IF($U62=H$36, RightElement, WrongElement)) * (H84*OnField + (1-H84)*OffField)</f>
        <v>27.336</v>
      </c>
      <c r="I96" s="62"/>
      <c r="J96" s="62"/>
      <c r="K96" s="62">
        <f>$V62 * K$73 * IF($U62 = "Clear", NoElement, IF($U62=K$36, RightElement, WrongElement)) * (K84*OnField + (1-K84)*OffField)</f>
        <v>4.556</v>
      </c>
      <c r="L96" s="62"/>
      <c r="M96" s="62"/>
      <c r="N96" s="62">
        <f>$V62 * N$73 * IF($U62 = "Clear", NoElement, IF($U62=N$36, RightElement, WrongElement)) * (N84*OnField + (1-N84)*OffField)</f>
        <v>4.288</v>
      </c>
      <c r="O96" s="7"/>
      <c r="P96" s="7"/>
      <c r="Q96" s="39"/>
      <c r="R96" s="39"/>
      <c r="S96" s="4"/>
      <c r="T96" s="4"/>
      <c r="U96" s="4"/>
      <c r="V96" s="4"/>
      <c r="W96" s="4"/>
      <c r="X96" s="4"/>
      <c r="Y96" s="62"/>
      <c r="Z96" s="62"/>
      <c r="AA96" s="62"/>
      <c r="AB96" s="4"/>
      <c r="AC96" s="64"/>
      <c r="AD96" s="64"/>
      <c r="AE96" s="64"/>
      <c r="AF96" s="64"/>
      <c r="AG96" s="64"/>
      <c r="AH96" s="64"/>
      <c r="AI96" s="64"/>
      <c r="AJ96" s="64"/>
      <c r="AK96" s="64"/>
      <c r="AL96" s="64"/>
      <c r="AM96" s="4"/>
      <c r="AN96" s="4"/>
      <c r="AO96" s="4"/>
      <c r="AP96" s="4"/>
      <c r="AQ96" s="4"/>
      <c r="AR96" s="4"/>
      <c r="AS96" s="4"/>
    </row>
    <row r="97" ht="14.25" hidden="1" customHeight="1">
      <c r="A97" s="1"/>
      <c r="B97" s="7" t="str">
        <f t="shared" si="50"/>
        <v>Particles from Sucrose primary skill</v>
      </c>
      <c r="C97" s="7"/>
      <c r="D97" s="7"/>
      <c r="E97" s="62">
        <f>$V63 * E$73 * IF($U63 = "Clear", NoElement, IF($U63=E$36, RightElement, WrongElement)) * (E85*OnField + (1-E85)*OffField)</f>
        <v>4.8</v>
      </c>
      <c r="F97" s="62"/>
      <c r="G97" s="62"/>
      <c r="H97" s="62">
        <f>$V63 * H$73 * IF($U63 = "Clear", NoElement, IF($U63=H$36, RightElement, WrongElement)) * (H85*OnField + (1-H85)*OffField)</f>
        <v>9.6</v>
      </c>
      <c r="I97" s="62"/>
      <c r="J97" s="62"/>
      <c r="K97" s="62">
        <f>$V63 * K$73 * IF($U63 = "Clear", NoElement, IF($U63=K$36, RightElement, WrongElement)) * (K85*OnField + (1-K85)*OffField)</f>
        <v>24</v>
      </c>
      <c r="L97" s="62"/>
      <c r="M97" s="62"/>
      <c r="N97" s="62">
        <f>$V63 * N$73 * IF($U63 = "Clear", NoElement, IF($U63=N$36, RightElement, WrongElement)) * (N85*OnField + (1-N85)*OffField)</f>
        <v>4.8</v>
      </c>
      <c r="O97" s="7"/>
      <c r="P97" s="7"/>
      <c r="Q97" s="39"/>
      <c r="R97" s="39"/>
      <c r="S97" s="4"/>
      <c r="T97" s="4"/>
      <c r="U97" s="4"/>
      <c r="V97" s="4"/>
      <c r="W97" s="4"/>
      <c r="X97" s="4"/>
      <c r="Y97" s="62"/>
      <c r="Z97" s="62"/>
      <c r="AA97" s="62"/>
      <c r="AB97" s="4"/>
      <c r="AC97" s="64"/>
      <c r="AD97" s="64"/>
      <c r="AE97" s="64"/>
      <c r="AF97" s="64"/>
      <c r="AG97" s="64"/>
      <c r="AH97" s="64"/>
      <c r="AI97" s="64"/>
      <c r="AJ97" s="64"/>
      <c r="AK97" s="64"/>
      <c r="AL97" s="64"/>
      <c r="AM97" s="4"/>
      <c r="AN97" s="4"/>
      <c r="AO97" s="4"/>
      <c r="AP97" s="4"/>
      <c r="AQ97" s="4"/>
      <c r="AR97" s="4"/>
      <c r="AS97" s="4"/>
    </row>
    <row r="98" ht="14.25" hidden="1" customHeight="1">
      <c r="A98" s="1"/>
      <c r="B98" s="73" t="str">
        <f t="shared" si="50"/>
        <v>Particles from Baizhu primary skill</v>
      </c>
      <c r="C98" s="73"/>
      <c r="D98" s="73"/>
      <c r="E98" s="83">
        <f>$V64 * E$73 * IF($U64 = "Clear", NoElement, IF($U64=E$36, RightElement, WrongElement)) * (E86*OnField + (1-E86)*OffField)</f>
        <v>10.8</v>
      </c>
      <c r="F98" s="83"/>
      <c r="G98" s="83"/>
      <c r="H98" s="83">
        <f>$V64 * H$73 * IF($U64 = "Clear", NoElement, IF($U64=H$36, RightElement, WrongElement)) * (H86*OnField + (1-H86)*OffField)</f>
        <v>7.2</v>
      </c>
      <c r="I98" s="83"/>
      <c r="J98" s="83"/>
      <c r="K98" s="83">
        <f>$V64 * K$73 * IF($U64 = "Clear", NoElement, IF($U64=K$36, RightElement, WrongElement)) * (K86*OnField + (1-K86)*OffField)</f>
        <v>3.6</v>
      </c>
      <c r="L98" s="83"/>
      <c r="M98" s="83"/>
      <c r="N98" s="83">
        <f>$V64 * N$73 * IF($U64 = "Clear", NoElement, IF($U64=N$36, RightElement, WrongElement)) * (N86*OnField + (1-N86)*OffField)</f>
        <v>18</v>
      </c>
      <c r="O98" s="73"/>
      <c r="P98" s="73"/>
      <c r="Q98" s="77"/>
      <c r="R98" s="77"/>
      <c r="S98" s="65"/>
      <c r="T98" s="65"/>
      <c r="U98" s="65"/>
      <c r="V98" s="65"/>
      <c r="W98" s="65"/>
      <c r="X98" s="65"/>
      <c r="Y98" s="83"/>
      <c r="Z98" s="83"/>
      <c r="AA98" s="83"/>
      <c r="AB98" s="65"/>
      <c r="AC98" s="75"/>
      <c r="AD98" s="75"/>
      <c r="AE98" s="75"/>
      <c r="AF98" s="75"/>
      <c r="AG98" s="75"/>
      <c r="AH98" s="75"/>
      <c r="AI98" s="75"/>
      <c r="AJ98" s="75"/>
      <c r="AK98" s="75"/>
      <c r="AL98" s="75"/>
      <c r="AM98" s="65"/>
      <c r="AN98" s="65"/>
      <c r="AO98" s="4"/>
      <c r="AP98" s="4"/>
      <c r="AQ98" s="4"/>
      <c r="AR98" s="4"/>
      <c r="AS98" s="4"/>
    </row>
    <row r="99" ht="14.25" hidden="1" customHeight="1">
      <c r="A99" s="1"/>
      <c r="B99" s="7" t="str">
        <f t="shared" ref="B99:B102" si="51">"Particles from " &amp; S65 &amp; " secondary skill"</f>
        <v>Particles from Alhaitham secondary skill</v>
      </c>
      <c r="C99" s="7"/>
      <c r="D99" s="7"/>
      <c r="E99" s="62">
        <f>$V65 * E$73 * IF($U65 = "Clear", NoElement, IF($U65=E$36, RightElement, WrongElement)) * (E87*OnField + (1-E87)*OffField)</f>
        <v>0</v>
      </c>
      <c r="F99" s="62"/>
      <c r="G99" s="62"/>
      <c r="H99" s="62">
        <f>$V65 * H$73 * IF($U65 = "Clear", NoElement, IF($U65=H$36, RightElement, WrongElement)) * (H87*OnField + (1-H87)*OffField)</f>
        <v>0</v>
      </c>
      <c r="I99" s="62"/>
      <c r="J99" s="62"/>
      <c r="K99" s="62">
        <f>$V65 * K$73 * IF($U65 = "Clear", NoElement, IF($U65=K$36, RightElement, WrongElement)) * (K87*OnField + (1-K87)*OffField)</f>
        <v>0</v>
      </c>
      <c r="L99" s="62"/>
      <c r="M99" s="62"/>
      <c r="N99" s="62">
        <f>$V65 * N$73 * IF($U65 = "Clear", NoElement, IF($U65=N$36, RightElement, WrongElement)) * (N87*OnField + (1-N87)*OffField)</f>
        <v>0</v>
      </c>
      <c r="O99" s="7"/>
      <c r="P99" s="7"/>
      <c r="Q99" s="39"/>
      <c r="R99" s="39"/>
      <c r="S99" s="4"/>
      <c r="T99" s="4"/>
      <c r="U99" s="4"/>
      <c r="V99" s="4"/>
      <c r="W99" s="4"/>
      <c r="X99" s="4"/>
      <c r="Y99" s="62"/>
      <c r="Z99" s="62"/>
      <c r="AA99" s="62"/>
      <c r="AB99" s="4"/>
      <c r="AC99" s="64"/>
      <c r="AD99" s="64"/>
      <c r="AE99" s="64"/>
      <c r="AF99" s="64"/>
      <c r="AG99" s="64"/>
      <c r="AH99" s="64"/>
      <c r="AI99" s="64"/>
      <c r="AJ99" s="64"/>
      <c r="AK99" s="64"/>
      <c r="AL99" s="64"/>
      <c r="AM99" s="4"/>
      <c r="AN99" s="4"/>
      <c r="AO99" s="4"/>
      <c r="AP99" s="4"/>
      <c r="AQ99" s="4"/>
      <c r="AR99" s="4"/>
      <c r="AS99" s="4"/>
    </row>
    <row r="100" ht="14.25" hidden="1" customHeight="1">
      <c r="A100" s="1"/>
      <c r="B100" s="7" t="str">
        <f t="shared" si="51"/>
        <v>Particles from Fischl secondary skill</v>
      </c>
      <c r="C100" s="7"/>
      <c r="D100" s="7"/>
      <c r="E100" s="62">
        <f>$V66 * E$73 * IF($U66 = "Clear", NoElement, IF($U66=E$36, RightElement, WrongElement)) * (E88*OnField + (1-E88)*OffField)</f>
        <v>0</v>
      </c>
      <c r="F100" s="62"/>
      <c r="G100" s="62"/>
      <c r="H100" s="62">
        <f>$V66 * H$73 * IF($U66 = "Clear", NoElement, IF($U66=H$36, RightElement, WrongElement)) * (H88*OnField + (1-H88)*OffField)</f>
        <v>0</v>
      </c>
      <c r="I100" s="62"/>
      <c r="J100" s="62"/>
      <c r="K100" s="62">
        <f>$V66 * K$73 * IF($U66 = "Clear", NoElement, IF($U66=K$36, RightElement, WrongElement)) * (K88*OnField + (1-K88)*OffField)</f>
        <v>0</v>
      </c>
      <c r="L100" s="62"/>
      <c r="M100" s="62"/>
      <c r="N100" s="62">
        <f>$V66 * N$73 * IF($U66 = "Clear", NoElement, IF($U66=N$36, RightElement, WrongElement)) * (N88*OnField + (1-N88)*OffField)</f>
        <v>0</v>
      </c>
      <c r="O100" s="7"/>
      <c r="P100" s="7"/>
      <c r="Q100" s="39"/>
      <c r="R100" s="39"/>
      <c r="S100" s="4"/>
      <c r="T100" s="4"/>
      <c r="U100" s="4"/>
      <c r="V100" s="4"/>
      <c r="W100" s="4"/>
      <c r="X100" s="4"/>
      <c r="Y100" s="62"/>
      <c r="Z100" s="62"/>
      <c r="AA100" s="62"/>
      <c r="AB100" s="4"/>
      <c r="AC100" s="64"/>
      <c r="AD100" s="64"/>
      <c r="AE100" s="64"/>
      <c r="AF100" s="64"/>
      <c r="AG100" s="64"/>
      <c r="AH100" s="64"/>
      <c r="AI100" s="64"/>
      <c r="AJ100" s="64"/>
      <c r="AK100" s="64"/>
      <c r="AL100" s="64"/>
      <c r="AM100" s="4"/>
      <c r="AN100" s="4"/>
      <c r="AO100" s="4"/>
      <c r="AP100" s="4"/>
      <c r="AQ100" s="4"/>
      <c r="AR100" s="4"/>
      <c r="AS100" s="4"/>
    </row>
    <row r="101" ht="14.25" hidden="1" customHeight="1">
      <c r="A101" s="1"/>
      <c r="B101" s="7" t="str">
        <f t="shared" si="51"/>
        <v>Particles from Sucrose secondary skill</v>
      </c>
      <c r="C101" s="7"/>
      <c r="D101" s="7"/>
      <c r="E101" s="62">
        <f>$V67 * E$73 * IF($U67 = "Clear", NoElement, IF($U67=E$36, RightElement, WrongElement)) * (E89*OnField + (1-E89)*OffField)</f>
        <v>0</v>
      </c>
      <c r="F101" s="62"/>
      <c r="G101" s="62"/>
      <c r="H101" s="62">
        <f>$V67 * H$73 * IF($U67 = "Clear", NoElement, IF($U67=H$36, RightElement, WrongElement)) * (H89*OnField + (1-H89)*OffField)</f>
        <v>0</v>
      </c>
      <c r="I101" s="62"/>
      <c r="J101" s="62"/>
      <c r="K101" s="62">
        <f>$V67 * K$73 * IF($U67 = "Clear", NoElement, IF($U67=K$36, RightElement, WrongElement)) * (K89*OnField + (1-K89)*OffField)</f>
        <v>0</v>
      </c>
      <c r="L101" s="62"/>
      <c r="M101" s="62"/>
      <c r="N101" s="62">
        <f>$V67 * N$73 * IF($U67 = "Clear", NoElement, IF($U67=N$36, RightElement, WrongElement)) * (N89*OnField + (1-N89)*OffField)</f>
        <v>0</v>
      </c>
      <c r="O101" s="7"/>
      <c r="P101" s="7"/>
      <c r="Q101" s="39"/>
      <c r="R101" s="39"/>
      <c r="S101" s="4"/>
      <c r="T101" s="4"/>
      <c r="U101" s="4"/>
      <c r="V101" s="4"/>
      <c r="W101" s="4"/>
      <c r="X101" s="4"/>
      <c r="Y101" s="62"/>
      <c r="Z101" s="62"/>
      <c r="AA101" s="62"/>
      <c r="AB101" s="4"/>
      <c r="AC101" s="64"/>
      <c r="AD101" s="64"/>
      <c r="AE101" s="64"/>
      <c r="AF101" s="64"/>
      <c r="AG101" s="64"/>
      <c r="AH101" s="64"/>
      <c r="AI101" s="64"/>
      <c r="AJ101" s="64"/>
      <c r="AK101" s="64"/>
      <c r="AL101" s="64"/>
      <c r="AM101" s="4"/>
      <c r="AN101" s="4"/>
      <c r="AO101" s="4"/>
      <c r="AP101" s="4"/>
      <c r="AQ101" s="4"/>
      <c r="AR101" s="4"/>
      <c r="AS101" s="4"/>
    </row>
    <row r="102" ht="14.25" hidden="1" customHeight="1">
      <c r="A102" s="1"/>
      <c r="B102" s="73" t="str">
        <f t="shared" si="51"/>
        <v>Particles from Baizhu secondary skill</v>
      </c>
      <c r="C102" s="73"/>
      <c r="D102" s="73"/>
      <c r="E102" s="83">
        <f>$V68 * E$73 * IF($U68 = "Clear", NoElement, IF($U68=E$36, RightElement, WrongElement)) * (E90*OnField + (1-E90)*OffField)</f>
        <v>0</v>
      </c>
      <c r="F102" s="83"/>
      <c r="G102" s="83"/>
      <c r="H102" s="83">
        <f>$V68 * H$73 * IF($U68 = "Clear", NoElement, IF($U68=H$36, RightElement, WrongElement)) * (H90*OnField + (1-H90)*OffField)</f>
        <v>0</v>
      </c>
      <c r="I102" s="83"/>
      <c r="J102" s="83"/>
      <c r="K102" s="83">
        <f>$V68 * K$73 * IF($U68 = "Clear", NoElement, IF($U68=K$36, RightElement, WrongElement)) * (K90*OnField + (1-K90)*OffField)</f>
        <v>0</v>
      </c>
      <c r="L102" s="83"/>
      <c r="M102" s="83"/>
      <c r="N102" s="83">
        <f>$V68 * N$73 * IF($U68 = "Clear", NoElement, IF($U68=N$36, RightElement, WrongElement)) * (N90*OnField + (1-N90)*OffField)</f>
        <v>0</v>
      </c>
      <c r="O102" s="73"/>
      <c r="P102" s="73"/>
      <c r="Q102" s="77"/>
      <c r="R102" s="77"/>
      <c r="S102" s="65"/>
      <c r="T102" s="65"/>
      <c r="U102" s="65"/>
      <c r="V102" s="65"/>
      <c r="W102" s="65"/>
      <c r="X102" s="65"/>
      <c r="Y102" s="83"/>
      <c r="Z102" s="83"/>
      <c r="AA102" s="83"/>
      <c r="AB102" s="65"/>
      <c r="AC102" s="75"/>
      <c r="AD102" s="75"/>
      <c r="AE102" s="75"/>
      <c r="AF102" s="75"/>
      <c r="AG102" s="75"/>
      <c r="AH102" s="75"/>
      <c r="AI102" s="75"/>
      <c r="AJ102" s="75"/>
      <c r="AK102" s="75"/>
      <c r="AL102" s="75"/>
      <c r="AM102" s="65"/>
      <c r="AN102" s="65"/>
      <c r="AO102" s="4"/>
      <c r="AP102" s="4"/>
      <c r="AQ102" s="4"/>
      <c r="AR102" s="4"/>
      <c r="AS102" s="4"/>
    </row>
    <row r="103" ht="14.25" hidden="1" customHeight="1">
      <c r="A103" s="1"/>
      <c r="B103" s="7" t="str">
        <f t="shared" ref="B103:B106" si="52">"Particles from " &amp; S69 &amp; " Favonius"</f>
        <v>Particles from Alhaitham Favonius</v>
      </c>
      <c r="C103" s="7"/>
      <c r="D103" s="7"/>
      <c r="E103" s="62">
        <f>$V69 * E$73 * IF($U69 = "Clear", NoElement, IF($U69=E$36, RightElement, WrongElement)) * (E91*OnField + (1-E91)*OffField)</f>
        <v>0</v>
      </c>
      <c r="F103" s="62"/>
      <c r="G103" s="62"/>
      <c r="H103" s="62">
        <f>$V69 * H$73 * IF($U69 = "Clear", NoElement, IF($U69=H$36, RightElement, WrongElement)) * (H91*OnField + (1-H91)*OffField)</f>
        <v>0</v>
      </c>
      <c r="I103" s="62"/>
      <c r="J103" s="62"/>
      <c r="K103" s="62">
        <f>$V69 * K$73 * IF($U69 = "Clear", NoElement, IF($U69=K$36, RightElement, WrongElement)) * (K91*OnField + (1-K91)*OffField)</f>
        <v>0</v>
      </c>
      <c r="L103" s="62"/>
      <c r="M103" s="62"/>
      <c r="N103" s="62">
        <f>$V69 * N$73 * IF($U69 = "Clear", NoElement, IF($U69=N$36, RightElement, WrongElement)) * (N91*OnField + (1-N91)*OffField)</f>
        <v>0</v>
      </c>
      <c r="O103" s="7"/>
      <c r="P103" s="7"/>
      <c r="Q103" s="39"/>
      <c r="R103" s="39"/>
      <c r="S103" s="4"/>
      <c r="T103" s="4"/>
      <c r="U103" s="4"/>
      <c r="V103" s="4"/>
      <c r="W103" s="4"/>
      <c r="X103" s="4"/>
      <c r="Y103" s="62"/>
      <c r="Z103" s="62"/>
      <c r="AA103" s="62"/>
      <c r="AB103" s="4"/>
      <c r="AC103" s="64"/>
      <c r="AD103" s="64"/>
      <c r="AE103" s="64"/>
      <c r="AF103" s="64"/>
      <c r="AG103" s="64"/>
      <c r="AH103" s="64"/>
      <c r="AI103" s="64"/>
      <c r="AJ103" s="64"/>
      <c r="AK103" s="64"/>
      <c r="AL103" s="64"/>
      <c r="AM103" s="4"/>
      <c r="AN103" s="4"/>
      <c r="AO103" s="4"/>
      <c r="AP103" s="4"/>
      <c r="AQ103" s="4"/>
      <c r="AR103" s="4"/>
      <c r="AS103" s="4"/>
    </row>
    <row r="104" ht="14.25" hidden="1" customHeight="1">
      <c r="A104" s="1"/>
      <c r="B104" s="7" t="str">
        <f t="shared" si="52"/>
        <v>Particles from Fischl Favonius</v>
      </c>
      <c r="C104" s="7"/>
      <c r="D104" s="7"/>
      <c r="E104" s="62">
        <f>$V70 * E$73 * IF($U70 = "Clear", NoElement, IF($U70=E$36, RightElement, WrongElement)) * (E92*OnField + (1-E92)*OffField)</f>
        <v>0</v>
      </c>
      <c r="F104" s="62"/>
      <c r="G104" s="62"/>
      <c r="H104" s="62">
        <f>$V70 * H$73 * IF($U70 = "Clear", NoElement, IF($U70=H$36, RightElement, WrongElement)) * (H92*OnField + (1-H92)*OffField)</f>
        <v>0</v>
      </c>
      <c r="I104" s="62"/>
      <c r="J104" s="62"/>
      <c r="K104" s="62">
        <f>$V70 * K$73 * IF($U70 = "Clear", NoElement, IF($U70=K$36, RightElement, WrongElement)) * (K92*OnField + (1-K92)*OffField)</f>
        <v>0</v>
      </c>
      <c r="L104" s="62"/>
      <c r="M104" s="62"/>
      <c r="N104" s="62">
        <f>$V70 * N$73 * IF($U70 = "Clear", NoElement, IF($U70=N$36, RightElement, WrongElement)) * (N92*OnField + (1-N92)*OffField)</f>
        <v>0</v>
      </c>
      <c r="O104" s="7"/>
      <c r="P104" s="7"/>
      <c r="Q104" s="39"/>
      <c r="R104" s="39"/>
      <c r="S104" s="4"/>
      <c r="T104" s="4"/>
      <c r="U104" s="4"/>
      <c r="V104" s="4"/>
      <c r="W104" s="4"/>
      <c r="X104" s="4"/>
      <c r="Y104" s="62"/>
      <c r="Z104" s="62"/>
      <c r="AA104" s="62"/>
      <c r="AB104" s="4"/>
      <c r="AC104" s="64"/>
      <c r="AD104" s="64"/>
      <c r="AE104" s="64"/>
      <c r="AF104" s="64"/>
      <c r="AG104" s="64"/>
      <c r="AH104" s="64"/>
      <c r="AI104" s="64"/>
      <c r="AJ104" s="64"/>
      <c r="AK104" s="64"/>
      <c r="AL104" s="64"/>
      <c r="AM104" s="4"/>
      <c r="AN104" s="4"/>
      <c r="AO104" s="4"/>
      <c r="AP104" s="4"/>
      <c r="AQ104" s="4"/>
      <c r="AR104" s="4"/>
      <c r="AS104" s="4"/>
    </row>
    <row r="105" ht="14.25" hidden="1" customHeight="1">
      <c r="A105" s="1"/>
      <c r="B105" s="7" t="str">
        <f t="shared" si="52"/>
        <v>Particles from Sucrose Favonius</v>
      </c>
      <c r="C105" s="7"/>
      <c r="D105" s="7"/>
      <c r="E105" s="62">
        <f>$V71 * E$73 * IF($U71 = "Clear", NoElement, IF($U71=E$36, RightElement, WrongElement)) * (E93*OnField + (1-E93)*OffField)</f>
        <v>0</v>
      </c>
      <c r="F105" s="62"/>
      <c r="G105" s="62"/>
      <c r="H105" s="62">
        <f>$V71 * H$73 * IF($U71 = "Clear", NoElement, IF($U71=H$36, RightElement, WrongElement)) * (H93*OnField + (1-H93)*OffField)</f>
        <v>0</v>
      </c>
      <c r="I105" s="62"/>
      <c r="J105" s="62"/>
      <c r="K105" s="62">
        <f>$V71 * K$73 * IF($U71 = "Clear", NoElement, IF($U71=K$36, RightElement, WrongElement)) * (K93*OnField + (1-K93)*OffField)</f>
        <v>0</v>
      </c>
      <c r="L105" s="62"/>
      <c r="M105" s="62"/>
      <c r="N105" s="62">
        <f>$V71 * N$73 * IF($U71 = "Clear", NoElement, IF($U71=N$36, RightElement, WrongElement)) * (N93*OnField + (1-N93)*OffField)</f>
        <v>0</v>
      </c>
      <c r="O105" s="7"/>
      <c r="P105" s="7"/>
      <c r="Q105" s="39"/>
      <c r="R105" s="39"/>
      <c r="S105" s="4"/>
      <c r="T105" s="4"/>
      <c r="U105" s="4"/>
      <c r="V105" s="4"/>
      <c r="W105" s="4"/>
      <c r="X105" s="4"/>
      <c r="Y105" s="62"/>
      <c r="Z105" s="62"/>
      <c r="AA105" s="62"/>
      <c r="AB105" s="4"/>
      <c r="AC105" s="64"/>
      <c r="AD105" s="64"/>
      <c r="AE105" s="64"/>
      <c r="AF105" s="64"/>
      <c r="AG105" s="64"/>
      <c r="AH105" s="64"/>
      <c r="AI105" s="64"/>
      <c r="AJ105" s="64"/>
      <c r="AK105" s="64"/>
      <c r="AL105" s="64"/>
      <c r="AM105" s="4"/>
      <c r="AN105" s="4"/>
      <c r="AO105" s="4"/>
      <c r="AP105" s="4"/>
      <c r="AQ105" s="4"/>
      <c r="AR105" s="4"/>
      <c r="AS105" s="4"/>
    </row>
    <row r="106" ht="14.25" hidden="1" customHeight="1">
      <c r="A106" s="1"/>
      <c r="B106" s="73" t="str">
        <f t="shared" si="52"/>
        <v>Particles from Baizhu Favonius</v>
      </c>
      <c r="C106" s="73"/>
      <c r="D106" s="73"/>
      <c r="E106" s="83">
        <f>$V72 * E$73 * IF($U72 = "Clear", NoElement, IF($U72=E$36, RightElement, WrongElement)) * (E94*OnField + (1-E94)*OffField)</f>
        <v>0</v>
      </c>
      <c r="F106" s="83"/>
      <c r="G106" s="83"/>
      <c r="H106" s="83">
        <f>$V72 * H$73 * IF($U72 = "Clear", NoElement, IF($U72=H$36, RightElement, WrongElement)) * (H94*OnField + (1-H94)*OffField)</f>
        <v>0</v>
      </c>
      <c r="I106" s="83"/>
      <c r="J106" s="83"/>
      <c r="K106" s="83">
        <f>$V72 * K$73 * IF($U72 = "Clear", NoElement, IF($U72=K$36, RightElement, WrongElement)) * (K94*OnField + (1-K94)*OffField)</f>
        <v>0</v>
      </c>
      <c r="L106" s="83"/>
      <c r="M106" s="83"/>
      <c r="N106" s="83">
        <f>$V72 * N$73 * IF($U72 = "Clear", NoElement, IF($U72=N$36, RightElement, WrongElement)) * (N94*OnField + (1-N94)*OffField)</f>
        <v>0</v>
      </c>
      <c r="O106" s="73"/>
      <c r="P106" s="73"/>
      <c r="Q106" s="77"/>
      <c r="R106" s="77"/>
      <c r="S106" s="65"/>
      <c r="T106" s="65"/>
      <c r="U106" s="65"/>
      <c r="V106" s="65"/>
      <c r="W106" s="65"/>
      <c r="X106" s="65"/>
      <c r="Y106" s="83"/>
      <c r="Z106" s="83"/>
      <c r="AA106" s="83"/>
      <c r="AB106" s="65"/>
      <c r="AC106" s="75"/>
      <c r="AD106" s="75"/>
      <c r="AE106" s="75"/>
      <c r="AF106" s="75"/>
      <c r="AG106" s="75"/>
      <c r="AH106" s="75"/>
      <c r="AI106" s="75"/>
      <c r="AJ106" s="75"/>
      <c r="AK106" s="75"/>
      <c r="AL106" s="75"/>
      <c r="AM106" s="65"/>
      <c r="AN106" s="65"/>
      <c r="AO106" s="4"/>
      <c r="AP106" s="4"/>
      <c r="AQ106" s="4"/>
      <c r="AR106" s="4"/>
      <c r="AS106" s="4"/>
    </row>
    <row r="107" ht="14.25" hidden="1" customHeight="1">
      <c r="A107" s="1"/>
      <c r="B107" s="7" t="s">
        <v>98</v>
      </c>
      <c r="C107" s="7"/>
      <c r="D107" s="7"/>
      <c r="E107" s="34"/>
      <c r="F107" s="34"/>
      <c r="G107" s="34"/>
      <c r="H107" s="34"/>
      <c r="I107" s="34"/>
      <c r="J107" s="34"/>
      <c r="K107" s="34"/>
      <c r="L107" s="34"/>
      <c r="M107" s="34"/>
      <c r="N107" s="34"/>
      <c r="O107" s="34"/>
      <c r="P107" s="1"/>
      <c r="Q107" s="39"/>
      <c r="R107" s="39"/>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row>
    <row r="108" ht="14.25" hidden="1" customHeight="1">
      <c r="A108" s="1"/>
      <c r="B108" s="7" t="s">
        <v>99</v>
      </c>
      <c r="C108" s="7"/>
      <c r="D108" s="7"/>
      <c r="E108" s="34" t="str">
        <f t="array" ref="E108">INDEX(Data!$C$2:$C$75,MATCH('Energy Recharge Calculator'!E$7,Data!$A$2:$A$75,0))</f>
        <v>12s uptime</v>
      </c>
      <c r="F108" s="34"/>
      <c r="G108" s="34"/>
      <c r="H108" s="34" t="str">
        <f t="array" ref="H108">INDEX(Data!$C$2:$C$75,MATCH('Energy Recharge Calculator'!H$7,Data!$A$2:$A$75,0))</f>
        <v>Constellation 0</v>
      </c>
      <c r="I108" s="34"/>
      <c r="J108" s="34"/>
      <c r="K108" s="34" t="str">
        <f t="array" ref="K108">INDEX(Data!$C$2:$C$75,MATCH('Energy Recharge Calculator'!K$7,Data!$A$2:$A$75,0))</f>
        <v>Press</v>
      </c>
      <c r="L108" s="34"/>
      <c r="M108" s="34"/>
      <c r="N108" s="34" t="str">
        <f t="array" ref="N108">INDEX(Data!$C$2:$C$75,MATCH('Energy Recharge Calculator'!N$7,Data!$A$2:$A$75,0))</f>
        <v>Press</v>
      </c>
      <c r="O108" s="34"/>
      <c r="P108" s="1"/>
      <c r="Q108" s="39"/>
      <c r="R108" s="39"/>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row>
    <row r="109" ht="14.25" hidden="1" customHeight="1">
      <c r="A109" s="1"/>
      <c r="B109" s="7" t="s">
        <v>100</v>
      </c>
      <c r="C109" s="7"/>
      <c r="D109" s="7"/>
      <c r="E109" s="34" t="str">
        <f t="array" ref="E109">INDEX(Data!$D$2:$D$75,MATCH('Energy Recharge Calculator'!E$7,Data!$A$2:$A$75,0))</f>
        <v/>
      </c>
      <c r="F109" s="34"/>
      <c r="G109" s="34"/>
      <c r="H109" s="34" t="str">
        <f t="array" ref="H109">INDEX(Data!$D$2:$D$75,MATCH('Energy Recharge Calculator'!H$7,Data!$A$2:$A$75,0))</f>
        <v>Constellation 6</v>
      </c>
      <c r="I109" s="34"/>
      <c r="J109" s="34"/>
      <c r="K109" s="34" t="str">
        <f t="array" ref="K109">INDEX(Data!$D$2:$D$75,MATCH('Energy Recharge Calculator'!K$7,Data!$A$2:$A$75,0))</f>
        <v/>
      </c>
      <c r="L109" s="34"/>
      <c r="M109" s="34"/>
      <c r="N109" s="34" t="str">
        <f t="array" ref="N109">INDEX(Data!$D$2:$D$75,MATCH('Energy Recharge Calculator'!N$7,Data!$A$2:$A$75,0))</f>
        <v/>
      </c>
      <c r="O109" s="34"/>
      <c r="P109" s="1"/>
      <c r="Q109" s="39"/>
      <c r="R109" s="39"/>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row>
    <row r="110" ht="14.25" hidden="1" customHeight="1">
      <c r="A110" s="1"/>
      <c r="B110" s="7" t="s">
        <v>101</v>
      </c>
      <c r="C110" s="7"/>
      <c r="D110" s="7"/>
      <c r="E110" s="34" t="str">
        <f t="array" ref="E110">INDEX(Data!$E$2:$E$75,MATCH('Energy Recharge Calculator'!E$7,Data!$A$2:$A$75,0))</f>
        <v/>
      </c>
      <c r="F110" s="34"/>
      <c r="G110" s="34"/>
      <c r="H110" s="34" t="str">
        <f t="array" ref="H110">INDEX(Data!$E$2:$E$75,MATCH('Energy Recharge Calculator'!H$7,Data!$A$2:$A$75,0))</f>
        <v/>
      </c>
      <c r="I110" s="34"/>
      <c r="J110" s="34"/>
      <c r="K110" s="34" t="str">
        <f t="array" ref="K110">INDEX(Data!$E$2:$E$75,MATCH('Energy Recharge Calculator'!K$7,Data!$A$2:$A$75,0))</f>
        <v/>
      </c>
      <c r="L110" s="34"/>
      <c r="M110" s="34"/>
      <c r="N110" s="34" t="str">
        <f t="array" ref="N110">INDEX(Data!$E$2:$E$75,MATCH('Energy Recharge Calculator'!N$7,Data!$A$2:$A$75,0))</f>
        <v/>
      </c>
      <c r="O110" s="34"/>
      <c r="P110" s="1"/>
      <c r="Q110" s="39"/>
      <c r="R110" s="39"/>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row>
    <row r="111" ht="14.25" hidden="1" customHeight="1">
      <c r="A111" s="1"/>
      <c r="B111" s="7" t="s">
        <v>37</v>
      </c>
      <c r="C111" s="7"/>
      <c r="D111" s="7"/>
      <c r="E111" s="64">
        <f>IF(ISBLANK(E27),1,E27)</f>
        <v>1</v>
      </c>
      <c r="F111" s="64"/>
      <c r="G111" s="4"/>
      <c r="H111" s="64">
        <f>IF(ISBLANK(H27),1,H27)</f>
        <v>1</v>
      </c>
      <c r="I111" s="64"/>
      <c r="J111" s="4"/>
      <c r="K111" s="64">
        <f>IF(ISBLANK(K27),1,K27)</f>
        <v>1</v>
      </c>
      <c r="L111" s="64"/>
      <c r="M111" s="4"/>
      <c r="N111" s="64">
        <f>IF(ISBLANK(N27),1,N27)</f>
        <v>1</v>
      </c>
      <c r="O111" s="64"/>
      <c r="P111" s="1"/>
      <c r="Q111" s="39"/>
      <c r="R111" s="39"/>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row>
    <row r="112" ht="14.25" customHeight="1">
      <c r="A112" s="1"/>
      <c r="B112" s="4"/>
      <c r="C112" s="4"/>
      <c r="D112" s="4"/>
      <c r="E112" s="4"/>
      <c r="F112" s="4"/>
      <c r="G112" s="1"/>
      <c r="H112" s="4"/>
      <c r="I112" s="4"/>
      <c r="J112" s="1"/>
      <c r="K112" s="4"/>
      <c r="L112" s="4"/>
      <c r="M112" s="1"/>
      <c r="N112" s="4"/>
      <c r="O112" s="4"/>
      <c r="P112" s="4"/>
      <c r="Q112" s="35"/>
      <c r="R112" s="39"/>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row>
    <row r="113" ht="14.25" customHeight="1">
      <c r="G113" s="84"/>
      <c r="J113" s="84"/>
      <c r="M113" s="84"/>
    </row>
    <row r="114" ht="14.25" customHeight="1">
      <c r="B114" s="85" t="s">
        <v>102</v>
      </c>
      <c r="C114" s="61"/>
      <c r="D114" s="61"/>
      <c r="E114" s="61"/>
      <c r="F114" s="61"/>
      <c r="G114" s="61"/>
      <c r="H114" s="61"/>
      <c r="I114" s="61"/>
      <c r="J114" s="61"/>
      <c r="K114" s="61"/>
      <c r="L114" s="61"/>
      <c r="M114" s="61"/>
      <c r="N114" s="9"/>
      <c r="O114" s="86"/>
    </row>
    <row r="115" ht="14.25" customHeight="1">
      <c r="G115" s="84"/>
      <c r="J115" s="84"/>
      <c r="M115" s="84"/>
    </row>
    <row r="116" ht="14.25" customHeight="1">
      <c r="B116" s="87" t="s">
        <v>103</v>
      </c>
      <c r="C116" s="88"/>
      <c r="D116" s="88"/>
      <c r="E116" s="89"/>
      <c r="G116" s="84"/>
      <c r="J116" s="84"/>
      <c r="M116" s="84"/>
    </row>
    <row r="117" ht="14.25" customHeight="1">
      <c r="B117" s="87" t="s">
        <v>104</v>
      </c>
      <c r="C117" s="88"/>
      <c r="D117" s="88"/>
      <c r="E117" s="89"/>
      <c r="F117" s="90"/>
      <c r="H117" s="91" t="s">
        <v>105</v>
      </c>
    </row>
    <row r="118" ht="14.25" customHeight="1">
      <c r="B118" s="92" t="s">
        <v>106</v>
      </c>
      <c r="C118" s="88"/>
      <c r="D118" s="88"/>
      <c r="E118" s="89"/>
      <c r="F118" s="90"/>
      <c r="H118" s="91"/>
      <c r="I118" s="91"/>
      <c r="J118" s="91"/>
      <c r="K118" s="91"/>
    </row>
    <row r="119" ht="14.25" customHeight="1">
      <c r="B119" s="93" t="s">
        <v>107</v>
      </c>
      <c r="C119" s="88"/>
      <c r="D119" s="88"/>
      <c r="E119" s="89"/>
      <c r="F119" s="94"/>
      <c r="H119" s="84" t="s">
        <v>108</v>
      </c>
      <c r="I119" s="84"/>
      <c r="J119" s="84"/>
      <c r="K119" s="84">
        <v>10.0</v>
      </c>
    </row>
    <row r="120" ht="14.25" customHeight="1">
      <c r="B120" s="95" t="s">
        <v>109</v>
      </c>
      <c r="C120" s="96" t="s">
        <v>110</v>
      </c>
      <c r="D120" s="88"/>
      <c r="E120" s="89"/>
      <c r="F120" s="97"/>
      <c r="H120" s="84" t="s">
        <v>111</v>
      </c>
      <c r="I120" s="84"/>
      <c r="J120" s="84"/>
      <c r="K120" s="98">
        <v>2.2</v>
      </c>
    </row>
    <row r="121" ht="14.25" customHeight="1">
      <c r="B121" s="95" t="s">
        <v>112</v>
      </c>
      <c r="C121" s="96" t="str">
        <f>IFERROR(__xludf.DUMMYFUNCTION("ARRAY_CONSTRAIN(ARRAYFORMULA(ARRAY_CONSTRAIN(ARRAYFORMULA(IMPORTRANGE(""https://docs.google.com/spreadsheets/d/1-vkmgp5n0bI9pvhUg110Aza3Emb2puLWdeoCgrxDlu4"", ""Energy Recharge Calculator!AR1"")), 1, 1)), 1, 1)"),"1.41.1")</f>
        <v>1.41.1</v>
      </c>
      <c r="D121" s="88"/>
      <c r="E121" s="89"/>
      <c r="F121" s="97"/>
      <c r="H121" s="84" t="s">
        <v>113</v>
      </c>
      <c r="I121" s="84"/>
      <c r="J121" s="84"/>
      <c r="K121" s="99">
        <f>(1.5+0.1*MIN(10,K119)) * (1+0.6*(K120-100%)) * 5</f>
        <v>21.5</v>
      </c>
    </row>
    <row r="122" ht="15.0" customHeight="1">
      <c r="B122" s="100" t="s">
        <v>114</v>
      </c>
      <c r="C122" s="101">
        <v>3.7</v>
      </c>
      <c r="D122" s="88"/>
      <c r="E122" s="89"/>
      <c r="F122" s="102"/>
    </row>
    <row r="123" ht="14.25" customHeight="1"/>
    <row r="124" ht="14.25" customHeight="1">
      <c r="B124" s="103" t="s">
        <v>115</v>
      </c>
      <c r="C124" s="104" t="s">
        <v>116</v>
      </c>
      <c r="D124" s="104"/>
      <c r="E124" s="104" t="s">
        <v>117</v>
      </c>
      <c r="F124" s="104"/>
      <c r="G124" s="104"/>
      <c r="H124" s="104" t="s">
        <v>118</v>
      </c>
      <c r="I124" s="104"/>
      <c r="J124" s="104"/>
      <c r="K124" s="104" t="s">
        <v>119</v>
      </c>
      <c r="L124" s="104"/>
      <c r="M124" s="104"/>
      <c r="N124" s="104" t="s">
        <v>120</v>
      </c>
      <c r="O124" s="104"/>
      <c r="P124" s="62"/>
    </row>
    <row r="125" ht="14.25" customHeight="1">
      <c r="B125" s="104" t="s">
        <v>121</v>
      </c>
      <c r="C125" s="105" t="s">
        <v>122</v>
      </c>
      <c r="D125" s="105"/>
      <c r="E125" s="105" t="s">
        <v>123</v>
      </c>
      <c r="F125" s="105"/>
      <c r="G125" s="105"/>
      <c r="H125" s="105" t="s">
        <v>124</v>
      </c>
      <c r="I125" s="105"/>
      <c r="J125" s="105"/>
      <c r="K125" s="105" t="s">
        <v>125</v>
      </c>
      <c r="L125" s="105"/>
      <c r="M125" s="105"/>
      <c r="N125" s="105" t="s">
        <v>126</v>
      </c>
      <c r="O125" s="105"/>
      <c r="P125" s="62"/>
    </row>
    <row r="126" ht="14.25" customHeight="1">
      <c r="B126" s="104" t="s">
        <v>127</v>
      </c>
      <c r="C126" s="105" t="s">
        <v>128</v>
      </c>
      <c r="D126" s="105"/>
      <c r="E126" s="105" t="s">
        <v>129</v>
      </c>
      <c r="F126" s="105"/>
      <c r="G126" s="105"/>
      <c r="H126" s="105" t="s">
        <v>130</v>
      </c>
      <c r="I126" s="105"/>
      <c r="J126" s="105"/>
      <c r="K126" s="105" t="s">
        <v>131</v>
      </c>
      <c r="L126" s="105"/>
      <c r="M126" s="105"/>
      <c r="N126" s="105" t="s">
        <v>132</v>
      </c>
      <c r="O126" s="105"/>
      <c r="P126" s="62"/>
    </row>
    <row r="127" ht="14.25" customHeight="1">
      <c r="B127" s="104" t="s">
        <v>133</v>
      </c>
      <c r="C127" s="105" t="s">
        <v>128</v>
      </c>
      <c r="D127" s="105"/>
      <c r="E127" s="105" t="s">
        <v>129</v>
      </c>
      <c r="F127" s="105"/>
      <c r="G127" s="105"/>
      <c r="H127" s="105" t="s">
        <v>130</v>
      </c>
      <c r="I127" s="105"/>
      <c r="J127" s="105"/>
      <c r="K127" s="105" t="s">
        <v>131</v>
      </c>
      <c r="L127" s="105"/>
      <c r="M127" s="105"/>
      <c r="N127" s="105" t="s">
        <v>132</v>
      </c>
      <c r="O127" s="105"/>
      <c r="P127" s="62"/>
    </row>
    <row r="128" ht="14.25" customHeight="1">
      <c r="B128" s="104" t="s">
        <v>134</v>
      </c>
      <c r="C128" s="105">
        <v>12.0</v>
      </c>
      <c r="D128" s="105"/>
      <c r="E128" s="105">
        <v>13.5</v>
      </c>
      <c r="F128" s="105"/>
      <c r="G128" s="105"/>
      <c r="H128" s="105">
        <v>15.0</v>
      </c>
      <c r="I128" s="105"/>
      <c r="J128" s="105"/>
      <c r="K128" s="105">
        <v>16.5</v>
      </c>
      <c r="L128" s="105"/>
      <c r="M128" s="105"/>
      <c r="N128" s="105">
        <v>18.0</v>
      </c>
      <c r="O128" s="105"/>
      <c r="P128" s="62"/>
    </row>
    <row r="129" ht="14.25" customHeight="1">
      <c r="B129" s="104" t="s">
        <v>135</v>
      </c>
      <c r="C129" s="105" t="s">
        <v>136</v>
      </c>
      <c r="D129" s="105"/>
      <c r="E129" s="105" t="s">
        <v>136</v>
      </c>
      <c r="F129" s="105"/>
      <c r="G129" s="105"/>
      <c r="H129" s="105" t="s">
        <v>136</v>
      </c>
      <c r="I129" s="105"/>
      <c r="J129" s="105"/>
      <c r="K129" s="105" t="s">
        <v>136</v>
      </c>
      <c r="L129" s="105"/>
      <c r="M129" s="105"/>
      <c r="N129" s="105" t="s">
        <v>136</v>
      </c>
      <c r="O129" s="105"/>
      <c r="P129" s="62"/>
    </row>
    <row r="130" ht="14.25" customHeight="1">
      <c r="B130" s="104" t="s">
        <v>137</v>
      </c>
      <c r="C130" s="106" t="s">
        <v>138</v>
      </c>
      <c r="D130" s="61"/>
      <c r="E130" s="61"/>
      <c r="F130" s="61"/>
      <c r="G130" s="61"/>
      <c r="H130" s="61"/>
      <c r="I130" s="61"/>
      <c r="J130" s="61"/>
      <c r="K130" s="61"/>
      <c r="L130" s="61"/>
      <c r="M130" s="61"/>
      <c r="N130" s="9"/>
      <c r="O130" s="105"/>
      <c r="P130" s="62"/>
    </row>
    <row r="131" ht="14.25" customHeight="1">
      <c r="B131" s="104" t="s">
        <v>139</v>
      </c>
      <c r="C131" s="106" t="s">
        <v>140</v>
      </c>
      <c r="D131" s="61"/>
      <c r="E131" s="61"/>
      <c r="F131" s="61"/>
      <c r="G131" s="61"/>
      <c r="H131" s="61"/>
      <c r="I131" s="61"/>
      <c r="J131" s="61"/>
      <c r="K131" s="61"/>
      <c r="L131" s="61"/>
      <c r="M131" s="61"/>
      <c r="N131" s="9"/>
      <c r="O131" s="105"/>
      <c r="P131" s="62"/>
    </row>
    <row r="132" ht="14.25" customHeight="1">
      <c r="B132" s="104" t="s">
        <v>141</v>
      </c>
      <c r="C132" s="106" t="s">
        <v>142</v>
      </c>
      <c r="D132" s="61"/>
      <c r="E132" s="61"/>
      <c r="F132" s="61"/>
      <c r="G132" s="61"/>
      <c r="H132" s="61"/>
      <c r="I132" s="61"/>
      <c r="J132" s="61"/>
      <c r="K132" s="61"/>
      <c r="L132" s="61"/>
      <c r="M132" s="61"/>
      <c r="N132" s="9"/>
      <c r="O132" s="105"/>
      <c r="P132" s="62"/>
    </row>
    <row r="133" ht="14.25" customHeight="1">
      <c r="B133" s="104" t="s">
        <v>143</v>
      </c>
      <c r="C133" s="106" t="s">
        <v>144</v>
      </c>
      <c r="D133" s="61"/>
      <c r="E133" s="61"/>
      <c r="F133" s="61"/>
      <c r="G133" s="61"/>
      <c r="H133" s="61"/>
      <c r="I133" s="61"/>
      <c r="J133" s="61"/>
      <c r="K133" s="61"/>
      <c r="L133" s="61"/>
      <c r="M133" s="61"/>
      <c r="N133" s="9"/>
      <c r="O133" s="105"/>
      <c r="P133" s="62"/>
    </row>
    <row r="134" ht="14.25" customHeight="1">
      <c r="B134" s="104" t="s">
        <v>145</v>
      </c>
      <c r="C134" s="107" t="s">
        <v>146</v>
      </c>
      <c r="D134" s="104"/>
      <c r="E134" s="104"/>
      <c r="F134" s="104"/>
      <c r="G134" s="104"/>
      <c r="H134" s="104"/>
      <c r="I134" s="104"/>
      <c r="J134" s="104"/>
      <c r="K134" s="104"/>
      <c r="L134" s="104"/>
      <c r="M134" s="104"/>
      <c r="N134" s="104"/>
      <c r="O134" s="104"/>
      <c r="P134" s="104"/>
    </row>
    <row r="135" ht="14.25" customHeight="1">
      <c r="B135" s="108"/>
      <c r="C135" s="108"/>
      <c r="D135" s="108"/>
      <c r="E135" s="108"/>
      <c r="F135" s="108"/>
      <c r="G135" s="109"/>
      <c r="H135" s="108"/>
      <c r="I135" s="108"/>
      <c r="J135" s="109"/>
      <c r="K135" s="108"/>
      <c r="L135" s="108"/>
      <c r="M135" s="109"/>
      <c r="N135" s="108"/>
      <c r="O135" s="108"/>
    </row>
    <row r="136" ht="14.25" customHeight="1">
      <c r="G136" s="84"/>
      <c r="J136" s="84"/>
      <c r="M136" s="84"/>
    </row>
    <row r="137" ht="14.25" customHeight="1">
      <c r="G137" s="84"/>
      <c r="J137" s="84"/>
      <c r="M137" s="84"/>
    </row>
    <row r="138" ht="14.25" customHeight="1">
      <c r="G138" s="84"/>
      <c r="J138" s="84"/>
      <c r="M138" s="84"/>
    </row>
    <row r="139" ht="14.25" customHeight="1">
      <c r="G139" s="84"/>
      <c r="J139" s="84"/>
      <c r="M139" s="84"/>
    </row>
    <row r="140" ht="14.25" customHeight="1">
      <c r="G140" s="84"/>
      <c r="J140" s="84"/>
      <c r="M140" s="84"/>
    </row>
    <row r="141" ht="14.25" customHeight="1">
      <c r="G141" s="84"/>
      <c r="J141" s="84"/>
      <c r="M141" s="84"/>
    </row>
    <row r="142" ht="14.25" customHeight="1">
      <c r="G142" s="84"/>
      <c r="J142" s="84"/>
      <c r="M142" s="84"/>
    </row>
    <row r="143" ht="14.25" customHeight="1">
      <c r="G143" s="84"/>
      <c r="J143" s="84"/>
      <c r="M143" s="84"/>
    </row>
    <row r="144" ht="14.25" customHeight="1">
      <c r="G144" s="84"/>
      <c r="J144" s="84"/>
      <c r="M144" s="84"/>
    </row>
    <row r="145" ht="14.25" customHeight="1">
      <c r="G145" s="84"/>
      <c r="J145" s="84"/>
      <c r="M145" s="84"/>
    </row>
    <row r="146" ht="14.25" customHeight="1">
      <c r="G146" s="84"/>
      <c r="J146" s="84"/>
      <c r="M146" s="84"/>
    </row>
    <row r="147" ht="14.25" customHeight="1">
      <c r="G147" s="84"/>
      <c r="J147" s="84"/>
      <c r="M147" s="84"/>
    </row>
    <row r="148" ht="14.25" customHeight="1">
      <c r="G148" s="84"/>
      <c r="J148" s="84"/>
      <c r="M148" s="84"/>
    </row>
    <row r="149" ht="14.25" customHeight="1">
      <c r="G149" s="84"/>
      <c r="J149" s="84"/>
      <c r="M149" s="84"/>
    </row>
    <row r="150" ht="14.25" customHeight="1">
      <c r="G150" s="84"/>
      <c r="J150" s="84"/>
      <c r="M150" s="84"/>
    </row>
    <row r="151" ht="14.25" customHeight="1">
      <c r="G151" s="84"/>
      <c r="J151" s="84"/>
      <c r="M151" s="84"/>
    </row>
    <row r="152" ht="14.25" customHeight="1">
      <c r="G152" s="84"/>
      <c r="J152" s="84"/>
      <c r="M152" s="84"/>
    </row>
    <row r="153" ht="14.25" customHeight="1">
      <c r="G153" s="84"/>
      <c r="J153" s="84"/>
      <c r="M153" s="84"/>
    </row>
    <row r="154" ht="14.25" customHeight="1">
      <c r="G154" s="84"/>
      <c r="J154" s="84"/>
      <c r="M154" s="84"/>
    </row>
    <row r="155" ht="14.25" customHeight="1">
      <c r="G155" s="84"/>
      <c r="J155" s="84"/>
      <c r="M155" s="84"/>
    </row>
    <row r="156" ht="14.25" customHeight="1">
      <c r="G156" s="84"/>
      <c r="J156" s="84"/>
      <c r="M156" s="84"/>
    </row>
    <row r="157" ht="14.25" customHeight="1">
      <c r="G157" s="84"/>
      <c r="J157" s="84"/>
      <c r="M157" s="84"/>
    </row>
    <row r="158" ht="14.25" customHeight="1">
      <c r="G158" s="84"/>
      <c r="J158" s="84"/>
      <c r="M158" s="84"/>
    </row>
    <row r="159" ht="14.25" customHeight="1">
      <c r="G159" s="84"/>
      <c r="J159" s="84"/>
      <c r="M159" s="84"/>
    </row>
    <row r="160" ht="14.25" customHeight="1">
      <c r="G160" s="84"/>
      <c r="J160" s="84"/>
      <c r="M160" s="84"/>
    </row>
    <row r="161" ht="14.25" customHeight="1">
      <c r="G161" s="84"/>
      <c r="J161" s="84"/>
      <c r="M161" s="84"/>
    </row>
    <row r="162" ht="14.25" customHeight="1">
      <c r="G162" s="84"/>
      <c r="J162" s="84"/>
      <c r="M162" s="84"/>
    </row>
    <row r="163" ht="14.25" customHeight="1">
      <c r="G163" s="84"/>
      <c r="J163" s="84"/>
      <c r="M163" s="84"/>
    </row>
    <row r="164" ht="14.25" customHeight="1">
      <c r="G164" s="84"/>
      <c r="J164" s="84"/>
      <c r="M164" s="84"/>
    </row>
    <row r="165" ht="14.25" customHeight="1">
      <c r="G165" s="84"/>
      <c r="J165" s="84"/>
      <c r="M165" s="84"/>
    </row>
    <row r="166" ht="14.25" customHeight="1">
      <c r="G166" s="84"/>
      <c r="J166" s="84"/>
      <c r="M166" s="84"/>
    </row>
    <row r="167" ht="14.25" customHeight="1">
      <c r="G167" s="84"/>
      <c r="J167" s="84"/>
      <c r="M167" s="84"/>
    </row>
    <row r="168" ht="14.25" customHeight="1">
      <c r="G168" s="84"/>
      <c r="J168" s="84"/>
      <c r="M168" s="84"/>
    </row>
    <row r="169" ht="14.25" customHeight="1">
      <c r="G169" s="84"/>
      <c r="J169" s="84"/>
      <c r="M169" s="84"/>
    </row>
    <row r="170" ht="14.25" customHeight="1">
      <c r="G170" s="84"/>
      <c r="J170" s="84"/>
      <c r="M170" s="84"/>
    </row>
    <row r="171" ht="14.25" customHeight="1">
      <c r="G171" s="84"/>
      <c r="J171" s="84"/>
      <c r="M171" s="84"/>
    </row>
    <row r="172" ht="14.25" customHeight="1">
      <c r="G172" s="84"/>
      <c r="J172" s="84"/>
      <c r="M172" s="84"/>
    </row>
    <row r="173" ht="14.25" customHeight="1">
      <c r="G173" s="84"/>
      <c r="J173" s="84"/>
      <c r="M173" s="84"/>
    </row>
    <row r="174" ht="14.25" customHeight="1">
      <c r="G174" s="84"/>
      <c r="J174" s="84"/>
      <c r="M174" s="84"/>
    </row>
    <row r="175" ht="14.25" customHeight="1">
      <c r="G175" s="84"/>
      <c r="J175" s="84"/>
      <c r="M175" s="84"/>
    </row>
    <row r="176" ht="14.25" customHeight="1">
      <c r="G176" s="84"/>
      <c r="J176" s="84"/>
      <c r="M176" s="84"/>
    </row>
    <row r="177" ht="14.25" customHeight="1">
      <c r="G177" s="84"/>
      <c r="J177" s="84"/>
      <c r="M177" s="84"/>
    </row>
    <row r="178" ht="14.25" customHeight="1">
      <c r="G178" s="84"/>
      <c r="J178" s="84"/>
      <c r="M178" s="84"/>
    </row>
    <row r="179" ht="14.25" customHeight="1">
      <c r="G179" s="84"/>
      <c r="J179" s="84"/>
      <c r="M179" s="84"/>
    </row>
    <row r="180" ht="14.25" customHeight="1">
      <c r="G180" s="84"/>
      <c r="J180" s="84"/>
      <c r="M180" s="84"/>
    </row>
    <row r="181" ht="14.25" customHeight="1">
      <c r="G181" s="84"/>
      <c r="J181" s="84"/>
      <c r="M181" s="84"/>
    </row>
    <row r="182" ht="14.25" customHeight="1">
      <c r="G182" s="84"/>
      <c r="J182" s="84"/>
      <c r="M182" s="84"/>
    </row>
    <row r="183" ht="14.25" customHeight="1">
      <c r="G183" s="84"/>
      <c r="J183" s="84"/>
      <c r="M183" s="84"/>
    </row>
    <row r="184" ht="14.25" customHeight="1">
      <c r="G184" s="84"/>
      <c r="J184" s="84"/>
      <c r="M184" s="84"/>
    </row>
    <row r="185" ht="14.25" customHeight="1">
      <c r="G185" s="84"/>
      <c r="J185" s="84"/>
      <c r="M185" s="84"/>
    </row>
    <row r="186" ht="14.25" customHeight="1">
      <c r="G186" s="84"/>
      <c r="J186" s="84"/>
      <c r="M186" s="84"/>
    </row>
    <row r="187" ht="14.25" customHeight="1">
      <c r="G187" s="84"/>
      <c r="J187" s="84"/>
      <c r="M187" s="84"/>
    </row>
    <row r="188" ht="14.25" customHeight="1">
      <c r="G188" s="84"/>
      <c r="J188" s="84"/>
      <c r="M188" s="84"/>
    </row>
    <row r="189" ht="14.25" customHeight="1">
      <c r="G189" s="84"/>
      <c r="J189" s="84"/>
      <c r="M189" s="84"/>
    </row>
    <row r="190" ht="14.25" customHeight="1">
      <c r="G190" s="84"/>
      <c r="J190" s="84"/>
      <c r="M190" s="84"/>
    </row>
    <row r="191" ht="14.25" customHeight="1">
      <c r="G191" s="84"/>
      <c r="J191" s="84"/>
      <c r="M191" s="84"/>
    </row>
    <row r="192" ht="14.25" customHeight="1">
      <c r="G192" s="84"/>
      <c r="J192" s="84"/>
      <c r="M192" s="84"/>
    </row>
    <row r="193" ht="14.25" customHeight="1">
      <c r="G193" s="84"/>
      <c r="J193" s="84"/>
      <c r="M193" s="84"/>
    </row>
    <row r="194" ht="14.25" customHeight="1">
      <c r="G194" s="84"/>
      <c r="J194" s="84"/>
      <c r="M194" s="84"/>
    </row>
    <row r="195" ht="14.25" customHeight="1">
      <c r="G195" s="84"/>
      <c r="J195" s="84"/>
      <c r="M195" s="84"/>
    </row>
    <row r="196" ht="14.25" customHeight="1">
      <c r="G196" s="84"/>
      <c r="J196" s="84"/>
      <c r="M196" s="84"/>
    </row>
    <row r="197" ht="14.25" customHeight="1">
      <c r="G197" s="84"/>
      <c r="J197" s="84"/>
      <c r="M197" s="84"/>
    </row>
    <row r="198" ht="14.25" customHeight="1">
      <c r="G198" s="84"/>
      <c r="J198" s="84"/>
      <c r="M198" s="84"/>
    </row>
    <row r="199" ht="14.25" customHeight="1">
      <c r="G199" s="84"/>
      <c r="J199" s="84"/>
      <c r="M199" s="84"/>
    </row>
    <row r="200" ht="14.25" customHeight="1">
      <c r="G200" s="84"/>
      <c r="J200" s="84"/>
      <c r="M200" s="84"/>
    </row>
    <row r="201" ht="14.25" customHeight="1">
      <c r="G201" s="84"/>
      <c r="J201" s="84"/>
      <c r="M201" s="84"/>
    </row>
    <row r="202" ht="14.25" customHeight="1">
      <c r="G202" s="84"/>
      <c r="J202" s="84"/>
      <c r="M202" s="84"/>
    </row>
    <row r="203" ht="14.25" customHeight="1">
      <c r="G203" s="84"/>
      <c r="J203" s="84"/>
      <c r="M203" s="84"/>
    </row>
    <row r="204" ht="14.25" customHeight="1">
      <c r="G204" s="84"/>
      <c r="J204" s="84"/>
      <c r="M204" s="84"/>
    </row>
    <row r="205" ht="14.25" customHeight="1">
      <c r="G205" s="84"/>
      <c r="J205" s="84"/>
      <c r="M205" s="84"/>
    </row>
    <row r="206" ht="14.25" customHeight="1">
      <c r="G206" s="84"/>
      <c r="J206" s="84"/>
      <c r="M206" s="84"/>
    </row>
    <row r="207" ht="14.25" customHeight="1">
      <c r="G207" s="84"/>
      <c r="J207" s="84"/>
      <c r="M207" s="84"/>
    </row>
    <row r="208" ht="14.25" customHeight="1">
      <c r="G208" s="84"/>
      <c r="J208" s="84"/>
      <c r="M208" s="84"/>
    </row>
    <row r="209" ht="14.25" customHeight="1">
      <c r="G209" s="84"/>
      <c r="J209" s="84"/>
      <c r="M209" s="84"/>
    </row>
    <row r="210" ht="14.25" customHeight="1">
      <c r="G210" s="84"/>
      <c r="J210" s="84"/>
      <c r="M210" s="84"/>
    </row>
    <row r="211" ht="14.25" customHeight="1">
      <c r="G211" s="84"/>
      <c r="J211" s="84"/>
      <c r="M211" s="84"/>
    </row>
    <row r="212" ht="14.25" customHeight="1">
      <c r="G212" s="84"/>
      <c r="J212" s="84"/>
      <c r="M212" s="84"/>
    </row>
    <row r="213" ht="14.25" customHeight="1">
      <c r="G213" s="84"/>
      <c r="J213" s="84"/>
      <c r="M213" s="84"/>
    </row>
    <row r="214" ht="14.25" customHeight="1">
      <c r="G214" s="84"/>
      <c r="J214" s="84"/>
      <c r="M214" s="84"/>
    </row>
    <row r="215" ht="14.25" customHeight="1">
      <c r="G215" s="84"/>
      <c r="J215" s="84"/>
      <c r="M215" s="84"/>
    </row>
    <row r="216" ht="14.25" customHeight="1">
      <c r="G216" s="84"/>
      <c r="J216" s="84"/>
      <c r="M216" s="84"/>
    </row>
    <row r="217" ht="14.25" customHeight="1">
      <c r="G217" s="84"/>
      <c r="J217" s="84"/>
      <c r="M217" s="84"/>
    </row>
    <row r="218" ht="14.25" customHeight="1">
      <c r="G218" s="84"/>
      <c r="J218" s="84"/>
      <c r="M218" s="84"/>
    </row>
    <row r="219" ht="14.25" customHeight="1">
      <c r="G219" s="84"/>
      <c r="J219" s="84"/>
      <c r="M219" s="84"/>
    </row>
    <row r="220" ht="14.25" customHeight="1">
      <c r="G220" s="84"/>
      <c r="J220" s="84"/>
      <c r="M220" s="84"/>
    </row>
    <row r="221" ht="14.25" customHeight="1">
      <c r="G221" s="84"/>
      <c r="J221" s="84"/>
      <c r="M221" s="84"/>
    </row>
    <row r="222" ht="14.25" customHeight="1">
      <c r="G222" s="84"/>
      <c r="J222" s="84"/>
      <c r="M222" s="84"/>
    </row>
    <row r="223" ht="14.25" customHeight="1">
      <c r="G223" s="84"/>
      <c r="J223" s="84"/>
      <c r="M223" s="84"/>
    </row>
    <row r="224" ht="14.25" customHeight="1">
      <c r="G224" s="84"/>
      <c r="J224" s="84"/>
      <c r="M224" s="84"/>
    </row>
    <row r="225" ht="14.25" customHeight="1">
      <c r="G225" s="84"/>
      <c r="J225" s="84"/>
      <c r="M225" s="84"/>
    </row>
    <row r="226" ht="14.25" customHeight="1">
      <c r="G226" s="84"/>
      <c r="J226" s="84"/>
      <c r="M226" s="84"/>
    </row>
    <row r="227" ht="14.25" customHeight="1">
      <c r="G227" s="84"/>
      <c r="J227" s="84"/>
      <c r="M227" s="84"/>
    </row>
    <row r="228" ht="14.25" customHeight="1">
      <c r="G228" s="84"/>
      <c r="J228" s="84"/>
      <c r="M228" s="84"/>
    </row>
    <row r="229" ht="14.25" customHeight="1">
      <c r="G229" s="84"/>
      <c r="J229" s="84"/>
      <c r="M229" s="84"/>
    </row>
    <row r="230" ht="14.25" customHeight="1">
      <c r="G230" s="84"/>
      <c r="J230" s="84"/>
      <c r="M230" s="84"/>
    </row>
    <row r="231" ht="14.25" customHeight="1">
      <c r="G231" s="84"/>
      <c r="J231" s="84"/>
      <c r="M231" s="84"/>
    </row>
    <row r="232" ht="14.25" customHeight="1">
      <c r="G232" s="84"/>
      <c r="J232" s="84"/>
      <c r="M232" s="84"/>
    </row>
    <row r="233" ht="14.25" customHeight="1">
      <c r="G233" s="84"/>
      <c r="J233" s="84"/>
      <c r="M233" s="84"/>
    </row>
    <row r="234" ht="14.25" customHeight="1">
      <c r="G234" s="84"/>
      <c r="J234" s="84"/>
      <c r="M234" s="84"/>
    </row>
    <row r="235" ht="14.25" customHeight="1">
      <c r="G235" s="84"/>
      <c r="J235" s="84"/>
      <c r="M235" s="84"/>
    </row>
    <row r="236" ht="14.25" customHeight="1">
      <c r="G236" s="84"/>
      <c r="J236" s="84"/>
      <c r="M236" s="84"/>
    </row>
    <row r="237" ht="14.25" customHeight="1">
      <c r="G237" s="84"/>
      <c r="J237" s="84"/>
      <c r="M237" s="84"/>
    </row>
    <row r="238" ht="14.25" customHeight="1">
      <c r="G238" s="84"/>
      <c r="J238" s="84"/>
      <c r="M238" s="84"/>
    </row>
    <row r="239" ht="14.25" customHeight="1">
      <c r="G239" s="84"/>
      <c r="J239" s="84"/>
      <c r="M239" s="84"/>
    </row>
    <row r="240" ht="14.25" customHeight="1">
      <c r="G240" s="84"/>
      <c r="J240" s="84"/>
      <c r="M240" s="84"/>
    </row>
    <row r="241" ht="14.25" customHeight="1">
      <c r="G241" s="84"/>
      <c r="J241" s="84"/>
      <c r="M241" s="84"/>
    </row>
    <row r="242" ht="14.25" customHeight="1">
      <c r="G242" s="84"/>
      <c r="J242" s="84"/>
      <c r="M242" s="84"/>
    </row>
    <row r="243" ht="14.25" customHeight="1">
      <c r="G243" s="84"/>
      <c r="J243" s="84"/>
      <c r="M243" s="84"/>
    </row>
    <row r="244" ht="14.25" customHeight="1">
      <c r="G244" s="84"/>
      <c r="J244" s="84"/>
      <c r="M244" s="84"/>
    </row>
    <row r="245" ht="14.25" customHeight="1">
      <c r="G245" s="84"/>
      <c r="J245" s="84"/>
      <c r="M245" s="84"/>
    </row>
    <row r="246" ht="14.25" customHeight="1">
      <c r="G246" s="84"/>
      <c r="J246" s="84"/>
      <c r="M246" s="84"/>
    </row>
    <row r="247" ht="14.25" customHeight="1">
      <c r="G247" s="84"/>
      <c r="J247" s="84"/>
      <c r="M247" s="84"/>
    </row>
    <row r="248" ht="14.25" customHeight="1">
      <c r="G248" s="84"/>
      <c r="J248" s="84"/>
      <c r="M248" s="84"/>
    </row>
    <row r="249" ht="14.25" customHeight="1">
      <c r="G249" s="84"/>
      <c r="J249" s="84"/>
      <c r="M249" s="84"/>
    </row>
    <row r="250" ht="14.25" customHeight="1">
      <c r="G250" s="84"/>
      <c r="J250" s="84"/>
      <c r="M250" s="84"/>
    </row>
    <row r="251" ht="14.25" customHeight="1">
      <c r="G251" s="84"/>
      <c r="J251" s="84"/>
      <c r="M251" s="84"/>
    </row>
    <row r="252" ht="14.25" customHeight="1">
      <c r="G252" s="84"/>
      <c r="J252" s="84"/>
      <c r="M252" s="84"/>
    </row>
    <row r="253" ht="14.25" customHeight="1">
      <c r="G253" s="84"/>
      <c r="J253" s="84"/>
      <c r="M253" s="84"/>
    </row>
    <row r="254" ht="14.25" customHeight="1">
      <c r="G254" s="84"/>
      <c r="J254" s="84"/>
      <c r="M254" s="84"/>
    </row>
    <row r="255" ht="14.25" customHeight="1">
      <c r="G255" s="84"/>
      <c r="J255" s="84"/>
      <c r="M255" s="84"/>
    </row>
    <row r="256" ht="14.25" customHeight="1">
      <c r="G256" s="84"/>
      <c r="J256" s="84"/>
      <c r="M256" s="84"/>
    </row>
    <row r="257" ht="14.25" customHeight="1">
      <c r="G257" s="84"/>
      <c r="J257" s="84"/>
      <c r="M257" s="84"/>
    </row>
    <row r="258" ht="14.25" customHeight="1">
      <c r="G258" s="84"/>
      <c r="J258" s="84"/>
      <c r="M258" s="84"/>
    </row>
    <row r="259" ht="14.25" customHeight="1">
      <c r="G259" s="84"/>
      <c r="J259" s="84"/>
      <c r="M259" s="84"/>
    </row>
    <row r="260" ht="14.25" customHeight="1">
      <c r="G260" s="84"/>
      <c r="J260" s="84"/>
      <c r="M260" s="84"/>
    </row>
    <row r="261" ht="14.25" customHeight="1">
      <c r="G261" s="84"/>
      <c r="J261" s="84"/>
      <c r="M261" s="84"/>
    </row>
    <row r="262" ht="14.25" customHeight="1">
      <c r="G262" s="84"/>
      <c r="J262" s="84"/>
      <c r="M262" s="84"/>
    </row>
    <row r="263" ht="14.25" customHeight="1">
      <c r="G263" s="84"/>
      <c r="J263" s="84"/>
      <c r="M263" s="84"/>
    </row>
    <row r="264" ht="14.25" customHeight="1">
      <c r="G264" s="84"/>
      <c r="J264" s="84"/>
      <c r="M264" s="84"/>
    </row>
    <row r="265" ht="14.25" customHeight="1">
      <c r="G265" s="84"/>
      <c r="J265" s="84"/>
      <c r="M265" s="84"/>
    </row>
    <row r="266" ht="14.25" customHeight="1">
      <c r="G266" s="84"/>
      <c r="J266" s="84"/>
      <c r="M266" s="84"/>
    </row>
    <row r="267" ht="14.25" customHeight="1">
      <c r="G267" s="84"/>
      <c r="J267" s="84"/>
      <c r="M267" s="84"/>
    </row>
    <row r="268" ht="14.25" customHeight="1">
      <c r="G268" s="84"/>
      <c r="J268" s="84"/>
      <c r="M268" s="84"/>
    </row>
    <row r="269" ht="14.25" customHeight="1">
      <c r="G269" s="84"/>
      <c r="J269" s="84"/>
      <c r="M269" s="84"/>
    </row>
    <row r="270" ht="14.25" customHeight="1">
      <c r="G270" s="84"/>
      <c r="J270" s="84"/>
      <c r="M270" s="84"/>
    </row>
    <row r="271" ht="14.25" customHeight="1">
      <c r="G271" s="84"/>
      <c r="J271" s="84"/>
      <c r="M271" s="84"/>
    </row>
    <row r="272" ht="14.25" customHeight="1">
      <c r="G272" s="84"/>
      <c r="J272" s="84"/>
      <c r="M272" s="84"/>
    </row>
    <row r="273" ht="14.25" customHeight="1">
      <c r="G273" s="84"/>
      <c r="J273" s="84"/>
      <c r="M273" s="84"/>
    </row>
    <row r="274" ht="14.25" customHeight="1">
      <c r="G274" s="84"/>
      <c r="J274" s="84"/>
      <c r="M274" s="84"/>
    </row>
    <row r="275" ht="14.25" customHeight="1">
      <c r="G275" s="84"/>
      <c r="J275" s="84"/>
      <c r="M275" s="84"/>
    </row>
    <row r="276" ht="14.25" customHeight="1">
      <c r="G276" s="84"/>
      <c r="J276" s="84"/>
      <c r="M276" s="84"/>
    </row>
    <row r="277" ht="14.25" customHeight="1">
      <c r="G277" s="84"/>
      <c r="J277" s="84"/>
      <c r="M277" s="84"/>
    </row>
    <row r="278" ht="14.25" customHeight="1">
      <c r="G278" s="84"/>
      <c r="J278" s="84"/>
      <c r="M278" s="84"/>
    </row>
    <row r="279" ht="14.25" customHeight="1">
      <c r="G279" s="84"/>
      <c r="J279" s="84"/>
      <c r="M279" s="84"/>
    </row>
    <row r="280" ht="14.25" customHeight="1">
      <c r="G280" s="84"/>
      <c r="J280" s="84"/>
      <c r="M280" s="84"/>
    </row>
    <row r="281" ht="14.25" customHeight="1">
      <c r="G281" s="84"/>
      <c r="J281" s="84"/>
      <c r="M281" s="84"/>
    </row>
    <row r="282" ht="14.25" customHeight="1">
      <c r="G282" s="84"/>
      <c r="J282" s="84"/>
      <c r="M282" s="84"/>
    </row>
    <row r="283" ht="14.25" customHeight="1">
      <c r="G283" s="84"/>
      <c r="J283" s="84"/>
      <c r="M283" s="84"/>
    </row>
    <row r="284" ht="14.25" customHeight="1">
      <c r="G284" s="84"/>
      <c r="J284" s="84"/>
      <c r="M284" s="84"/>
    </row>
    <row r="285" ht="14.25" customHeight="1">
      <c r="G285" s="84"/>
      <c r="J285" s="84"/>
      <c r="M285" s="84"/>
    </row>
    <row r="286" ht="14.25" customHeight="1">
      <c r="G286" s="84"/>
      <c r="J286" s="84"/>
      <c r="M286" s="84"/>
    </row>
    <row r="287" ht="14.25" customHeight="1">
      <c r="G287" s="84"/>
      <c r="J287" s="84"/>
      <c r="M287" s="84"/>
    </row>
    <row r="288" ht="14.25" customHeight="1">
      <c r="G288" s="84"/>
      <c r="J288" s="84"/>
      <c r="M288" s="84"/>
    </row>
    <row r="289" ht="14.25" customHeight="1">
      <c r="G289" s="84"/>
      <c r="J289" s="84"/>
      <c r="M289" s="84"/>
    </row>
    <row r="290" ht="14.25" customHeight="1">
      <c r="G290" s="84"/>
      <c r="J290" s="84"/>
      <c r="M290" s="84"/>
    </row>
    <row r="291" ht="14.25" customHeight="1">
      <c r="G291" s="84"/>
      <c r="J291" s="84"/>
      <c r="M291" s="84"/>
    </row>
    <row r="292" ht="14.25" customHeight="1">
      <c r="G292" s="84"/>
      <c r="J292" s="84"/>
      <c r="M292" s="84"/>
    </row>
    <row r="293" ht="14.25" customHeight="1">
      <c r="G293" s="84"/>
      <c r="J293" s="84"/>
      <c r="M293" s="84"/>
    </row>
    <row r="294" ht="14.25" customHeight="1">
      <c r="G294" s="84"/>
      <c r="J294" s="84"/>
      <c r="M294" s="84"/>
    </row>
    <row r="295" ht="14.25" customHeight="1">
      <c r="G295" s="84"/>
      <c r="J295" s="84"/>
      <c r="M295" s="84"/>
    </row>
    <row r="296" ht="14.25" customHeight="1">
      <c r="G296" s="84"/>
      <c r="J296" s="84"/>
      <c r="M296" s="84"/>
    </row>
    <row r="297" ht="14.25" customHeight="1">
      <c r="G297" s="84"/>
      <c r="J297" s="84"/>
      <c r="M297" s="84"/>
    </row>
    <row r="298" ht="14.25" customHeight="1">
      <c r="G298" s="84"/>
      <c r="J298" s="84"/>
      <c r="M298" s="84"/>
    </row>
    <row r="299" ht="14.25" customHeight="1">
      <c r="G299" s="84"/>
      <c r="J299" s="84"/>
      <c r="M299" s="84"/>
    </row>
    <row r="300" ht="14.25" customHeight="1">
      <c r="G300" s="84"/>
      <c r="J300" s="84"/>
      <c r="M300" s="84"/>
    </row>
    <row r="301" ht="14.25" customHeight="1">
      <c r="G301" s="84"/>
      <c r="J301" s="84"/>
      <c r="M301" s="84"/>
    </row>
    <row r="302" ht="14.25" customHeight="1">
      <c r="G302" s="84"/>
      <c r="J302" s="84"/>
      <c r="M302" s="84"/>
    </row>
    <row r="303" ht="14.25" customHeight="1">
      <c r="G303" s="84"/>
      <c r="J303" s="84"/>
      <c r="M303" s="84"/>
    </row>
    <row r="304" ht="14.25" customHeight="1">
      <c r="G304" s="84"/>
      <c r="J304" s="84"/>
      <c r="M304" s="84"/>
    </row>
    <row r="305" ht="14.25" customHeight="1">
      <c r="G305" s="84"/>
      <c r="J305" s="84"/>
      <c r="M305" s="84"/>
    </row>
    <row r="306" ht="14.25" customHeight="1">
      <c r="G306" s="84"/>
      <c r="J306" s="84"/>
      <c r="M306" s="84"/>
    </row>
    <row r="307" ht="14.25" customHeight="1">
      <c r="G307" s="84"/>
      <c r="J307" s="84"/>
      <c r="M307" s="84"/>
    </row>
    <row r="308" ht="14.25" customHeight="1">
      <c r="G308" s="84"/>
      <c r="J308" s="84"/>
      <c r="M308" s="84"/>
    </row>
    <row r="309" ht="14.25" customHeight="1">
      <c r="G309" s="84"/>
      <c r="J309" s="84"/>
      <c r="M309" s="84"/>
    </row>
    <row r="310" ht="14.25" customHeight="1">
      <c r="G310" s="84"/>
      <c r="J310" s="84"/>
      <c r="M310" s="84"/>
    </row>
    <row r="311" ht="14.25" customHeight="1">
      <c r="G311" s="84"/>
      <c r="J311" s="84"/>
      <c r="M311" s="84"/>
    </row>
    <row r="312" ht="14.25" customHeight="1">
      <c r="G312" s="84"/>
      <c r="J312" s="84"/>
      <c r="M312" s="84"/>
    </row>
    <row r="313" ht="14.25" customHeight="1">
      <c r="G313" s="84"/>
      <c r="J313" s="84"/>
      <c r="M313" s="84"/>
    </row>
    <row r="314" ht="14.25" customHeight="1">
      <c r="G314" s="84"/>
      <c r="J314" s="84"/>
      <c r="M314" s="84"/>
    </row>
    <row r="315" ht="14.25" customHeight="1">
      <c r="G315" s="84"/>
      <c r="J315" s="84"/>
      <c r="M315" s="84"/>
    </row>
    <row r="316" ht="14.25" customHeight="1">
      <c r="G316" s="84"/>
      <c r="J316" s="84"/>
      <c r="M316" s="84"/>
    </row>
    <row r="317" ht="14.25" customHeight="1">
      <c r="G317" s="84"/>
      <c r="J317" s="84"/>
      <c r="M317" s="84"/>
    </row>
    <row r="318" ht="14.25" customHeight="1">
      <c r="G318" s="84"/>
      <c r="J318" s="84"/>
      <c r="M318" s="84"/>
    </row>
    <row r="319" ht="14.25" customHeight="1">
      <c r="G319" s="84"/>
      <c r="J319" s="84"/>
      <c r="M319" s="84"/>
    </row>
    <row r="320" ht="14.25" customHeight="1">
      <c r="G320" s="84"/>
      <c r="J320" s="84"/>
      <c r="M320" s="84"/>
    </row>
    <row r="321" ht="14.25" customHeight="1">
      <c r="G321" s="84"/>
      <c r="J321" s="84"/>
      <c r="M321" s="84"/>
    </row>
    <row r="322" ht="14.25" customHeight="1">
      <c r="G322" s="84"/>
      <c r="J322" s="84"/>
      <c r="M322" s="84"/>
    </row>
    <row r="323" ht="14.25" customHeight="1">
      <c r="G323" s="84"/>
      <c r="J323" s="84"/>
      <c r="M323" s="84"/>
    </row>
    <row r="324" ht="14.25" customHeight="1">
      <c r="G324" s="84"/>
      <c r="J324" s="84"/>
      <c r="M324" s="84"/>
    </row>
    <row r="325" ht="14.25" customHeight="1">
      <c r="G325" s="84"/>
      <c r="J325" s="84"/>
      <c r="M325" s="84"/>
    </row>
    <row r="326" ht="14.25" customHeight="1">
      <c r="G326" s="84"/>
      <c r="J326" s="84"/>
      <c r="M326" s="84"/>
    </row>
    <row r="327" ht="14.25" customHeight="1">
      <c r="G327" s="84"/>
      <c r="J327" s="84"/>
      <c r="M327" s="84"/>
    </row>
    <row r="328" ht="14.25" customHeight="1">
      <c r="G328" s="84"/>
      <c r="J328" s="84"/>
      <c r="M328" s="84"/>
    </row>
    <row r="329" ht="14.25" customHeight="1">
      <c r="G329" s="84"/>
      <c r="J329" s="84"/>
      <c r="M329" s="84"/>
    </row>
    <row r="330" ht="14.25" customHeight="1">
      <c r="G330" s="84"/>
      <c r="J330" s="84"/>
      <c r="M330" s="84"/>
    </row>
    <row r="331" ht="14.25" customHeight="1">
      <c r="G331" s="84"/>
      <c r="J331" s="84"/>
      <c r="M331" s="84"/>
    </row>
    <row r="332" ht="14.25" customHeight="1">
      <c r="G332" s="84"/>
      <c r="J332" s="84"/>
      <c r="M332" s="84"/>
    </row>
    <row r="333" ht="14.25" customHeight="1">
      <c r="G333" s="84"/>
      <c r="J333" s="84"/>
      <c r="M333" s="84"/>
    </row>
    <row r="334" ht="14.25" customHeight="1">
      <c r="G334" s="84"/>
      <c r="J334" s="84"/>
      <c r="M334" s="84"/>
    </row>
    <row r="335" ht="14.25" customHeight="1">
      <c r="G335" s="84"/>
      <c r="J335" s="84"/>
      <c r="M335" s="84"/>
    </row>
    <row r="336" ht="14.25" customHeight="1">
      <c r="G336" s="84"/>
      <c r="J336" s="84"/>
      <c r="M336" s="84"/>
    </row>
    <row r="337" ht="14.25" customHeight="1">
      <c r="G337" s="84"/>
      <c r="J337" s="84"/>
      <c r="M337" s="84"/>
    </row>
    <row r="338" ht="14.25" customHeight="1">
      <c r="G338" s="84"/>
      <c r="J338" s="84"/>
      <c r="M338" s="84"/>
    </row>
    <row r="339" ht="14.25" customHeight="1">
      <c r="G339" s="84"/>
      <c r="J339" s="84"/>
      <c r="M339" s="84"/>
    </row>
    <row r="340" ht="14.25" customHeight="1">
      <c r="G340" s="84"/>
      <c r="J340" s="84"/>
      <c r="M340" s="84"/>
    </row>
    <row r="341" ht="14.25" customHeight="1">
      <c r="G341" s="84"/>
      <c r="J341" s="84"/>
      <c r="M341" s="84"/>
    </row>
    <row r="342" ht="14.25" customHeight="1">
      <c r="G342" s="84"/>
      <c r="J342" s="84"/>
      <c r="M342" s="84"/>
    </row>
    <row r="343" ht="14.25" customHeight="1">
      <c r="G343" s="84"/>
      <c r="J343" s="84"/>
      <c r="M343" s="84"/>
    </row>
    <row r="344" ht="14.25" customHeight="1">
      <c r="G344" s="84"/>
      <c r="J344" s="84"/>
      <c r="M344" s="84"/>
    </row>
    <row r="345" ht="14.25" customHeight="1">
      <c r="G345" s="84"/>
      <c r="J345" s="84"/>
      <c r="M345" s="84"/>
    </row>
    <row r="346" ht="14.25" customHeight="1">
      <c r="G346" s="84"/>
      <c r="J346" s="84"/>
      <c r="M346" s="84"/>
    </row>
    <row r="347" ht="14.25" customHeight="1">
      <c r="G347" s="84"/>
      <c r="J347" s="84"/>
      <c r="M347" s="84"/>
    </row>
    <row r="348" ht="14.25" customHeight="1">
      <c r="G348" s="84"/>
      <c r="J348" s="84"/>
      <c r="M348" s="84"/>
    </row>
    <row r="349" ht="14.25" customHeight="1">
      <c r="G349" s="84"/>
      <c r="J349" s="84"/>
      <c r="M349" s="84"/>
    </row>
    <row r="350" ht="14.25" customHeight="1">
      <c r="G350" s="84"/>
      <c r="J350" s="84"/>
      <c r="M350" s="84"/>
    </row>
    <row r="351" ht="14.25" customHeight="1">
      <c r="G351" s="84"/>
      <c r="J351" s="84"/>
      <c r="M351" s="84"/>
    </row>
    <row r="352" ht="14.25" customHeight="1">
      <c r="G352" s="84"/>
      <c r="J352" s="84"/>
      <c r="M352" s="84"/>
    </row>
    <row r="353" ht="14.25" customHeight="1">
      <c r="G353" s="84"/>
      <c r="J353" s="84"/>
      <c r="M353" s="84"/>
    </row>
    <row r="354" ht="14.25" customHeight="1">
      <c r="G354" s="84"/>
      <c r="J354" s="84"/>
      <c r="M354" s="84"/>
    </row>
    <row r="355" ht="14.25" customHeight="1">
      <c r="G355" s="84"/>
      <c r="J355" s="84"/>
      <c r="M355" s="84"/>
    </row>
    <row r="356" ht="14.25" customHeight="1">
      <c r="G356" s="84"/>
      <c r="J356" s="84"/>
      <c r="M356" s="84"/>
    </row>
    <row r="357" ht="14.25" customHeight="1">
      <c r="G357" s="84"/>
      <c r="J357" s="84"/>
      <c r="M357" s="84"/>
    </row>
    <row r="358" ht="14.25" customHeight="1">
      <c r="G358" s="84"/>
      <c r="J358" s="84"/>
      <c r="M358" s="84"/>
    </row>
    <row r="359" ht="14.25" customHeight="1">
      <c r="G359" s="84"/>
      <c r="J359" s="84"/>
      <c r="M359" s="84"/>
    </row>
    <row r="360" ht="14.25" customHeight="1">
      <c r="G360" s="84"/>
      <c r="J360" s="84"/>
      <c r="M360" s="84"/>
    </row>
    <row r="361" ht="14.25" customHeight="1">
      <c r="G361" s="84"/>
      <c r="J361" s="84"/>
      <c r="M361" s="84"/>
    </row>
    <row r="362" ht="14.25" customHeight="1">
      <c r="G362" s="84"/>
      <c r="J362" s="84"/>
      <c r="M362" s="84"/>
    </row>
    <row r="363" ht="14.25" customHeight="1">
      <c r="G363" s="84"/>
      <c r="J363" s="84"/>
      <c r="M363" s="84"/>
    </row>
    <row r="364" ht="14.25" customHeight="1">
      <c r="G364" s="84"/>
      <c r="J364" s="84"/>
      <c r="M364" s="84"/>
    </row>
    <row r="365" ht="14.25" customHeight="1">
      <c r="G365" s="84"/>
      <c r="J365" s="84"/>
      <c r="M365" s="84"/>
    </row>
    <row r="366" ht="14.25" customHeight="1">
      <c r="G366" s="84"/>
      <c r="J366" s="84"/>
      <c r="M366" s="84"/>
    </row>
    <row r="367" ht="14.25" customHeight="1">
      <c r="G367" s="84"/>
      <c r="J367" s="84"/>
      <c r="M367" s="84"/>
    </row>
    <row r="368" ht="14.25" customHeight="1">
      <c r="G368" s="84"/>
      <c r="J368" s="84"/>
      <c r="M368" s="84"/>
    </row>
    <row r="369" ht="14.25" customHeight="1">
      <c r="G369" s="84"/>
      <c r="J369" s="84"/>
      <c r="M369" s="84"/>
    </row>
    <row r="370" ht="14.25" customHeight="1">
      <c r="G370" s="84"/>
      <c r="J370" s="84"/>
      <c r="M370" s="84"/>
    </row>
    <row r="371" ht="14.25" customHeight="1">
      <c r="G371" s="84"/>
      <c r="J371" s="84"/>
      <c r="M371" s="84"/>
    </row>
    <row r="372" ht="14.25" customHeight="1">
      <c r="G372" s="84"/>
      <c r="J372" s="84"/>
      <c r="M372" s="84"/>
    </row>
    <row r="373" ht="14.25" customHeight="1">
      <c r="G373" s="84"/>
      <c r="J373" s="84"/>
      <c r="M373" s="84"/>
    </row>
    <row r="374" ht="14.25" customHeight="1">
      <c r="G374" s="84"/>
      <c r="J374" s="84"/>
      <c r="M374" s="84"/>
    </row>
    <row r="375" ht="14.25" customHeight="1">
      <c r="G375" s="84"/>
      <c r="J375" s="84"/>
      <c r="M375" s="84"/>
    </row>
    <row r="376" ht="14.25" customHeight="1">
      <c r="G376" s="84"/>
      <c r="J376" s="84"/>
      <c r="M376" s="84"/>
    </row>
    <row r="377" ht="14.25" customHeight="1">
      <c r="G377" s="84"/>
      <c r="J377" s="84"/>
      <c r="M377" s="84"/>
    </row>
    <row r="378" ht="14.25" customHeight="1">
      <c r="G378" s="84"/>
      <c r="J378" s="84"/>
      <c r="M378" s="84"/>
    </row>
    <row r="379" ht="14.25" customHeight="1">
      <c r="G379" s="84"/>
      <c r="J379" s="84"/>
      <c r="M379" s="84"/>
    </row>
    <row r="380" ht="14.25" customHeight="1">
      <c r="G380" s="84"/>
      <c r="J380" s="84"/>
      <c r="M380" s="84"/>
    </row>
    <row r="381" ht="14.25" customHeight="1">
      <c r="G381" s="84"/>
      <c r="J381" s="84"/>
      <c r="M381" s="84"/>
    </row>
    <row r="382" ht="14.25" customHeight="1">
      <c r="G382" s="84"/>
      <c r="J382" s="84"/>
      <c r="M382" s="84"/>
    </row>
    <row r="383" ht="14.25" customHeight="1">
      <c r="G383" s="84"/>
      <c r="J383" s="84"/>
      <c r="M383" s="84"/>
    </row>
    <row r="384" ht="14.25" customHeight="1">
      <c r="G384" s="84"/>
      <c r="J384" s="84"/>
      <c r="M384" s="84"/>
    </row>
    <row r="385" ht="14.25" customHeight="1">
      <c r="G385" s="84"/>
      <c r="J385" s="84"/>
      <c r="M385" s="84"/>
    </row>
    <row r="386" ht="14.25" customHeight="1">
      <c r="G386" s="84"/>
      <c r="J386" s="84"/>
      <c r="M386" s="84"/>
    </row>
    <row r="387" ht="14.25" customHeight="1">
      <c r="G387" s="84"/>
      <c r="J387" s="84"/>
      <c r="M387" s="84"/>
    </row>
    <row r="388" ht="14.25" customHeight="1">
      <c r="G388" s="84"/>
      <c r="J388" s="84"/>
      <c r="M388" s="84"/>
    </row>
    <row r="389" ht="14.25" customHeight="1">
      <c r="G389" s="84"/>
      <c r="J389" s="84"/>
      <c r="M389" s="84"/>
    </row>
    <row r="390" ht="14.25" customHeight="1">
      <c r="G390" s="84"/>
      <c r="J390" s="84"/>
      <c r="M390" s="84"/>
    </row>
    <row r="391" ht="14.25" customHeight="1">
      <c r="G391" s="84"/>
      <c r="J391" s="84"/>
      <c r="M391" s="84"/>
    </row>
    <row r="392" ht="14.25" customHeight="1">
      <c r="G392" s="84"/>
      <c r="J392" s="84"/>
      <c r="M392" s="84"/>
    </row>
    <row r="393" ht="14.25" customHeight="1">
      <c r="G393" s="84"/>
      <c r="J393" s="84"/>
      <c r="M393" s="84"/>
    </row>
    <row r="394" ht="14.25" customHeight="1">
      <c r="G394" s="84"/>
      <c r="J394" s="84"/>
      <c r="M394" s="84"/>
    </row>
    <row r="395" ht="14.25" customHeight="1">
      <c r="G395" s="84"/>
      <c r="J395" s="84"/>
      <c r="M395" s="84"/>
    </row>
    <row r="396" ht="14.25" customHeight="1">
      <c r="G396" s="84"/>
      <c r="J396" s="84"/>
      <c r="M396" s="84"/>
    </row>
    <row r="397" ht="14.25" customHeight="1">
      <c r="G397" s="84"/>
      <c r="J397" s="84"/>
      <c r="M397" s="84"/>
    </row>
    <row r="398" ht="14.25" customHeight="1">
      <c r="G398" s="84"/>
      <c r="J398" s="84"/>
      <c r="M398" s="84"/>
    </row>
    <row r="399" ht="14.25" customHeight="1">
      <c r="G399" s="84"/>
      <c r="J399" s="84"/>
      <c r="M399" s="84"/>
    </row>
    <row r="400" ht="14.25" customHeight="1">
      <c r="G400" s="84"/>
      <c r="J400" s="84"/>
      <c r="M400" s="84"/>
    </row>
    <row r="401" ht="14.25" customHeight="1">
      <c r="G401" s="84"/>
      <c r="J401" s="84"/>
      <c r="M401" s="84"/>
    </row>
    <row r="402" ht="14.25" customHeight="1">
      <c r="G402" s="84"/>
      <c r="J402" s="84"/>
      <c r="M402" s="84"/>
    </row>
    <row r="403" ht="14.25" customHeight="1">
      <c r="G403" s="84"/>
      <c r="J403" s="84"/>
      <c r="M403" s="84"/>
    </row>
    <row r="404" ht="14.25" customHeight="1">
      <c r="G404" s="84"/>
      <c r="J404" s="84"/>
      <c r="M404" s="84"/>
    </row>
    <row r="405" ht="14.25" customHeight="1">
      <c r="G405" s="84"/>
      <c r="J405" s="84"/>
      <c r="M405" s="84"/>
    </row>
    <row r="406" ht="14.25" customHeight="1">
      <c r="G406" s="84"/>
      <c r="J406" s="84"/>
      <c r="M406" s="84"/>
    </row>
    <row r="407" ht="14.25" customHeight="1">
      <c r="G407" s="84"/>
      <c r="J407" s="84"/>
      <c r="M407" s="84"/>
    </row>
    <row r="408" ht="14.25" customHeight="1">
      <c r="G408" s="84"/>
      <c r="J408" s="84"/>
      <c r="M408" s="84"/>
    </row>
    <row r="409" ht="14.25" customHeight="1">
      <c r="G409" s="84"/>
      <c r="J409" s="84"/>
      <c r="M409" s="84"/>
    </row>
    <row r="410" ht="14.25" customHeight="1">
      <c r="G410" s="84"/>
      <c r="J410" s="84"/>
      <c r="M410" s="84"/>
    </row>
    <row r="411" ht="14.25" customHeight="1">
      <c r="G411" s="84"/>
      <c r="J411" s="84"/>
      <c r="M411" s="84"/>
    </row>
    <row r="412" ht="14.25" customHeight="1">
      <c r="G412" s="84"/>
      <c r="J412" s="84"/>
      <c r="M412" s="84"/>
    </row>
    <row r="413" ht="14.25" customHeight="1">
      <c r="G413" s="84"/>
      <c r="J413" s="84"/>
      <c r="M413" s="84"/>
    </row>
    <row r="414" ht="14.25" customHeight="1">
      <c r="G414" s="84"/>
      <c r="J414" s="84"/>
      <c r="M414" s="84"/>
    </row>
    <row r="415" ht="14.25" customHeight="1">
      <c r="G415" s="84"/>
      <c r="J415" s="84"/>
      <c r="M415" s="84"/>
    </row>
    <row r="416" ht="14.25" customHeight="1">
      <c r="G416" s="84"/>
      <c r="J416" s="84"/>
      <c r="M416" s="84"/>
    </row>
    <row r="417" ht="14.25" customHeight="1">
      <c r="G417" s="84"/>
      <c r="J417" s="84"/>
      <c r="M417" s="84"/>
    </row>
    <row r="418" ht="14.25" customHeight="1">
      <c r="G418" s="84"/>
      <c r="J418" s="84"/>
      <c r="M418" s="84"/>
    </row>
    <row r="419" ht="14.25" customHeight="1">
      <c r="G419" s="84"/>
      <c r="J419" s="84"/>
      <c r="M419" s="84"/>
    </row>
    <row r="420" ht="14.25" customHeight="1">
      <c r="G420" s="84"/>
      <c r="J420" s="84"/>
      <c r="M420" s="84"/>
    </row>
    <row r="421" ht="14.25" customHeight="1">
      <c r="G421" s="84"/>
      <c r="J421" s="84"/>
      <c r="M421" s="84"/>
    </row>
    <row r="422" ht="14.25" customHeight="1">
      <c r="G422" s="84"/>
      <c r="J422" s="84"/>
      <c r="M422" s="84"/>
    </row>
    <row r="423" ht="14.25" customHeight="1">
      <c r="G423" s="84"/>
      <c r="J423" s="84"/>
      <c r="M423" s="84"/>
    </row>
    <row r="424" ht="14.25" customHeight="1">
      <c r="G424" s="84"/>
      <c r="J424" s="84"/>
      <c r="M424" s="84"/>
    </row>
    <row r="425" ht="14.25" customHeight="1">
      <c r="G425" s="84"/>
      <c r="J425" s="84"/>
      <c r="M425" s="84"/>
    </row>
    <row r="426" ht="14.25" customHeight="1">
      <c r="G426" s="84"/>
      <c r="J426" s="84"/>
      <c r="M426" s="84"/>
    </row>
    <row r="427" ht="14.25" customHeight="1">
      <c r="G427" s="84"/>
      <c r="J427" s="84"/>
      <c r="M427" s="84"/>
    </row>
    <row r="428" ht="14.25" customHeight="1">
      <c r="G428" s="84"/>
      <c r="J428" s="84"/>
      <c r="M428" s="84"/>
    </row>
    <row r="429" ht="14.25" customHeight="1">
      <c r="G429" s="84"/>
      <c r="J429" s="84"/>
      <c r="M429" s="84"/>
    </row>
    <row r="430" ht="14.25" customHeight="1">
      <c r="G430" s="84"/>
      <c r="J430" s="84"/>
      <c r="M430" s="84"/>
    </row>
    <row r="431" ht="14.25" customHeight="1">
      <c r="G431" s="84"/>
      <c r="J431" s="84"/>
      <c r="M431" s="84"/>
    </row>
    <row r="432" ht="14.25" customHeight="1">
      <c r="G432" s="84"/>
      <c r="J432" s="84"/>
      <c r="M432" s="84"/>
    </row>
    <row r="433" ht="14.25" customHeight="1">
      <c r="G433" s="84"/>
      <c r="J433" s="84"/>
      <c r="M433" s="84"/>
    </row>
    <row r="434" ht="14.25" customHeight="1">
      <c r="G434" s="84"/>
      <c r="J434" s="84"/>
      <c r="M434" s="84"/>
    </row>
    <row r="435" ht="14.25" customHeight="1">
      <c r="G435" s="84"/>
      <c r="J435" s="84"/>
      <c r="M435" s="84"/>
    </row>
    <row r="436" ht="14.25" customHeight="1">
      <c r="G436" s="84"/>
      <c r="J436" s="84"/>
      <c r="M436" s="84"/>
    </row>
    <row r="437" ht="14.25" customHeight="1">
      <c r="G437" s="84"/>
      <c r="J437" s="84"/>
      <c r="M437" s="84"/>
    </row>
    <row r="438" ht="14.25" customHeight="1">
      <c r="G438" s="84"/>
      <c r="J438" s="84"/>
      <c r="M438" s="84"/>
    </row>
    <row r="439" ht="14.25" customHeight="1">
      <c r="G439" s="84"/>
      <c r="J439" s="84"/>
      <c r="M439" s="84"/>
    </row>
    <row r="440" ht="14.25" customHeight="1">
      <c r="G440" s="84"/>
      <c r="J440" s="84"/>
      <c r="M440" s="84"/>
    </row>
    <row r="441" ht="14.25" customHeight="1">
      <c r="G441" s="84"/>
      <c r="J441" s="84"/>
      <c r="M441" s="84"/>
    </row>
    <row r="442" ht="14.25" customHeight="1">
      <c r="G442" s="84"/>
      <c r="J442" s="84"/>
      <c r="M442" s="84"/>
    </row>
    <row r="443" ht="14.25" customHeight="1">
      <c r="G443" s="84"/>
      <c r="J443" s="84"/>
      <c r="M443" s="84"/>
    </row>
    <row r="444" ht="14.25" customHeight="1">
      <c r="G444" s="84"/>
      <c r="J444" s="84"/>
      <c r="M444" s="84"/>
    </row>
    <row r="445" ht="14.25" customHeight="1">
      <c r="G445" s="84"/>
      <c r="J445" s="84"/>
      <c r="M445" s="84"/>
    </row>
    <row r="446" ht="14.25" customHeight="1">
      <c r="G446" s="84"/>
      <c r="J446" s="84"/>
      <c r="M446" s="84"/>
    </row>
    <row r="447" ht="14.25" customHeight="1">
      <c r="G447" s="84"/>
      <c r="J447" s="84"/>
      <c r="M447" s="84"/>
    </row>
    <row r="448" ht="14.25" customHeight="1">
      <c r="G448" s="84"/>
      <c r="J448" s="84"/>
      <c r="M448" s="84"/>
    </row>
    <row r="449" ht="14.25" customHeight="1">
      <c r="G449" s="84"/>
      <c r="J449" s="84"/>
      <c r="M449" s="84"/>
    </row>
    <row r="450" ht="14.25" customHeight="1">
      <c r="G450" s="84"/>
      <c r="J450" s="84"/>
      <c r="M450" s="84"/>
    </row>
    <row r="451" ht="14.25" customHeight="1">
      <c r="G451" s="84"/>
      <c r="J451" s="84"/>
      <c r="M451" s="84"/>
    </row>
    <row r="452" ht="14.25" customHeight="1">
      <c r="G452" s="84"/>
      <c r="J452" s="84"/>
      <c r="M452" s="84"/>
    </row>
    <row r="453" ht="14.25" customHeight="1">
      <c r="G453" s="84"/>
      <c r="J453" s="84"/>
      <c r="M453" s="84"/>
    </row>
    <row r="454" ht="14.25" customHeight="1">
      <c r="G454" s="84"/>
      <c r="J454" s="84"/>
      <c r="M454" s="84"/>
    </row>
    <row r="455" ht="14.25" customHeight="1">
      <c r="G455" s="84"/>
      <c r="J455" s="84"/>
      <c r="M455" s="84"/>
    </row>
    <row r="456" ht="14.25" customHeight="1">
      <c r="G456" s="84"/>
      <c r="J456" s="84"/>
      <c r="M456" s="84"/>
    </row>
    <row r="457" ht="14.25" customHeight="1">
      <c r="G457" s="84"/>
      <c r="J457" s="84"/>
      <c r="M457" s="84"/>
    </row>
    <row r="458" ht="14.25" customHeight="1">
      <c r="G458" s="84"/>
      <c r="J458" s="84"/>
      <c r="M458" s="84"/>
    </row>
    <row r="459" ht="14.25" customHeight="1">
      <c r="G459" s="84"/>
      <c r="J459" s="84"/>
      <c r="M459" s="84"/>
    </row>
    <row r="460" ht="14.25" customHeight="1">
      <c r="G460" s="84"/>
      <c r="J460" s="84"/>
      <c r="M460" s="84"/>
    </row>
    <row r="461" ht="14.25" customHeight="1">
      <c r="G461" s="84"/>
      <c r="J461" s="84"/>
      <c r="M461" s="84"/>
    </row>
    <row r="462" ht="14.25" customHeight="1">
      <c r="G462" s="84"/>
      <c r="J462" s="84"/>
      <c r="M462" s="84"/>
    </row>
    <row r="463" ht="14.25" customHeight="1">
      <c r="G463" s="84"/>
      <c r="J463" s="84"/>
      <c r="M463" s="84"/>
    </row>
    <row r="464" ht="14.25" customHeight="1">
      <c r="G464" s="84"/>
      <c r="J464" s="84"/>
      <c r="M464" s="84"/>
    </row>
    <row r="465" ht="14.25" customHeight="1">
      <c r="G465" s="84"/>
      <c r="J465" s="84"/>
      <c r="M465" s="84"/>
    </row>
    <row r="466" ht="14.25" customHeight="1">
      <c r="G466" s="84"/>
      <c r="J466" s="84"/>
      <c r="M466" s="84"/>
    </row>
    <row r="467" ht="14.25" customHeight="1">
      <c r="G467" s="84"/>
      <c r="J467" s="84"/>
      <c r="M467" s="84"/>
    </row>
    <row r="468" ht="14.25" customHeight="1">
      <c r="G468" s="84"/>
      <c r="J468" s="84"/>
      <c r="M468" s="84"/>
    </row>
    <row r="469" ht="14.25" customHeight="1">
      <c r="G469" s="84"/>
      <c r="J469" s="84"/>
      <c r="M469" s="84"/>
    </row>
    <row r="470" ht="14.25" customHeight="1">
      <c r="G470" s="84"/>
      <c r="J470" s="84"/>
      <c r="M470" s="84"/>
    </row>
    <row r="471" ht="14.25" customHeight="1">
      <c r="G471" s="84"/>
      <c r="J471" s="84"/>
      <c r="M471" s="84"/>
    </row>
    <row r="472" ht="14.25" customHeight="1">
      <c r="G472" s="84"/>
      <c r="J472" s="84"/>
      <c r="M472" s="84"/>
    </row>
    <row r="473" ht="14.25" customHeight="1">
      <c r="G473" s="84"/>
      <c r="J473" s="84"/>
      <c r="M473" s="84"/>
    </row>
    <row r="474" ht="14.25" customHeight="1">
      <c r="G474" s="84"/>
      <c r="J474" s="84"/>
      <c r="M474" s="84"/>
    </row>
    <row r="475" ht="14.25" customHeight="1">
      <c r="G475" s="84"/>
      <c r="J475" s="84"/>
      <c r="M475" s="84"/>
    </row>
    <row r="476" ht="14.25" customHeight="1">
      <c r="G476" s="84"/>
      <c r="J476" s="84"/>
      <c r="M476" s="84"/>
    </row>
    <row r="477" ht="14.25" customHeight="1">
      <c r="G477" s="84"/>
      <c r="J477" s="84"/>
      <c r="M477" s="84"/>
    </row>
    <row r="478" ht="14.25" customHeight="1">
      <c r="G478" s="84"/>
      <c r="J478" s="84"/>
      <c r="M478" s="84"/>
    </row>
    <row r="479" ht="14.25" customHeight="1">
      <c r="G479" s="84"/>
      <c r="J479" s="84"/>
      <c r="M479" s="84"/>
    </row>
    <row r="480" ht="14.25" customHeight="1">
      <c r="G480" s="84"/>
      <c r="J480" s="84"/>
      <c r="M480" s="84"/>
    </row>
    <row r="481" ht="14.25" customHeight="1">
      <c r="G481" s="84"/>
      <c r="J481" s="84"/>
      <c r="M481" s="84"/>
    </row>
    <row r="482" ht="14.25" customHeight="1">
      <c r="G482" s="84"/>
      <c r="J482" s="84"/>
      <c r="M482" s="84"/>
    </row>
    <row r="483" ht="14.25" customHeight="1">
      <c r="G483" s="84"/>
      <c r="J483" s="84"/>
      <c r="M483" s="84"/>
    </row>
    <row r="484" ht="14.25" customHeight="1">
      <c r="G484" s="84"/>
      <c r="J484" s="84"/>
      <c r="M484" s="84"/>
    </row>
    <row r="485" ht="14.25" customHeight="1">
      <c r="G485" s="84"/>
      <c r="J485" s="84"/>
      <c r="M485" s="84"/>
    </row>
    <row r="486" ht="14.25" customHeight="1">
      <c r="G486" s="84"/>
      <c r="J486" s="84"/>
      <c r="M486" s="84"/>
    </row>
    <row r="487" ht="14.25" customHeight="1">
      <c r="G487" s="84"/>
      <c r="J487" s="84"/>
      <c r="M487" s="84"/>
    </row>
    <row r="488" ht="14.25" customHeight="1">
      <c r="G488" s="84"/>
      <c r="J488" s="84"/>
      <c r="M488" s="84"/>
    </row>
    <row r="489" ht="14.25" customHeight="1">
      <c r="G489" s="84"/>
      <c r="J489" s="84"/>
      <c r="M489" s="84"/>
    </row>
    <row r="490" ht="14.25" customHeight="1">
      <c r="G490" s="84"/>
      <c r="J490" s="84"/>
      <c r="M490" s="84"/>
    </row>
    <row r="491" ht="14.25" customHeight="1">
      <c r="G491" s="84"/>
      <c r="J491" s="84"/>
      <c r="M491" s="84"/>
    </row>
    <row r="492" ht="14.25" customHeight="1">
      <c r="G492" s="84"/>
      <c r="J492" s="84"/>
      <c r="M492" s="84"/>
    </row>
    <row r="493" ht="14.25" customHeight="1">
      <c r="G493" s="84"/>
      <c r="J493" s="84"/>
      <c r="M493" s="84"/>
    </row>
    <row r="494" ht="14.25" customHeight="1">
      <c r="G494" s="84"/>
      <c r="J494" s="84"/>
      <c r="M494" s="84"/>
    </row>
    <row r="495" ht="14.25" customHeight="1">
      <c r="G495" s="84"/>
      <c r="J495" s="84"/>
      <c r="M495" s="84"/>
    </row>
    <row r="496" ht="14.25" customHeight="1">
      <c r="G496" s="84"/>
      <c r="J496" s="84"/>
      <c r="M496" s="84"/>
    </row>
    <row r="497" ht="14.25" customHeight="1">
      <c r="G497" s="84"/>
      <c r="J497" s="84"/>
      <c r="M497" s="84"/>
    </row>
    <row r="498" ht="14.25" customHeight="1">
      <c r="G498" s="84"/>
      <c r="J498" s="84"/>
      <c r="M498" s="84"/>
    </row>
    <row r="499" ht="14.25" customHeight="1">
      <c r="G499" s="84"/>
      <c r="J499" s="84"/>
      <c r="M499" s="84"/>
    </row>
    <row r="500" ht="14.25" customHeight="1">
      <c r="G500" s="84"/>
      <c r="J500" s="84"/>
      <c r="M500" s="84"/>
    </row>
    <row r="501" ht="14.25" customHeight="1">
      <c r="G501" s="84"/>
      <c r="J501" s="84"/>
      <c r="M501" s="84"/>
    </row>
    <row r="502" ht="14.25" customHeight="1">
      <c r="G502" s="84"/>
      <c r="J502" s="84"/>
      <c r="M502" s="84"/>
    </row>
    <row r="503" ht="14.25" customHeight="1">
      <c r="G503" s="84"/>
      <c r="J503" s="84"/>
      <c r="M503" s="84"/>
    </row>
    <row r="504" ht="14.25" customHeight="1">
      <c r="G504" s="84"/>
      <c r="J504" s="84"/>
      <c r="M504" s="84"/>
    </row>
    <row r="505" ht="14.25" customHeight="1">
      <c r="G505" s="84"/>
      <c r="J505" s="84"/>
      <c r="M505" s="84"/>
    </row>
    <row r="506" ht="14.25" customHeight="1">
      <c r="G506" s="84"/>
      <c r="J506" s="84"/>
      <c r="M506" s="84"/>
    </row>
    <row r="507" ht="14.25" customHeight="1">
      <c r="G507" s="84"/>
      <c r="J507" s="84"/>
      <c r="M507" s="84"/>
    </row>
    <row r="508" ht="14.25" customHeight="1">
      <c r="G508" s="84"/>
      <c r="J508" s="84"/>
      <c r="M508" s="84"/>
    </row>
    <row r="509" ht="14.25" customHeight="1">
      <c r="G509" s="84"/>
      <c r="J509" s="84"/>
      <c r="M509" s="84"/>
    </row>
    <row r="510" ht="14.25" customHeight="1">
      <c r="G510" s="84"/>
      <c r="J510" s="84"/>
      <c r="M510" s="84"/>
    </row>
    <row r="511" ht="14.25" customHeight="1">
      <c r="G511" s="84"/>
      <c r="J511" s="84"/>
      <c r="M511" s="84"/>
    </row>
    <row r="512" ht="14.25" customHeight="1">
      <c r="G512" s="84"/>
      <c r="J512" s="84"/>
      <c r="M512" s="84"/>
    </row>
    <row r="513" ht="14.25" customHeight="1">
      <c r="G513" s="84"/>
      <c r="J513" s="84"/>
      <c r="M513" s="84"/>
    </row>
    <row r="514" ht="14.25" customHeight="1">
      <c r="G514" s="84"/>
      <c r="J514" s="84"/>
      <c r="M514" s="84"/>
    </row>
    <row r="515" ht="14.25" customHeight="1">
      <c r="G515" s="84"/>
      <c r="J515" s="84"/>
      <c r="M515" s="84"/>
    </row>
    <row r="516" ht="14.25" customHeight="1">
      <c r="G516" s="84"/>
      <c r="J516" s="84"/>
      <c r="M516" s="84"/>
    </row>
    <row r="517" ht="14.25" customHeight="1">
      <c r="G517" s="84"/>
      <c r="J517" s="84"/>
      <c r="M517" s="84"/>
    </row>
    <row r="518" ht="14.25" customHeight="1">
      <c r="G518" s="84"/>
      <c r="J518" s="84"/>
      <c r="M518" s="84"/>
    </row>
    <row r="519" ht="14.25" customHeight="1">
      <c r="G519" s="84"/>
      <c r="J519" s="84"/>
      <c r="M519" s="84"/>
    </row>
    <row r="520" ht="14.25" customHeight="1">
      <c r="G520" s="84"/>
      <c r="J520" s="84"/>
      <c r="M520" s="84"/>
    </row>
    <row r="521" ht="14.25" customHeight="1">
      <c r="G521" s="84"/>
      <c r="J521" s="84"/>
      <c r="M521" s="84"/>
    </row>
    <row r="522" ht="14.25" customHeight="1">
      <c r="G522" s="84"/>
      <c r="J522" s="84"/>
      <c r="M522" s="84"/>
    </row>
    <row r="523" ht="14.25" customHeight="1">
      <c r="G523" s="84"/>
      <c r="J523" s="84"/>
      <c r="M523" s="84"/>
    </row>
    <row r="524" ht="14.25" customHeight="1">
      <c r="G524" s="84"/>
      <c r="J524" s="84"/>
      <c r="M524" s="84"/>
    </row>
    <row r="525" ht="14.25" customHeight="1">
      <c r="G525" s="84"/>
      <c r="J525" s="84"/>
      <c r="M525" s="84"/>
    </row>
    <row r="526" ht="14.25" customHeight="1">
      <c r="G526" s="84"/>
      <c r="J526" s="84"/>
      <c r="M526" s="84"/>
    </row>
    <row r="527" ht="14.25" customHeight="1">
      <c r="G527" s="84"/>
      <c r="J527" s="84"/>
      <c r="M527" s="84"/>
    </row>
    <row r="528" ht="14.25" customHeight="1">
      <c r="G528" s="84"/>
      <c r="J528" s="84"/>
      <c r="M528" s="84"/>
    </row>
    <row r="529" ht="14.25" customHeight="1">
      <c r="G529" s="84"/>
      <c r="J529" s="84"/>
      <c r="M529" s="84"/>
    </row>
    <row r="530" ht="14.25" customHeight="1">
      <c r="G530" s="84"/>
      <c r="J530" s="84"/>
      <c r="M530" s="84"/>
    </row>
    <row r="531" ht="14.25" customHeight="1">
      <c r="G531" s="84"/>
      <c r="J531" s="84"/>
      <c r="M531" s="84"/>
    </row>
    <row r="532" ht="14.25" customHeight="1">
      <c r="G532" s="84"/>
      <c r="J532" s="84"/>
      <c r="M532" s="84"/>
    </row>
    <row r="533" ht="14.25" customHeight="1">
      <c r="G533" s="84"/>
      <c r="J533" s="84"/>
      <c r="M533" s="84"/>
    </row>
    <row r="534" ht="14.25" customHeight="1">
      <c r="G534" s="84"/>
      <c r="J534" s="84"/>
      <c r="M534" s="84"/>
    </row>
    <row r="535" ht="14.25" customHeight="1">
      <c r="G535" s="84"/>
      <c r="J535" s="84"/>
      <c r="M535" s="84"/>
    </row>
    <row r="536" ht="14.25" customHeight="1">
      <c r="G536" s="84"/>
      <c r="J536" s="84"/>
      <c r="M536" s="84"/>
    </row>
    <row r="537" ht="14.25" customHeight="1">
      <c r="G537" s="84"/>
      <c r="J537" s="84"/>
      <c r="M537" s="84"/>
    </row>
    <row r="538" ht="14.25" customHeight="1">
      <c r="G538" s="84"/>
      <c r="J538" s="84"/>
      <c r="M538" s="84"/>
    </row>
    <row r="539" ht="14.25" customHeight="1">
      <c r="G539" s="84"/>
      <c r="J539" s="84"/>
      <c r="M539" s="84"/>
    </row>
    <row r="540" ht="14.25" customHeight="1">
      <c r="G540" s="84"/>
      <c r="J540" s="84"/>
      <c r="M540" s="84"/>
    </row>
    <row r="541" ht="14.25" customHeight="1">
      <c r="G541" s="84"/>
      <c r="J541" s="84"/>
      <c r="M541" s="84"/>
    </row>
    <row r="542" ht="14.25" customHeight="1">
      <c r="G542" s="84"/>
      <c r="J542" s="84"/>
      <c r="M542" s="84"/>
    </row>
    <row r="543" ht="14.25" customHeight="1">
      <c r="G543" s="84"/>
      <c r="J543" s="84"/>
      <c r="M543" s="84"/>
    </row>
    <row r="544" ht="14.25" customHeight="1">
      <c r="G544" s="84"/>
      <c r="J544" s="84"/>
      <c r="M544" s="84"/>
    </row>
    <row r="545" ht="14.25" customHeight="1">
      <c r="G545" s="84"/>
      <c r="J545" s="84"/>
      <c r="M545" s="84"/>
    </row>
    <row r="546" ht="14.25" customHeight="1">
      <c r="G546" s="84"/>
      <c r="J546" s="84"/>
      <c r="M546" s="84"/>
    </row>
    <row r="547" ht="14.25" customHeight="1">
      <c r="G547" s="84"/>
      <c r="J547" s="84"/>
      <c r="M547" s="84"/>
    </row>
    <row r="548" ht="14.25" customHeight="1">
      <c r="G548" s="84"/>
      <c r="J548" s="84"/>
      <c r="M548" s="84"/>
    </row>
    <row r="549" ht="14.25" customHeight="1">
      <c r="G549" s="84"/>
      <c r="J549" s="84"/>
      <c r="M549" s="84"/>
    </row>
    <row r="550" ht="14.25" customHeight="1">
      <c r="G550" s="84"/>
      <c r="J550" s="84"/>
      <c r="M550" s="84"/>
    </row>
    <row r="551" ht="14.25" customHeight="1">
      <c r="G551" s="84"/>
      <c r="J551" s="84"/>
      <c r="M551" s="84"/>
    </row>
    <row r="552" ht="14.25" customHeight="1">
      <c r="G552" s="84"/>
      <c r="J552" s="84"/>
      <c r="M552" s="84"/>
    </row>
    <row r="553" ht="14.25" customHeight="1">
      <c r="G553" s="84"/>
      <c r="J553" s="84"/>
      <c r="M553" s="84"/>
    </row>
    <row r="554" ht="14.25" customHeight="1">
      <c r="G554" s="84"/>
      <c r="J554" s="84"/>
      <c r="M554" s="84"/>
    </row>
    <row r="555" ht="14.25" customHeight="1">
      <c r="G555" s="84"/>
      <c r="J555" s="84"/>
      <c r="M555" s="84"/>
    </row>
    <row r="556" ht="14.25" customHeight="1">
      <c r="G556" s="84"/>
      <c r="J556" s="84"/>
      <c r="M556" s="84"/>
    </row>
    <row r="557" ht="14.25" customHeight="1">
      <c r="G557" s="84"/>
      <c r="J557" s="84"/>
      <c r="M557" s="84"/>
    </row>
    <row r="558" ht="14.25" customHeight="1">
      <c r="G558" s="84"/>
      <c r="J558" s="84"/>
      <c r="M558" s="84"/>
    </row>
    <row r="559" ht="14.25" customHeight="1">
      <c r="G559" s="84"/>
      <c r="J559" s="84"/>
      <c r="M559" s="84"/>
    </row>
    <row r="560" ht="14.25" customHeight="1">
      <c r="G560" s="84"/>
      <c r="J560" s="84"/>
      <c r="M560" s="84"/>
    </row>
    <row r="561" ht="14.25" customHeight="1">
      <c r="G561" s="84"/>
      <c r="J561" s="84"/>
      <c r="M561" s="84"/>
    </row>
    <row r="562" ht="14.25" customHeight="1">
      <c r="G562" s="84"/>
      <c r="J562" s="84"/>
      <c r="M562" s="84"/>
    </row>
    <row r="563" ht="14.25" customHeight="1">
      <c r="G563" s="84"/>
      <c r="J563" s="84"/>
      <c r="M563" s="84"/>
    </row>
    <row r="564" ht="14.25" customHeight="1">
      <c r="G564" s="84"/>
      <c r="J564" s="84"/>
      <c r="M564" s="84"/>
    </row>
    <row r="565" ht="14.25" customHeight="1">
      <c r="G565" s="84"/>
      <c r="J565" s="84"/>
      <c r="M565" s="84"/>
    </row>
    <row r="566" ht="14.25" customHeight="1">
      <c r="G566" s="84"/>
      <c r="J566" s="84"/>
      <c r="M566" s="84"/>
    </row>
    <row r="567" ht="14.25" customHeight="1">
      <c r="G567" s="84"/>
      <c r="J567" s="84"/>
      <c r="M567" s="84"/>
    </row>
    <row r="568" ht="14.25" customHeight="1">
      <c r="G568" s="84"/>
      <c r="J568" s="84"/>
      <c r="M568" s="84"/>
    </row>
    <row r="569" ht="14.25" customHeight="1">
      <c r="G569" s="84"/>
      <c r="J569" s="84"/>
      <c r="M569" s="84"/>
    </row>
    <row r="570" ht="14.25" customHeight="1">
      <c r="G570" s="84"/>
      <c r="J570" s="84"/>
      <c r="M570" s="84"/>
    </row>
    <row r="571" ht="14.25" customHeight="1">
      <c r="G571" s="84"/>
      <c r="J571" s="84"/>
      <c r="M571" s="84"/>
    </row>
    <row r="572" ht="14.25" customHeight="1">
      <c r="G572" s="84"/>
      <c r="J572" s="84"/>
      <c r="M572" s="84"/>
    </row>
    <row r="573" ht="14.25" customHeight="1">
      <c r="G573" s="84"/>
      <c r="J573" s="84"/>
      <c r="M573" s="84"/>
    </row>
    <row r="574" ht="14.25" customHeight="1">
      <c r="G574" s="84"/>
      <c r="J574" s="84"/>
      <c r="M574" s="84"/>
    </row>
    <row r="575" ht="14.25" customHeight="1">
      <c r="G575" s="84"/>
      <c r="J575" s="84"/>
      <c r="M575" s="84"/>
    </row>
    <row r="576" ht="14.25" customHeight="1">
      <c r="G576" s="84"/>
      <c r="J576" s="84"/>
      <c r="M576" s="84"/>
    </row>
    <row r="577" ht="14.25" customHeight="1">
      <c r="G577" s="84"/>
      <c r="J577" s="84"/>
      <c r="M577" s="84"/>
    </row>
    <row r="578" ht="14.25" customHeight="1">
      <c r="G578" s="84"/>
      <c r="J578" s="84"/>
      <c r="M578" s="84"/>
    </row>
    <row r="579" ht="14.25" customHeight="1">
      <c r="G579" s="84"/>
      <c r="J579" s="84"/>
      <c r="M579" s="84"/>
    </row>
    <row r="580" ht="14.25" customHeight="1">
      <c r="G580" s="84"/>
      <c r="J580" s="84"/>
      <c r="M580" s="84"/>
    </row>
    <row r="581" ht="14.25" customHeight="1">
      <c r="G581" s="84"/>
      <c r="J581" s="84"/>
      <c r="M581" s="84"/>
    </row>
    <row r="582" ht="14.25" customHeight="1">
      <c r="G582" s="84"/>
      <c r="J582" s="84"/>
      <c r="M582" s="84"/>
    </row>
    <row r="583" ht="14.25" customHeight="1">
      <c r="G583" s="84"/>
      <c r="J583" s="84"/>
      <c r="M583" s="84"/>
    </row>
    <row r="584" ht="14.25" customHeight="1">
      <c r="G584" s="84"/>
      <c r="J584" s="84"/>
      <c r="M584" s="84"/>
    </row>
    <row r="585" ht="14.25" customHeight="1">
      <c r="G585" s="84"/>
      <c r="J585" s="84"/>
      <c r="M585" s="84"/>
    </row>
    <row r="586" ht="14.25" customHeight="1">
      <c r="G586" s="84"/>
      <c r="J586" s="84"/>
      <c r="M586" s="84"/>
    </row>
    <row r="587" ht="14.25" customHeight="1">
      <c r="G587" s="84"/>
      <c r="J587" s="84"/>
      <c r="M587" s="84"/>
    </row>
    <row r="588" ht="14.25" customHeight="1">
      <c r="G588" s="84"/>
      <c r="J588" s="84"/>
      <c r="M588" s="84"/>
    </row>
    <row r="589" ht="14.25" customHeight="1">
      <c r="G589" s="84"/>
      <c r="J589" s="84"/>
      <c r="M589" s="84"/>
    </row>
    <row r="590" ht="14.25" customHeight="1">
      <c r="G590" s="84"/>
      <c r="J590" s="84"/>
      <c r="M590" s="84"/>
    </row>
    <row r="591" ht="14.25" customHeight="1">
      <c r="G591" s="84"/>
      <c r="J591" s="84"/>
      <c r="M591" s="84"/>
    </row>
    <row r="592" ht="14.25" customHeight="1">
      <c r="G592" s="84"/>
      <c r="J592" s="84"/>
      <c r="M592" s="84"/>
    </row>
    <row r="593" ht="14.25" customHeight="1">
      <c r="G593" s="84"/>
      <c r="J593" s="84"/>
      <c r="M593" s="84"/>
    </row>
    <row r="594" ht="14.25" customHeight="1">
      <c r="G594" s="84"/>
      <c r="J594" s="84"/>
      <c r="M594" s="84"/>
    </row>
    <row r="595" ht="14.25" customHeight="1">
      <c r="G595" s="84"/>
      <c r="J595" s="84"/>
      <c r="M595" s="84"/>
    </row>
    <row r="596" ht="14.25" customHeight="1">
      <c r="G596" s="84"/>
      <c r="J596" s="84"/>
      <c r="M596" s="84"/>
    </row>
    <row r="597" ht="14.25" customHeight="1">
      <c r="G597" s="84"/>
      <c r="J597" s="84"/>
      <c r="M597" s="84"/>
    </row>
    <row r="598" ht="14.25" customHeight="1">
      <c r="G598" s="84"/>
      <c r="J598" s="84"/>
      <c r="M598" s="84"/>
    </row>
    <row r="599" ht="14.25" customHeight="1">
      <c r="G599" s="84"/>
      <c r="J599" s="84"/>
      <c r="M599" s="84"/>
    </row>
    <row r="600" ht="14.25" customHeight="1">
      <c r="G600" s="84"/>
      <c r="J600" s="84"/>
      <c r="M600" s="84"/>
    </row>
    <row r="601" ht="14.25" customHeight="1">
      <c r="G601" s="84"/>
      <c r="J601" s="84"/>
      <c r="M601" s="84"/>
    </row>
    <row r="602" ht="14.25" customHeight="1">
      <c r="G602" s="84"/>
      <c r="J602" s="84"/>
      <c r="M602" s="84"/>
    </row>
    <row r="603" ht="14.25" customHeight="1">
      <c r="G603" s="84"/>
      <c r="J603" s="84"/>
      <c r="M603" s="84"/>
    </row>
    <row r="604" ht="14.25" customHeight="1">
      <c r="G604" s="84"/>
      <c r="J604" s="84"/>
      <c r="M604" s="84"/>
    </row>
    <row r="605" ht="14.25" customHeight="1">
      <c r="G605" s="84"/>
      <c r="J605" s="84"/>
      <c r="M605" s="84"/>
    </row>
    <row r="606" ht="14.25" customHeight="1">
      <c r="G606" s="84"/>
      <c r="J606" s="84"/>
      <c r="M606" s="84"/>
    </row>
    <row r="607" ht="14.25" customHeight="1">
      <c r="G607" s="84"/>
      <c r="J607" s="84"/>
      <c r="M607" s="84"/>
    </row>
    <row r="608" ht="14.25" customHeight="1">
      <c r="G608" s="84"/>
      <c r="J608" s="84"/>
      <c r="M608" s="84"/>
    </row>
    <row r="609" ht="14.25" customHeight="1">
      <c r="G609" s="84"/>
      <c r="J609" s="84"/>
      <c r="M609" s="84"/>
    </row>
    <row r="610" ht="14.25" customHeight="1">
      <c r="G610" s="84"/>
      <c r="J610" s="84"/>
      <c r="M610" s="84"/>
    </row>
    <row r="611" ht="14.25" customHeight="1">
      <c r="G611" s="84"/>
      <c r="J611" s="84"/>
      <c r="M611" s="84"/>
    </row>
    <row r="612" ht="14.25" customHeight="1">
      <c r="G612" s="84"/>
      <c r="J612" s="84"/>
      <c r="M612" s="84"/>
    </row>
    <row r="613" ht="14.25" customHeight="1">
      <c r="G613" s="84"/>
      <c r="J613" s="84"/>
      <c r="M613" s="84"/>
    </row>
    <row r="614" ht="14.25" customHeight="1">
      <c r="G614" s="84"/>
      <c r="J614" s="84"/>
      <c r="M614" s="84"/>
    </row>
    <row r="615" ht="14.25" customHeight="1">
      <c r="G615" s="84"/>
      <c r="J615" s="84"/>
      <c r="M615" s="84"/>
    </row>
    <row r="616" ht="14.25" customHeight="1">
      <c r="G616" s="84"/>
      <c r="J616" s="84"/>
      <c r="M616" s="84"/>
    </row>
    <row r="617" ht="14.25" customHeight="1">
      <c r="G617" s="84"/>
      <c r="J617" s="84"/>
      <c r="M617" s="84"/>
    </row>
    <row r="618" ht="14.25" customHeight="1">
      <c r="G618" s="84"/>
      <c r="J618" s="84"/>
      <c r="M618" s="84"/>
    </row>
    <row r="619" ht="14.25" customHeight="1">
      <c r="G619" s="84"/>
      <c r="J619" s="84"/>
      <c r="M619" s="84"/>
    </row>
    <row r="620" ht="14.25" customHeight="1">
      <c r="G620" s="84"/>
      <c r="J620" s="84"/>
      <c r="M620" s="84"/>
    </row>
    <row r="621" ht="14.25" customHeight="1">
      <c r="G621" s="84"/>
      <c r="J621" s="84"/>
      <c r="M621" s="84"/>
    </row>
    <row r="622" ht="14.25" customHeight="1">
      <c r="G622" s="84"/>
      <c r="J622" s="84"/>
      <c r="M622" s="84"/>
    </row>
    <row r="623" ht="14.25" customHeight="1">
      <c r="G623" s="84"/>
      <c r="J623" s="84"/>
      <c r="M623" s="84"/>
    </row>
    <row r="624" ht="14.25" customHeight="1">
      <c r="G624" s="84"/>
      <c r="J624" s="84"/>
      <c r="M624" s="84"/>
    </row>
    <row r="625" ht="14.25" customHeight="1">
      <c r="G625" s="84"/>
      <c r="J625" s="84"/>
      <c r="M625" s="84"/>
    </row>
    <row r="626" ht="14.25" customHeight="1">
      <c r="G626" s="84"/>
      <c r="J626" s="84"/>
      <c r="M626" s="84"/>
    </row>
    <row r="627" ht="14.25" customHeight="1">
      <c r="G627" s="84"/>
      <c r="J627" s="84"/>
      <c r="M627" s="84"/>
    </row>
    <row r="628" ht="14.25" customHeight="1">
      <c r="G628" s="84"/>
      <c r="J628" s="84"/>
      <c r="M628" s="84"/>
    </row>
    <row r="629" ht="14.25" customHeight="1">
      <c r="G629" s="84"/>
      <c r="J629" s="84"/>
      <c r="M629" s="84"/>
    </row>
    <row r="630" ht="14.25" customHeight="1">
      <c r="G630" s="84"/>
      <c r="J630" s="84"/>
      <c r="M630" s="84"/>
    </row>
    <row r="631" ht="14.25" customHeight="1">
      <c r="G631" s="84"/>
      <c r="J631" s="84"/>
      <c r="M631" s="84"/>
    </row>
    <row r="632" ht="14.25" customHeight="1">
      <c r="G632" s="84"/>
      <c r="J632" s="84"/>
      <c r="M632" s="84"/>
    </row>
    <row r="633" ht="14.25" customHeight="1">
      <c r="G633" s="84"/>
      <c r="J633" s="84"/>
      <c r="M633" s="84"/>
    </row>
    <row r="634" ht="14.25" customHeight="1">
      <c r="G634" s="84"/>
      <c r="J634" s="84"/>
      <c r="M634" s="84"/>
    </row>
    <row r="635" ht="14.25" customHeight="1">
      <c r="G635" s="84"/>
      <c r="J635" s="84"/>
      <c r="M635" s="84"/>
    </row>
    <row r="636" ht="14.25" customHeight="1">
      <c r="G636" s="84"/>
      <c r="J636" s="84"/>
      <c r="M636" s="84"/>
    </row>
    <row r="637" ht="14.25" customHeight="1">
      <c r="G637" s="84"/>
      <c r="J637" s="84"/>
      <c r="M637" s="84"/>
    </row>
    <row r="638" ht="14.25" customHeight="1">
      <c r="G638" s="84"/>
      <c r="J638" s="84"/>
      <c r="M638" s="84"/>
    </row>
    <row r="639" ht="14.25" customHeight="1">
      <c r="G639" s="84"/>
      <c r="J639" s="84"/>
      <c r="M639" s="84"/>
    </row>
    <row r="640" ht="14.25" customHeight="1">
      <c r="G640" s="84"/>
      <c r="J640" s="84"/>
      <c r="M640" s="84"/>
    </row>
    <row r="641" ht="14.25" customHeight="1">
      <c r="G641" s="84"/>
      <c r="J641" s="84"/>
      <c r="M641" s="84"/>
    </row>
    <row r="642" ht="14.25" customHeight="1">
      <c r="G642" s="84"/>
      <c r="J642" s="84"/>
      <c r="M642" s="84"/>
    </row>
    <row r="643" ht="14.25" customHeight="1">
      <c r="G643" s="84"/>
      <c r="J643" s="84"/>
      <c r="M643" s="84"/>
    </row>
    <row r="644" ht="14.25" customHeight="1">
      <c r="G644" s="84"/>
      <c r="J644" s="84"/>
      <c r="M644" s="84"/>
    </row>
    <row r="645" ht="14.25" customHeight="1">
      <c r="G645" s="84"/>
      <c r="J645" s="84"/>
      <c r="M645" s="84"/>
    </row>
    <row r="646" ht="14.25" customHeight="1">
      <c r="G646" s="84"/>
      <c r="J646" s="84"/>
      <c r="M646" s="84"/>
    </row>
    <row r="647" ht="14.25" customHeight="1">
      <c r="G647" s="84"/>
      <c r="J647" s="84"/>
      <c r="M647" s="84"/>
    </row>
    <row r="648" ht="14.25" customHeight="1">
      <c r="G648" s="84"/>
      <c r="J648" s="84"/>
      <c r="M648" s="84"/>
    </row>
    <row r="649" ht="14.25" customHeight="1">
      <c r="G649" s="84"/>
      <c r="J649" s="84"/>
      <c r="M649" s="84"/>
    </row>
    <row r="650" ht="14.25" customHeight="1">
      <c r="G650" s="84"/>
      <c r="J650" s="84"/>
      <c r="M650" s="84"/>
    </row>
    <row r="651" ht="14.25" customHeight="1">
      <c r="G651" s="84"/>
      <c r="J651" s="84"/>
      <c r="M651" s="84"/>
    </row>
    <row r="652" ht="14.25" customHeight="1">
      <c r="G652" s="84"/>
      <c r="J652" s="84"/>
      <c r="M652" s="84"/>
    </row>
    <row r="653" ht="14.25" customHeight="1">
      <c r="G653" s="84"/>
      <c r="J653" s="84"/>
      <c r="M653" s="84"/>
    </row>
    <row r="654" ht="14.25" customHeight="1">
      <c r="G654" s="84"/>
      <c r="J654" s="84"/>
      <c r="M654" s="84"/>
    </row>
    <row r="655" ht="14.25" customHeight="1">
      <c r="G655" s="84"/>
      <c r="J655" s="84"/>
      <c r="M655" s="84"/>
    </row>
    <row r="656" ht="14.25" customHeight="1">
      <c r="G656" s="84"/>
      <c r="J656" s="84"/>
      <c r="M656" s="84"/>
    </row>
    <row r="657" ht="14.25" customHeight="1">
      <c r="G657" s="84"/>
      <c r="J657" s="84"/>
      <c r="M657" s="84"/>
    </row>
    <row r="658" ht="14.25" customHeight="1">
      <c r="G658" s="84"/>
      <c r="J658" s="84"/>
      <c r="M658" s="84"/>
    </row>
    <row r="659" ht="14.25" customHeight="1">
      <c r="G659" s="84"/>
      <c r="J659" s="84"/>
      <c r="M659" s="84"/>
    </row>
    <row r="660" ht="14.25" customHeight="1">
      <c r="G660" s="84"/>
      <c r="J660" s="84"/>
      <c r="M660" s="84"/>
    </row>
    <row r="661" ht="14.25" customHeight="1">
      <c r="G661" s="84"/>
      <c r="J661" s="84"/>
      <c r="M661" s="84"/>
    </row>
    <row r="662" ht="14.25" customHeight="1">
      <c r="G662" s="84"/>
      <c r="J662" s="84"/>
      <c r="M662" s="84"/>
    </row>
    <row r="663" ht="14.25" customHeight="1">
      <c r="G663" s="84"/>
      <c r="J663" s="84"/>
      <c r="M663" s="84"/>
    </row>
    <row r="664" ht="14.25" customHeight="1">
      <c r="G664" s="84"/>
      <c r="J664" s="84"/>
      <c r="M664" s="84"/>
    </row>
    <row r="665" ht="14.25" customHeight="1">
      <c r="G665" s="84"/>
      <c r="J665" s="84"/>
      <c r="M665" s="84"/>
    </row>
    <row r="666" ht="14.25" customHeight="1">
      <c r="G666" s="84"/>
      <c r="J666" s="84"/>
      <c r="M666" s="84"/>
    </row>
    <row r="667" ht="14.25" customHeight="1">
      <c r="G667" s="84"/>
      <c r="J667" s="84"/>
      <c r="M667" s="84"/>
    </row>
    <row r="668" ht="14.25" customHeight="1">
      <c r="G668" s="84"/>
      <c r="J668" s="84"/>
      <c r="M668" s="84"/>
    </row>
    <row r="669" ht="14.25" customHeight="1">
      <c r="G669" s="84"/>
      <c r="J669" s="84"/>
      <c r="M669" s="84"/>
    </row>
    <row r="670" ht="14.25" customHeight="1">
      <c r="G670" s="84"/>
      <c r="J670" s="84"/>
      <c r="M670" s="84"/>
    </row>
    <row r="671" ht="14.25" customHeight="1">
      <c r="G671" s="84"/>
      <c r="J671" s="84"/>
      <c r="M671" s="84"/>
    </row>
    <row r="672" ht="14.25" customHeight="1">
      <c r="G672" s="84"/>
      <c r="J672" s="84"/>
      <c r="M672" s="84"/>
    </row>
    <row r="673" ht="14.25" customHeight="1">
      <c r="G673" s="84"/>
      <c r="J673" s="84"/>
      <c r="M673" s="84"/>
    </row>
    <row r="674" ht="14.25" customHeight="1">
      <c r="G674" s="84"/>
      <c r="J674" s="84"/>
      <c r="M674" s="84"/>
    </row>
    <row r="675" ht="14.25" customHeight="1">
      <c r="G675" s="84"/>
      <c r="J675" s="84"/>
      <c r="M675" s="84"/>
    </row>
    <row r="676" ht="14.25" customHeight="1">
      <c r="G676" s="84"/>
      <c r="J676" s="84"/>
      <c r="M676" s="84"/>
    </row>
    <row r="677" ht="14.25" customHeight="1">
      <c r="G677" s="84"/>
      <c r="J677" s="84"/>
      <c r="M677" s="84"/>
    </row>
    <row r="678" ht="14.25" customHeight="1">
      <c r="G678" s="84"/>
      <c r="J678" s="84"/>
      <c r="M678" s="84"/>
    </row>
    <row r="679" ht="14.25" customHeight="1">
      <c r="G679" s="84"/>
      <c r="J679" s="84"/>
      <c r="M679" s="84"/>
    </row>
    <row r="680" ht="14.25" customHeight="1">
      <c r="G680" s="84"/>
      <c r="J680" s="84"/>
      <c r="M680" s="84"/>
    </row>
    <row r="681" ht="14.25" customHeight="1">
      <c r="G681" s="84"/>
      <c r="J681" s="84"/>
      <c r="M681" s="84"/>
    </row>
    <row r="682" ht="14.25" customHeight="1">
      <c r="G682" s="84"/>
      <c r="J682" s="84"/>
      <c r="M682" s="84"/>
    </row>
    <row r="683" ht="14.25" customHeight="1">
      <c r="G683" s="84"/>
      <c r="J683" s="84"/>
      <c r="M683" s="84"/>
    </row>
    <row r="684" ht="14.25" customHeight="1">
      <c r="G684" s="84"/>
      <c r="J684" s="84"/>
      <c r="M684" s="84"/>
    </row>
    <row r="685" ht="14.25" customHeight="1">
      <c r="G685" s="84"/>
      <c r="J685" s="84"/>
      <c r="M685" s="84"/>
    </row>
    <row r="686" ht="14.25" customHeight="1">
      <c r="G686" s="84"/>
      <c r="J686" s="84"/>
      <c r="M686" s="84"/>
    </row>
    <row r="687" ht="14.25" customHeight="1">
      <c r="G687" s="84"/>
      <c r="J687" s="84"/>
      <c r="M687" s="84"/>
    </row>
    <row r="688" ht="14.25" customHeight="1">
      <c r="G688" s="84"/>
      <c r="J688" s="84"/>
      <c r="M688" s="84"/>
    </row>
    <row r="689" ht="14.25" customHeight="1">
      <c r="G689" s="84"/>
      <c r="J689" s="84"/>
      <c r="M689" s="84"/>
    </row>
    <row r="690" ht="14.25" customHeight="1">
      <c r="G690" s="84"/>
      <c r="J690" s="84"/>
      <c r="M690" s="84"/>
    </row>
    <row r="691" ht="14.25" customHeight="1">
      <c r="G691" s="84"/>
      <c r="J691" s="84"/>
      <c r="M691" s="84"/>
    </row>
    <row r="692" ht="14.25" customHeight="1">
      <c r="G692" s="84"/>
      <c r="J692" s="84"/>
      <c r="M692" s="84"/>
    </row>
    <row r="693" ht="14.25" customHeight="1">
      <c r="G693" s="84"/>
      <c r="J693" s="84"/>
      <c r="M693" s="84"/>
    </row>
    <row r="694" ht="14.25" customHeight="1">
      <c r="G694" s="84"/>
      <c r="J694" s="84"/>
      <c r="M694" s="84"/>
    </row>
    <row r="695" ht="14.25" customHeight="1">
      <c r="G695" s="84"/>
      <c r="J695" s="84"/>
      <c r="M695" s="84"/>
    </row>
    <row r="696" ht="14.25" customHeight="1">
      <c r="G696" s="84"/>
      <c r="J696" s="84"/>
      <c r="M696" s="84"/>
    </row>
    <row r="697" ht="14.25" customHeight="1">
      <c r="G697" s="84"/>
      <c r="J697" s="84"/>
      <c r="M697" s="84"/>
    </row>
    <row r="698" ht="14.25" customHeight="1">
      <c r="G698" s="84"/>
      <c r="J698" s="84"/>
      <c r="M698" s="84"/>
    </row>
    <row r="699" ht="14.25" customHeight="1">
      <c r="G699" s="84"/>
      <c r="J699" s="84"/>
      <c r="M699" s="84"/>
    </row>
    <row r="700" ht="14.25" customHeight="1">
      <c r="G700" s="84"/>
      <c r="J700" s="84"/>
      <c r="M700" s="84"/>
    </row>
    <row r="701" ht="14.25" customHeight="1">
      <c r="G701" s="84"/>
      <c r="J701" s="84"/>
      <c r="M701" s="84"/>
    </row>
    <row r="702" ht="14.25" customHeight="1">
      <c r="G702" s="84"/>
      <c r="J702" s="84"/>
      <c r="M702" s="84"/>
    </row>
    <row r="703" ht="14.25" customHeight="1">
      <c r="G703" s="84"/>
      <c r="J703" s="84"/>
      <c r="M703" s="84"/>
    </row>
    <row r="704" ht="14.25" customHeight="1">
      <c r="G704" s="84"/>
      <c r="J704" s="84"/>
      <c r="M704" s="84"/>
    </row>
    <row r="705" ht="14.25" customHeight="1">
      <c r="G705" s="84"/>
      <c r="J705" s="84"/>
      <c r="M705" s="84"/>
    </row>
    <row r="706" ht="14.25" customHeight="1">
      <c r="G706" s="84"/>
      <c r="J706" s="84"/>
      <c r="M706" s="84"/>
    </row>
    <row r="707" ht="14.25" customHeight="1">
      <c r="G707" s="84"/>
      <c r="J707" s="84"/>
      <c r="M707" s="84"/>
    </row>
    <row r="708" ht="14.25" customHeight="1">
      <c r="G708" s="84"/>
      <c r="J708" s="84"/>
      <c r="M708" s="84"/>
    </row>
    <row r="709" ht="14.25" customHeight="1">
      <c r="G709" s="84"/>
      <c r="J709" s="84"/>
      <c r="M709" s="84"/>
    </row>
    <row r="710" ht="14.25" customHeight="1">
      <c r="G710" s="84"/>
      <c r="J710" s="84"/>
      <c r="M710" s="84"/>
    </row>
    <row r="711" ht="14.25" customHeight="1">
      <c r="G711" s="84"/>
      <c r="J711" s="84"/>
      <c r="M711" s="84"/>
    </row>
    <row r="712" ht="14.25" customHeight="1">
      <c r="G712" s="84"/>
      <c r="J712" s="84"/>
      <c r="M712" s="84"/>
    </row>
    <row r="713" ht="14.25" customHeight="1">
      <c r="G713" s="84"/>
      <c r="J713" s="84"/>
      <c r="M713" s="84"/>
    </row>
    <row r="714" ht="14.25" customHeight="1">
      <c r="G714" s="84"/>
      <c r="J714" s="84"/>
      <c r="M714" s="84"/>
    </row>
    <row r="715" ht="14.25" customHeight="1">
      <c r="G715" s="84"/>
      <c r="J715" s="84"/>
      <c r="M715" s="84"/>
    </row>
    <row r="716" ht="14.25" customHeight="1">
      <c r="G716" s="84"/>
      <c r="J716" s="84"/>
      <c r="M716" s="84"/>
    </row>
    <row r="717" ht="14.25" customHeight="1">
      <c r="G717" s="84"/>
      <c r="J717" s="84"/>
      <c r="M717" s="84"/>
    </row>
    <row r="718" ht="14.25" customHeight="1">
      <c r="G718" s="84"/>
      <c r="J718" s="84"/>
      <c r="M718" s="84"/>
    </row>
    <row r="719" ht="14.25" customHeight="1">
      <c r="G719" s="84"/>
      <c r="J719" s="84"/>
      <c r="M719" s="84"/>
    </row>
    <row r="720" ht="14.25" customHeight="1">
      <c r="G720" s="84"/>
      <c r="J720" s="84"/>
      <c r="M720" s="84"/>
    </row>
    <row r="721" ht="14.25" customHeight="1">
      <c r="G721" s="84"/>
      <c r="J721" s="84"/>
      <c r="M721" s="84"/>
    </row>
    <row r="722" ht="14.25" customHeight="1">
      <c r="G722" s="84"/>
      <c r="J722" s="84"/>
      <c r="M722" s="84"/>
    </row>
    <row r="723" ht="14.25" customHeight="1">
      <c r="G723" s="84"/>
      <c r="J723" s="84"/>
      <c r="M723" s="84"/>
    </row>
    <row r="724" ht="14.25" customHeight="1">
      <c r="G724" s="84"/>
      <c r="J724" s="84"/>
      <c r="M724" s="84"/>
    </row>
    <row r="725" ht="14.25" customHeight="1">
      <c r="G725" s="84"/>
      <c r="J725" s="84"/>
      <c r="M725" s="84"/>
    </row>
    <row r="726" ht="14.25" customHeight="1">
      <c r="G726" s="84"/>
      <c r="J726" s="84"/>
      <c r="M726" s="84"/>
    </row>
    <row r="727" ht="14.25" customHeight="1">
      <c r="G727" s="84"/>
      <c r="J727" s="84"/>
      <c r="M727" s="84"/>
    </row>
    <row r="728" ht="14.25" customHeight="1">
      <c r="G728" s="84"/>
      <c r="J728" s="84"/>
      <c r="M728" s="84"/>
    </row>
    <row r="729" ht="14.25" customHeight="1">
      <c r="G729" s="84"/>
      <c r="J729" s="84"/>
      <c r="M729" s="84"/>
    </row>
    <row r="730" ht="14.25" customHeight="1">
      <c r="G730" s="84"/>
      <c r="J730" s="84"/>
      <c r="M730" s="84"/>
    </row>
    <row r="731" ht="14.25" customHeight="1">
      <c r="G731" s="84"/>
      <c r="J731" s="84"/>
      <c r="M731" s="84"/>
    </row>
    <row r="732" ht="14.25" customHeight="1">
      <c r="G732" s="84"/>
      <c r="J732" s="84"/>
      <c r="M732" s="84"/>
    </row>
    <row r="733" ht="14.25" customHeight="1">
      <c r="G733" s="84"/>
      <c r="J733" s="84"/>
      <c r="M733" s="84"/>
    </row>
    <row r="734" ht="14.25" customHeight="1">
      <c r="G734" s="84"/>
      <c r="J734" s="84"/>
      <c r="M734" s="84"/>
    </row>
    <row r="735" ht="14.25" customHeight="1">
      <c r="G735" s="84"/>
      <c r="J735" s="84"/>
      <c r="M735" s="84"/>
    </row>
    <row r="736" ht="14.25" customHeight="1">
      <c r="G736" s="84"/>
      <c r="J736" s="84"/>
      <c r="M736" s="84"/>
    </row>
    <row r="737" ht="14.25" customHeight="1">
      <c r="G737" s="84"/>
      <c r="J737" s="84"/>
      <c r="M737" s="84"/>
    </row>
    <row r="738" ht="14.25" customHeight="1">
      <c r="G738" s="84"/>
      <c r="J738" s="84"/>
      <c r="M738" s="84"/>
    </row>
    <row r="739" ht="14.25" customHeight="1">
      <c r="G739" s="84"/>
      <c r="J739" s="84"/>
      <c r="M739" s="84"/>
    </row>
    <row r="740" ht="14.25" customHeight="1">
      <c r="G740" s="84"/>
      <c r="J740" s="84"/>
      <c r="M740" s="84"/>
    </row>
    <row r="741" ht="14.25" customHeight="1">
      <c r="G741" s="84"/>
      <c r="J741" s="84"/>
      <c r="M741" s="84"/>
    </row>
    <row r="742" ht="14.25" customHeight="1">
      <c r="G742" s="84"/>
      <c r="J742" s="84"/>
      <c r="M742" s="84"/>
    </row>
    <row r="743" ht="14.25" customHeight="1">
      <c r="G743" s="84"/>
      <c r="J743" s="84"/>
      <c r="M743" s="84"/>
    </row>
    <row r="744" ht="14.25" customHeight="1">
      <c r="G744" s="84"/>
      <c r="J744" s="84"/>
      <c r="M744" s="84"/>
    </row>
    <row r="745" ht="14.25" customHeight="1">
      <c r="G745" s="84"/>
      <c r="J745" s="84"/>
      <c r="M745" s="84"/>
    </row>
    <row r="746" ht="14.25" customHeight="1">
      <c r="G746" s="84"/>
      <c r="J746" s="84"/>
      <c r="M746" s="84"/>
    </row>
    <row r="747" ht="14.25" customHeight="1">
      <c r="G747" s="84"/>
      <c r="J747" s="84"/>
      <c r="M747" s="84"/>
    </row>
    <row r="748" ht="14.25" customHeight="1">
      <c r="G748" s="84"/>
      <c r="J748" s="84"/>
      <c r="M748" s="84"/>
    </row>
    <row r="749" ht="14.25" customHeight="1">
      <c r="G749" s="84"/>
      <c r="J749" s="84"/>
      <c r="M749" s="84"/>
    </row>
    <row r="750" ht="14.25" customHeight="1">
      <c r="G750" s="84"/>
      <c r="J750" s="84"/>
      <c r="M750" s="84"/>
    </row>
    <row r="751" ht="14.25" customHeight="1">
      <c r="G751" s="84"/>
      <c r="J751" s="84"/>
      <c r="M751" s="84"/>
    </row>
    <row r="752" ht="14.25" customHeight="1">
      <c r="G752" s="84"/>
      <c r="J752" s="84"/>
      <c r="M752" s="84"/>
    </row>
    <row r="753" ht="14.25" customHeight="1">
      <c r="G753" s="84"/>
      <c r="J753" s="84"/>
      <c r="M753" s="84"/>
    </row>
    <row r="754" ht="14.25" customHeight="1">
      <c r="G754" s="84"/>
      <c r="J754" s="84"/>
      <c r="M754" s="84"/>
    </row>
    <row r="755" ht="14.25" customHeight="1">
      <c r="G755" s="84"/>
      <c r="J755" s="84"/>
      <c r="M755" s="84"/>
    </row>
    <row r="756" ht="14.25" customHeight="1">
      <c r="G756" s="84"/>
      <c r="J756" s="84"/>
      <c r="M756" s="84"/>
    </row>
    <row r="757" ht="14.25" customHeight="1">
      <c r="G757" s="84"/>
      <c r="J757" s="84"/>
      <c r="M757" s="84"/>
    </row>
    <row r="758" ht="14.25" customHeight="1">
      <c r="G758" s="84"/>
      <c r="J758" s="84"/>
      <c r="M758" s="84"/>
    </row>
    <row r="759" ht="14.25" customHeight="1">
      <c r="G759" s="84"/>
      <c r="J759" s="84"/>
      <c r="M759" s="84"/>
    </row>
    <row r="760" ht="14.25" customHeight="1">
      <c r="G760" s="84"/>
      <c r="J760" s="84"/>
      <c r="M760" s="84"/>
    </row>
    <row r="761" ht="14.25" customHeight="1">
      <c r="G761" s="84"/>
      <c r="J761" s="84"/>
      <c r="M761" s="84"/>
    </row>
    <row r="762" ht="14.25" customHeight="1">
      <c r="G762" s="84"/>
      <c r="J762" s="84"/>
      <c r="M762" s="84"/>
    </row>
    <row r="763" ht="14.25" customHeight="1">
      <c r="G763" s="84"/>
      <c r="J763" s="84"/>
      <c r="M763" s="84"/>
    </row>
    <row r="764" ht="14.25" customHeight="1">
      <c r="G764" s="84"/>
      <c r="J764" s="84"/>
      <c r="M764" s="84"/>
    </row>
    <row r="765" ht="14.25" customHeight="1">
      <c r="G765" s="84"/>
      <c r="J765" s="84"/>
      <c r="M765" s="84"/>
    </row>
    <row r="766" ht="14.25" customHeight="1">
      <c r="G766" s="84"/>
      <c r="J766" s="84"/>
      <c r="M766" s="84"/>
    </row>
    <row r="767" ht="14.25" customHeight="1">
      <c r="G767" s="84"/>
      <c r="J767" s="84"/>
      <c r="M767" s="84"/>
    </row>
    <row r="768" ht="14.25" customHeight="1">
      <c r="G768" s="84"/>
      <c r="J768" s="84"/>
      <c r="M768" s="84"/>
    </row>
    <row r="769" ht="14.25" customHeight="1">
      <c r="G769" s="84"/>
      <c r="J769" s="84"/>
      <c r="M769" s="84"/>
    </row>
    <row r="770" ht="14.25" customHeight="1">
      <c r="G770" s="84"/>
      <c r="J770" s="84"/>
      <c r="M770" s="84"/>
    </row>
    <row r="771" ht="14.25" customHeight="1">
      <c r="G771" s="84"/>
      <c r="J771" s="84"/>
      <c r="M771" s="84"/>
    </row>
    <row r="772" ht="14.25" customHeight="1">
      <c r="G772" s="84"/>
      <c r="J772" s="84"/>
      <c r="M772" s="84"/>
    </row>
    <row r="773" ht="14.25" customHeight="1">
      <c r="G773" s="84"/>
      <c r="J773" s="84"/>
      <c r="M773" s="84"/>
    </row>
    <row r="774" ht="14.25" customHeight="1">
      <c r="G774" s="84"/>
      <c r="J774" s="84"/>
      <c r="M774" s="84"/>
    </row>
    <row r="775" ht="14.25" customHeight="1">
      <c r="G775" s="84"/>
      <c r="J775" s="84"/>
      <c r="M775" s="84"/>
    </row>
    <row r="776" ht="14.25" customHeight="1">
      <c r="G776" s="84"/>
      <c r="J776" s="84"/>
      <c r="M776" s="84"/>
    </row>
    <row r="777" ht="14.25" customHeight="1">
      <c r="G777" s="84"/>
      <c r="J777" s="84"/>
      <c r="M777" s="84"/>
    </row>
    <row r="778" ht="14.25" customHeight="1">
      <c r="G778" s="84"/>
      <c r="J778" s="84"/>
      <c r="M778" s="84"/>
    </row>
    <row r="779" ht="14.25" customHeight="1">
      <c r="G779" s="84"/>
      <c r="J779" s="84"/>
      <c r="M779" s="84"/>
    </row>
    <row r="780" ht="14.25" customHeight="1">
      <c r="G780" s="84"/>
      <c r="J780" s="84"/>
      <c r="M780" s="84"/>
    </row>
    <row r="781" ht="14.25" customHeight="1">
      <c r="G781" s="84"/>
      <c r="J781" s="84"/>
      <c r="M781" s="84"/>
    </row>
    <row r="782" ht="14.25" customHeight="1">
      <c r="G782" s="84"/>
      <c r="J782" s="84"/>
      <c r="M782" s="84"/>
    </row>
    <row r="783" ht="14.25" customHeight="1">
      <c r="G783" s="84"/>
      <c r="J783" s="84"/>
      <c r="M783" s="84"/>
    </row>
    <row r="784" ht="14.25" customHeight="1">
      <c r="G784" s="84"/>
      <c r="J784" s="84"/>
      <c r="M784" s="84"/>
    </row>
    <row r="785" ht="14.25" customHeight="1">
      <c r="G785" s="84"/>
      <c r="J785" s="84"/>
      <c r="M785" s="84"/>
    </row>
    <row r="786" ht="14.25" customHeight="1">
      <c r="G786" s="84"/>
      <c r="J786" s="84"/>
      <c r="M786" s="84"/>
    </row>
    <row r="787" ht="14.25" customHeight="1">
      <c r="G787" s="84"/>
      <c r="J787" s="84"/>
      <c r="M787" s="84"/>
    </row>
    <row r="788" ht="14.25" customHeight="1">
      <c r="G788" s="84"/>
      <c r="J788" s="84"/>
      <c r="M788" s="84"/>
    </row>
    <row r="789" ht="14.25" customHeight="1">
      <c r="G789" s="84"/>
      <c r="J789" s="84"/>
      <c r="M789" s="84"/>
    </row>
    <row r="790" ht="14.25" customHeight="1">
      <c r="G790" s="84"/>
      <c r="J790" s="84"/>
      <c r="M790" s="84"/>
    </row>
    <row r="791" ht="14.25" customHeight="1">
      <c r="G791" s="84"/>
      <c r="J791" s="84"/>
      <c r="M791" s="84"/>
    </row>
    <row r="792" ht="14.25" customHeight="1">
      <c r="G792" s="84"/>
      <c r="J792" s="84"/>
      <c r="M792" s="84"/>
    </row>
    <row r="793" ht="14.25" customHeight="1">
      <c r="G793" s="84"/>
      <c r="J793" s="84"/>
      <c r="M793" s="84"/>
    </row>
    <row r="794" ht="14.25" customHeight="1">
      <c r="G794" s="84"/>
      <c r="J794" s="84"/>
      <c r="M794" s="84"/>
    </row>
    <row r="795" ht="14.25" customHeight="1">
      <c r="G795" s="84"/>
      <c r="J795" s="84"/>
      <c r="M795" s="84"/>
    </row>
    <row r="796" ht="14.25" customHeight="1">
      <c r="G796" s="84"/>
      <c r="J796" s="84"/>
      <c r="M796" s="84"/>
    </row>
    <row r="797" ht="14.25" customHeight="1">
      <c r="G797" s="84"/>
      <c r="J797" s="84"/>
      <c r="M797" s="84"/>
    </row>
    <row r="798" ht="14.25" customHeight="1">
      <c r="G798" s="84"/>
      <c r="J798" s="84"/>
      <c r="M798" s="84"/>
    </row>
    <row r="799" ht="14.25" customHeight="1">
      <c r="G799" s="84"/>
      <c r="J799" s="84"/>
      <c r="M799" s="84"/>
    </row>
    <row r="800" ht="14.25" customHeight="1">
      <c r="G800" s="84"/>
      <c r="J800" s="84"/>
      <c r="M800" s="84"/>
    </row>
    <row r="801" ht="14.25" customHeight="1">
      <c r="G801" s="84"/>
      <c r="J801" s="84"/>
      <c r="M801" s="84"/>
    </row>
    <row r="802" ht="14.25" customHeight="1">
      <c r="G802" s="84"/>
      <c r="J802" s="84"/>
      <c r="M802" s="84"/>
    </row>
    <row r="803" ht="14.25" customHeight="1">
      <c r="G803" s="84"/>
      <c r="J803" s="84"/>
      <c r="M803" s="84"/>
    </row>
    <row r="804" ht="14.25" customHeight="1">
      <c r="G804" s="84"/>
      <c r="J804" s="84"/>
      <c r="M804" s="84"/>
    </row>
    <row r="805" ht="14.25" customHeight="1">
      <c r="G805" s="84"/>
      <c r="J805" s="84"/>
      <c r="M805" s="84"/>
    </row>
    <row r="806" ht="14.25" customHeight="1">
      <c r="G806" s="84"/>
      <c r="J806" s="84"/>
      <c r="M806" s="84"/>
    </row>
    <row r="807" ht="14.25" customHeight="1">
      <c r="G807" s="84"/>
      <c r="J807" s="84"/>
      <c r="M807" s="84"/>
    </row>
    <row r="808" ht="14.25" customHeight="1">
      <c r="G808" s="84"/>
      <c r="J808" s="84"/>
      <c r="M808" s="84"/>
    </row>
    <row r="809" ht="14.25" customHeight="1">
      <c r="G809" s="84"/>
      <c r="J809" s="84"/>
      <c r="M809" s="84"/>
    </row>
    <row r="810" ht="14.25" customHeight="1">
      <c r="G810" s="84"/>
      <c r="J810" s="84"/>
      <c r="M810" s="84"/>
    </row>
    <row r="811" ht="14.25" customHeight="1">
      <c r="G811" s="84"/>
      <c r="J811" s="84"/>
      <c r="M811" s="84"/>
    </row>
    <row r="812" ht="14.25" customHeight="1">
      <c r="G812" s="84"/>
      <c r="J812" s="84"/>
      <c r="M812" s="84"/>
    </row>
    <row r="813" ht="14.25" customHeight="1">
      <c r="G813" s="84"/>
      <c r="J813" s="84"/>
      <c r="M813" s="84"/>
    </row>
    <row r="814" ht="14.25" customHeight="1">
      <c r="G814" s="84"/>
      <c r="J814" s="84"/>
      <c r="M814" s="84"/>
    </row>
    <row r="815" ht="14.25" customHeight="1">
      <c r="G815" s="84"/>
      <c r="J815" s="84"/>
      <c r="M815" s="84"/>
    </row>
    <row r="816" ht="14.25" customHeight="1">
      <c r="G816" s="84"/>
      <c r="J816" s="84"/>
      <c r="M816" s="84"/>
    </row>
    <row r="817" ht="14.25" customHeight="1">
      <c r="G817" s="84"/>
      <c r="J817" s="84"/>
      <c r="M817" s="84"/>
    </row>
    <row r="818" ht="14.25" customHeight="1">
      <c r="G818" s="84"/>
      <c r="J818" s="84"/>
      <c r="M818" s="84"/>
    </row>
    <row r="819" ht="14.25" customHeight="1">
      <c r="G819" s="84"/>
      <c r="J819" s="84"/>
      <c r="M819" s="84"/>
    </row>
    <row r="820" ht="14.25" customHeight="1">
      <c r="G820" s="84"/>
      <c r="J820" s="84"/>
      <c r="M820" s="84"/>
    </row>
    <row r="821" ht="14.25" customHeight="1">
      <c r="G821" s="84"/>
      <c r="J821" s="84"/>
      <c r="M821" s="84"/>
    </row>
    <row r="822" ht="14.25" customHeight="1">
      <c r="G822" s="84"/>
      <c r="J822" s="84"/>
      <c r="M822" s="84"/>
    </row>
    <row r="823" ht="14.25" customHeight="1">
      <c r="G823" s="84"/>
      <c r="J823" s="84"/>
      <c r="M823" s="84"/>
    </row>
    <row r="824" ht="14.25" customHeight="1">
      <c r="G824" s="84"/>
      <c r="J824" s="84"/>
      <c r="M824" s="84"/>
    </row>
    <row r="825" ht="14.25" customHeight="1">
      <c r="G825" s="84"/>
      <c r="J825" s="84"/>
      <c r="M825" s="84"/>
    </row>
    <row r="826" ht="14.25" customHeight="1">
      <c r="G826" s="84"/>
      <c r="J826" s="84"/>
      <c r="M826" s="84"/>
    </row>
    <row r="827" ht="14.25" customHeight="1">
      <c r="G827" s="84"/>
      <c r="J827" s="84"/>
      <c r="M827" s="84"/>
    </row>
    <row r="828" ht="14.25" customHeight="1">
      <c r="G828" s="84"/>
      <c r="J828" s="84"/>
      <c r="M828" s="84"/>
    </row>
    <row r="829" ht="14.25" customHeight="1">
      <c r="G829" s="84"/>
      <c r="J829" s="84"/>
      <c r="M829" s="84"/>
    </row>
    <row r="830" ht="14.25" customHeight="1">
      <c r="G830" s="84"/>
      <c r="J830" s="84"/>
      <c r="M830" s="84"/>
    </row>
    <row r="831" ht="14.25" customHeight="1">
      <c r="G831" s="84"/>
      <c r="J831" s="84"/>
      <c r="M831" s="84"/>
    </row>
    <row r="832" ht="14.25" customHeight="1">
      <c r="G832" s="84"/>
      <c r="J832" s="84"/>
      <c r="M832" s="84"/>
    </row>
    <row r="833" ht="14.25" customHeight="1">
      <c r="G833" s="84"/>
      <c r="J833" s="84"/>
      <c r="M833" s="84"/>
    </row>
    <row r="834" ht="14.25" customHeight="1">
      <c r="G834" s="84"/>
      <c r="J834" s="84"/>
      <c r="M834" s="84"/>
    </row>
    <row r="835" ht="14.25" customHeight="1">
      <c r="G835" s="84"/>
      <c r="J835" s="84"/>
      <c r="M835" s="84"/>
    </row>
    <row r="836" ht="14.25" customHeight="1">
      <c r="G836" s="84"/>
      <c r="J836" s="84"/>
      <c r="M836" s="84"/>
    </row>
    <row r="837" ht="14.25" customHeight="1">
      <c r="G837" s="84"/>
      <c r="J837" s="84"/>
      <c r="M837" s="84"/>
    </row>
    <row r="838" ht="14.25" customHeight="1">
      <c r="G838" s="84"/>
      <c r="J838" s="84"/>
      <c r="M838" s="84"/>
    </row>
    <row r="839" ht="14.25" customHeight="1">
      <c r="G839" s="84"/>
      <c r="J839" s="84"/>
      <c r="M839" s="84"/>
    </row>
    <row r="840" ht="14.25" customHeight="1">
      <c r="G840" s="84"/>
      <c r="J840" s="84"/>
      <c r="M840" s="84"/>
    </row>
    <row r="841" ht="14.25" customHeight="1">
      <c r="G841" s="84"/>
      <c r="J841" s="84"/>
      <c r="M841" s="84"/>
    </row>
    <row r="842" ht="14.25" customHeight="1">
      <c r="G842" s="84"/>
      <c r="J842" s="84"/>
      <c r="M842" s="84"/>
    </row>
    <row r="843" ht="14.25" customHeight="1">
      <c r="G843" s="84"/>
      <c r="J843" s="84"/>
      <c r="M843" s="84"/>
    </row>
    <row r="844" ht="14.25" customHeight="1">
      <c r="G844" s="84"/>
      <c r="J844" s="84"/>
      <c r="M844" s="84"/>
    </row>
    <row r="845" ht="14.25" customHeight="1">
      <c r="G845" s="84"/>
      <c r="J845" s="84"/>
      <c r="M845" s="84"/>
    </row>
    <row r="846" ht="14.25" customHeight="1">
      <c r="G846" s="84"/>
      <c r="J846" s="84"/>
      <c r="M846" s="84"/>
    </row>
    <row r="847" ht="14.25" customHeight="1">
      <c r="G847" s="84"/>
      <c r="J847" s="84"/>
      <c r="M847" s="84"/>
    </row>
    <row r="848" ht="14.25" customHeight="1">
      <c r="G848" s="84"/>
      <c r="J848" s="84"/>
      <c r="M848" s="84"/>
    </row>
    <row r="849" ht="14.25" customHeight="1">
      <c r="G849" s="84"/>
      <c r="J849" s="84"/>
      <c r="M849" s="84"/>
    </row>
    <row r="850" ht="14.25" customHeight="1">
      <c r="G850" s="84"/>
      <c r="J850" s="84"/>
      <c r="M850" s="84"/>
    </row>
    <row r="851" ht="14.25" customHeight="1">
      <c r="G851" s="84"/>
      <c r="J851" s="84"/>
      <c r="M851" s="84"/>
    </row>
    <row r="852" ht="14.25" customHeight="1">
      <c r="G852" s="84"/>
      <c r="J852" s="84"/>
      <c r="M852" s="84"/>
    </row>
    <row r="853" ht="14.25" customHeight="1">
      <c r="G853" s="84"/>
      <c r="J853" s="84"/>
      <c r="M853" s="84"/>
    </row>
    <row r="854" ht="14.25" customHeight="1">
      <c r="G854" s="84"/>
      <c r="J854" s="84"/>
      <c r="M854" s="84"/>
    </row>
    <row r="855" ht="14.25" customHeight="1">
      <c r="G855" s="84"/>
      <c r="J855" s="84"/>
      <c r="M855" s="84"/>
    </row>
    <row r="856" ht="14.25" customHeight="1">
      <c r="G856" s="84"/>
      <c r="J856" s="84"/>
      <c r="M856" s="84"/>
    </row>
    <row r="857" ht="14.25" customHeight="1">
      <c r="G857" s="84"/>
      <c r="J857" s="84"/>
      <c r="M857" s="84"/>
    </row>
    <row r="858" ht="14.25" customHeight="1">
      <c r="G858" s="84"/>
      <c r="J858" s="84"/>
      <c r="M858" s="84"/>
    </row>
    <row r="859" ht="14.25" customHeight="1">
      <c r="G859" s="84"/>
      <c r="J859" s="84"/>
      <c r="M859" s="84"/>
    </row>
    <row r="860" ht="14.25" customHeight="1">
      <c r="G860" s="84"/>
      <c r="J860" s="84"/>
      <c r="M860" s="84"/>
    </row>
    <row r="861" ht="14.25" customHeight="1">
      <c r="G861" s="84"/>
      <c r="J861" s="84"/>
      <c r="M861" s="84"/>
    </row>
    <row r="862" ht="14.25" customHeight="1">
      <c r="G862" s="84"/>
      <c r="J862" s="84"/>
      <c r="M862" s="84"/>
    </row>
    <row r="863" ht="14.25" customHeight="1">
      <c r="G863" s="84"/>
      <c r="J863" s="84"/>
      <c r="M863" s="84"/>
    </row>
    <row r="864" ht="14.25" customHeight="1">
      <c r="G864" s="84"/>
      <c r="J864" s="84"/>
      <c r="M864" s="84"/>
    </row>
    <row r="865" ht="14.25" customHeight="1">
      <c r="G865" s="84"/>
      <c r="J865" s="84"/>
      <c r="M865" s="84"/>
    </row>
    <row r="866" ht="14.25" customHeight="1">
      <c r="G866" s="84"/>
      <c r="J866" s="84"/>
      <c r="M866" s="84"/>
    </row>
    <row r="867" ht="14.25" customHeight="1">
      <c r="G867" s="84"/>
      <c r="J867" s="84"/>
      <c r="M867" s="84"/>
    </row>
    <row r="868" ht="14.25" customHeight="1">
      <c r="G868" s="84"/>
      <c r="J868" s="84"/>
      <c r="M868" s="84"/>
    </row>
    <row r="869" ht="14.25" customHeight="1">
      <c r="G869" s="84"/>
      <c r="J869" s="84"/>
      <c r="M869" s="84"/>
    </row>
    <row r="870" ht="14.25" customHeight="1">
      <c r="G870" s="84"/>
      <c r="J870" s="84"/>
      <c r="M870" s="84"/>
    </row>
    <row r="871" ht="14.25" customHeight="1">
      <c r="G871" s="84"/>
      <c r="J871" s="84"/>
      <c r="M871" s="84"/>
    </row>
    <row r="872" ht="14.25" customHeight="1">
      <c r="G872" s="84"/>
      <c r="J872" s="84"/>
      <c r="M872" s="84"/>
    </row>
    <row r="873" ht="14.25" customHeight="1">
      <c r="G873" s="84"/>
      <c r="J873" s="84"/>
      <c r="M873" s="84"/>
    </row>
    <row r="874" ht="14.25" customHeight="1">
      <c r="G874" s="84"/>
      <c r="J874" s="84"/>
      <c r="M874" s="84"/>
    </row>
    <row r="875" ht="14.25" customHeight="1">
      <c r="G875" s="84"/>
      <c r="J875" s="84"/>
      <c r="M875" s="84"/>
    </row>
    <row r="876" ht="14.25" customHeight="1">
      <c r="G876" s="84"/>
      <c r="J876" s="84"/>
      <c r="M876" s="84"/>
    </row>
    <row r="877" ht="14.25" customHeight="1">
      <c r="G877" s="84"/>
      <c r="J877" s="84"/>
      <c r="M877" s="84"/>
    </row>
    <row r="878" ht="14.25" customHeight="1">
      <c r="G878" s="84"/>
      <c r="J878" s="84"/>
      <c r="M878" s="84"/>
    </row>
    <row r="879" ht="14.25" customHeight="1">
      <c r="G879" s="84"/>
      <c r="J879" s="84"/>
      <c r="M879" s="84"/>
    </row>
    <row r="880" ht="14.25" customHeight="1">
      <c r="G880" s="84"/>
      <c r="J880" s="84"/>
      <c r="M880" s="84"/>
    </row>
    <row r="881" ht="14.25" customHeight="1">
      <c r="G881" s="84"/>
      <c r="J881" s="84"/>
      <c r="M881" s="84"/>
    </row>
    <row r="882" ht="14.25" customHeight="1">
      <c r="G882" s="84"/>
      <c r="J882" s="84"/>
      <c r="M882" s="84"/>
    </row>
    <row r="883" ht="14.25" customHeight="1">
      <c r="G883" s="84"/>
      <c r="J883" s="84"/>
      <c r="M883" s="84"/>
    </row>
    <row r="884" ht="14.25" customHeight="1">
      <c r="G884" s="84"/>
      <c r="J884" s="84"/>
      <c r="M884" s="84"/>
    </row>
    <row r="885" ht="14.25" customHeight="1">
      <c r="G885" s="84"/>
      <c r="J885" s="84"/>
      <c r="M885" s="84"/>
    </row>
    <row r="886" ht="14.25" customHeight="1">
      <c r="G886" s="84"/>
      <c r="J886" s="84"/>
      <c r="M886" s="84"/>
    </row>
    <row r="887" ht="14.25" customHeight="1">
      <c r="G887" s="84"/>
      <c r="J887" s="84"/>
      <c r="M887" s="84"/>
    </row>
    <row r="888" ht="14.25" customHeight="1">
      <c r="G888" s="84"/>
      <c r="J888" s="84"/>
      <c r="M888" s="84"/>
    </row>
    <row r="889" ht="14.25" customHeight="1">
      <c r="G889" s="84"/>
      <c r="J889" s="84"/>
      <c r="M889" s="84"/>
    </row>
    <row r="890" ht="14.25" customHeight="1">
      <c r="G890" s="84"/>
      <c r="J890" s="84"/>
      <c r="M890" s="84"/>
    </row>
    <row r="891" ht="14.25" customHeight="1">
      <c r="G891" s="84"/>
      <c r="J891" s="84"/>
      <c r="M891" s="84"/>
    </row>
    <row r="892" ht="14.25" customHeight="1">
      <c r="G892" s="84"/>
      <c r="J892" s="84"/>
      <c r="M892" s="84"/>
    </row>
    <row r="893" ht="14.25" customHeight="1">
      <c r="G893" s="84"/>
      <c r="J893" s="84"/>
      <c r="M893" s="84"/>
    </row>
    <row r="894" ht="14.25" customHeight="1">
      <c r="G894" s="84"/>
      <c r="J894" s="84"/>
      <c r="M894" s="84"/>
    </row>
    <row r="895" ht="14.25" customHeight="1">
      <c r="G895" s="84"/>
      <c r="J895" s="84"/>
      <c r="M895" s="84"/>
    </row>
    <row r="896" ht="14.25" customHeight="1">
      <c r="G896" s="84"/>
      <c r="J896" s="84"/>
      <c r="M896" s="84"/>
    </row>
    <row r="897" ht="14.25" customHeight="1">
      <c r="G897" s="84"/>
      <c r="J897" s="84"/>
      <c r="M897" s="84"/>
    </row>
    <row r="898" ht="14.25" customHeight="1">
      <c r="G898" s="84"/>
      <c r="J898" s="84"/>
      <c r="M898" s="84"/>
    </row>
    <row r="899" ht="14.25" customHeight="1">
      <c r="G899" s="84"/>
      <c r="J899" s="84"/>
      <c r="M899" s="84"/>
    </row>
    <row r="900" ht="14.25" customHeight="1">
      <c r="G900" s="84"/>
      <c r="J900" s="84"/>
      <c r="M900" s="84"/>
    </row>
    <row r="901" ht="14.25" customHeight="1">
      <c r="G901" s="84"/>
      <c r="J901" s="84"/>
      <c r="M901" s="84"/>
    </row>
    <row r="902" ht="14.25" customHeight="1">
      <c r="G902" s="84"/>
      <c r="J902" s="84"/>
      <c r="M902" s="84"/>
    </row>
    <row r="903" ht="14.25" customHeight="1">
      <c r="G903" s="84"/>
      <c r="J903" s="84"/>
      <c r="M903" s="84"/>
    </row>
    <row r="904" ht="14.25" customHeight="1">
      <c r="G904" s="84"/>
      <c r="J904" s="84"/>
      <c r="M904" s="84"/>
    </row>
    <row r="905" ht="14.25" customHeight="1">
      <c r="G905" s="84"/>
      <c r="J905" s="84"/>
      <c r="M905" s="84"/>
    </row>
    <row r="906" ht="14.25" customHeight="1">
      <c r="G906" s="84"/>
      <c r="J906" s="84"/>
      <c r="M906" s="84"/>
    </row>
    <row r="907" ht="14.25" customHeight="1">
      <c r="G907" s="84"/>
      <c r="J907" s="84"/>
      <c r="M907" s="84"/>
    </row>
    <row r="908" ht="14.25" customHeight="1">
      <c r="G908" s="84"/>
      <c r="J908" s="84"/>
      <c r="M908" s="84"/>
    </row>
    <row r="909" ht="14.25" customHeight="1">
      <c r="G909" s="84"/>
      <c r="J909" s="84"/>
      <c r="M909" s="84"/>
    </row>
    <row r="910" ht="14.25" customHeight="1">
      <c r="G910" s="84"/>
      <c r="J910" s="84"/>
      <c r="M910" s="84"/>
    </row>
    <row r="911" ht="14.25" customHeight="1">
      <c r="G911" s="84"/>
      <c r="J911" s="84"/>
      <c r="M911" s="84"/>
    </row>
    <row r="912" ht="14.25" customHeight="1">
      <c r="G912" s="84"/>
      <c r="J912" s="84"/>
      <c r="M912" s="84"/>
    </row>
    <row r="913" ht="14.25" customHeight="1">
      <c r="G913" s="84"/>
      <c r="J913" s="84"/>
      <c r="M913" s="84"/>
    </row>
    <row r="914" ht="14.25" customHeight="1">
      <c r="G914" s="84"/>
      <c r="J914" s="84"/>
      <c r="M914" s="84"/>
    </row>
    <row r="915" ht="14.25" customHeight="1">
      <c r="G915" s="84"/>
      <c r="J915" s="84"/>
      <c r="M915" s="84"/>
    </row>
    <row r="916" ht="14.25" customHeight="1">
      <c r="G916" s="84"/>
      <c r="J916" s="84"/>
      <c r="M916" s="84"/>
    </row>
    <row r="917" ht="14.25" customHeight="1">
      <c r="G917" s="84"/>
      <c r="J917" s="84"/>
      <c r="M917" s="84"/>
    </row>
    <row r="918" ht="14.25" customHeight="1">
      <c r="G918" s="84"/>
      <c r="J918" s="84"/>
      <c r="M918" s="84"/>
    </row>
    <row r="919" ht="14.25" customHeight="1">
      <c r="G919" s="84"/>
      <c r="J919" s="84"/>
      <c r="M919" s="84"/>
    </row>
    <row r="920" ht="14.25" customHeight="1">
      <c r="G920" s="84"/>
      <c r="J920" s="84"/>
      <c r="M920" s="84"/>
    </row>
    <row r="921" ht="14.25" customHeight="1">
      <c r="G921" s="84"/>
      <c r="J921" s="84"/>
      <c r="M921" s="84"/>
    </row>
    <row r="922" ht="14.25" customHeight="1">
      <c r="G922" s="84"/>
      <c r="J922" s="84"/>
      <c r="M922" s="84"/>
    </row>
    <row r="923" ht="14.25" customHeight="1">
      <c r="G923" s="84"/>
      <c r="J923" s="84"/>
      <c r="M923" s="84"/>
    </row>
    <row r="924" ht="14.25" customHeight="1">
      <c r="G924" s="84"/>
      <c r="J924" s="84"/>
      <c r="M924" s="84"/>
    </row>
    <row r="925" ht="14.25" customHeight="1">
      <c r="G925" s="84"/>
      <c r="J925" s="84"/>
      <c r="M925" s="84"/>
    </row>
    <row r="926" ht="14.25" customHeight="1">
      <c r="G926" s="84"/>
      <c r="J926" s="84"/>
      <c r="M926" s="84"/>
    </row>
    <row r="927" ht="14.25" customHeight="1">
      <c r="G927" s="84"/>
      <c r="J927" s="84"/>
      <c r="M927" s="84"/>
    </row>
    <row r="928" ht="14.25" customHeight="1">
      <c r="G928" s="84"/>
      <c r="J928" s="84"/>
      <c r="M928" s="84"/>
    </row>
    <row r="929" ht="14.25" customHeight="1">
      <c r="G929" s="84"/>
      <c r="J929" s="84"/>
      <c r="M929" s="84"/>
    </row>
    <row r="930" ht="14.25" customHeight="1">
      <c r="G930" s="84"/>
      <c r="J930" s="84"/>
      <c r="M930" s="84"/>
    </row>
    <row r="931" ht="14.25" customHeight="1">
      <c r="G931" s="84"/>
      <c r="J931" s="84"/>
      <c r="M931" s="84"/>
    </row>
    <row r="932" ht="14.25" customHeight="1">
      <c r="G932" s="84"/>
      <c r="J932" s="84"/>
      <c r="M932" s="84"/>
    </row>
    <row r="933" ht="14.25" customHeight="1">
      <c r="G933" s="84"/>
      <c r="J933" s="84"/>
      <c r="M933" s="84"/>
    </row>
    <row r="934" ht="14.25" customHeight="1">
      <c r="G934" s="84"/>
      <c r="J934" s="84"/>
      <c r="M934" s="84"/>
    </row>
    <row r="935" ht="14.25" customHeight="1">
      <c r="G935" s="84"/>
      <c r="J935" s="84"/>
      <c r="M935" s="84"/>
    </row>
    <row r="936" ht="14.25" customHeight="1">
      <c r="G936" s="84"/>
      <c r="J936" s="84"/>
      <c r="M936" s="84"/>
    </row>
    <row r="937" ht="14.25" customHeight="1">
      <c r="G937" s="84"/>
      <c r="J937" s="84"/>
      <c r="M937" s="84"/>
    </row>
    <row r="938" ht="14.25" customHeight="1">
      <c r="G938" s="84"/>
      <c r="J938" s="84"/>
      <c r="M938" s="84"/>
    </row>
    <row r="939" ht="14.25" customHeight="1">
      <c r="G939" s="84"/>
      <c r="J939" s="84"/>
      <c r="M939" s="84"/>
    </row>
    <row r="940" ht="14.25" customHeight="1">
      <c r="G940" s="84"/>
      <c r="J940" s="84"/>
      <c r="M940" s="84"/>
    </row>
    <row r="941" ht="14.25" customHeight="1">
      <c r="G941" s="84"/>
      <c r="J941" s="84"/>
      <c r="M941" s="84"/>
    </row>
    <row r="942" ht="14.25" customHeight="1">
      <c r="G942" s="84"/>
      <c r="J942" s="84"/>
      <c r="M942" s="84"/>
    </row>
    <row r="943" ht="14.25" customHeight="1">
      <c r="G943" s="84"/>
      <c r="J943" s="84"/>
      <c r="M943" s="84"/>
    </row>
    <row r="944" ht="14.25" customHeight="1">
      <c r="G944" s="84"/>
      <c r="J944" s="84"/>
      <c r="M944" s="84"/>
    </row>
    <row r="945" ht="14.25" customHeight="1">
      <c r="G945" s="84"/>
      <c r="J945" s="84"/>
      <c r="M945" s="84"/>
    </row>
    <row r="946" ht="14.25" customHeight="1">
      <c r="G946" s="84"/>
      <c r="J946" s="84"/>
      <c r="M946" s="84"/>
    </row>
    <row r="947" ht="14.25" customHeight="1">
      <c r="G947" s="84"/>
      <c r="J947" s="84"/>
      <c r="M947" s="84"/>
    </row>
    <row r="948" ht="14.25" customHeight="1">
      <c r="G948" s="84"/>
      <c r="J948" s="84"/>
      <c r="M948" s="84"/>
    </row>
    <row r="949" ht="14.25" customHeight="1">
      <c r="G949" s="84"/>
      <c r="J949" s="84"/>
      <c r="M949" s="84"/>
    </row>
    <row r="950" ht="14.25" customHeight="1">
      <c r="G950" s="84"/>
      <c r="J950" s="84"/>
      <c r="M950" s="84"/>
    </row>
    <row r="951" ht="14.25" customHeight="1">
      <c r="G951" s="84"/>
      <c r="J951" s="84"/>
      <c r="M951" s="84"/>
    </row>
    <row r="952" ht="14.25" customHeight="1">
      <c r="G952" s="84"/>
      <c r="J952" s="84"/>
      <c r="M952" s="84"/>
    </row>
    <row r="953" ht="14.25" customHeight="1">
      <c r="G953" s="84"/>
      <c r="J953" s="84"/>
      <c r="M953" s="84"/>
    </row>
    <row r="954" ht="14.25" customHeight="1">
      <c r="G954" s="84"/>
      <c r="J954" s="84"/>
      <c r="M954" s="84"/>
    </row>
    <row r="955" ht="14.25" customHeight="1">
      <c r="G955" s="84"/>
      <c r="J955" s="84"/>
      <c r="M955" s="84"/>
    </row>
    <row r="956" ht="14.25" customHeight="1">
      <c r="G956" s="84"/>
      <c r="J956" s="84"/>
      <c r="M956" s="84"/>
    </row>
    <row r="957" ht="14.25" customHeight="1">
      <c r="G957" s="84"/>
      <c r="J957" s="84"/>
      <c r="M957" s="84"/>
    </row>
    <row r="958" ht="14.25" customHeight="1">
      <c r="G958" s="84"/>
      <c r="J958" s="84"/>
      <c r="M958" s="84"/>
    </row>
    <row r="959" ht="14.25" customHeight="1">
      <c r="G959" s="84"/>
      <c r="J959" s="84"/>
      <c r="M959" s="84"/>
    </row>
    <row r="960" ht="14.25" customHeight="1">
      <c r="G960" s="84"/>
      <c r="J960" s="84"/>
      <c r="M960" s="84"/>
    </row>
    <row r="961" ht="14.25" customHeight="1">
      <c r="G961" s="84"/>
      <c r="J961" s="84"/>
      <c r="M961" s="84"/>
    </row>
    <row r="962" ht="14.25" customHeight="1">
      <c r="G962" s="84"/>
      <c r="J962" s="84"/>
      <c r="M962" s="84"/>
    </row>
    <row r="963" ht="14.25" customHeight="1">
      <c r="G963" s="84"/>
      <c r="J963" s="84"/>
      <c r="M963" s="84"/>
    </row>
    <row r="964" ht="14.25" customHeight="1">
      <c r="G964" s="84"/>
      <c r="J964" s="84"/>
      <c r="M964" s="84"/>
    </row>
    <row r="965" ht="14.25" customHeight="1">
      <c r="G965" s="84"/>
      <c r="J965" s="84"/>
      <c r="M965" s="84"/>
    </row>
    <row r="966" ht="14.25" customHeight="1">
      <c r="G966" s="84"/>
      <c r="J966" s="84"/>
      <c r="M966" s="84"/>
    </row>
    <row r="967" ht="14.25" customHeight="1">
      <c r="G967" s="84"/>
      <c r="J967" s="84"/>
      <c r="M967" s="84"/>
    </row>
    <row r="968" ht="14.25" customHeight="1">
      <c r="G968" s="84"/>
      <c r="J968" s="84"/>
      <c r="M968" s="84"/>
    </row>
    <row r="969" ht="14.25" customHeight="1">
      <c r="G969" s="84"/>
      <c r="J969" s="84"/>
      <c r="M969" s="84"/>
    </row>
    <row r="970" ht="14.25" customHeight="1">
      <c r="G970" s="84"/>
      <c r="J970" s="84"/>
      <c r="M970" s="84"/>
    </row>
    <row r="971" ht="14.25" customHeight="1">
      <c r="G971" s="84"/>
      <c r="J971" s="84"/>
      <c r="M971" s="84"/>
    </row>
    <row r="972" ht="14.25" customHeight="1">
      <c r="G972" s="84"/>
      <c r="J972" s="84"/>
      <c r="M972" s="84"/>
    </row>
    <row r="973" ht="14.25" customHeight="1">
      <c r="G973" s="84"/>
      <c r="J973" s="84"/>
      <c r="M973" s="84"/>
    </row>
    <row r="974" ht="14.25" customHeight="1">
      <c r="G974" s="84"/>
      <c r="J974" s="84"/>
      <c r="M974" s="84"/>
    </row>
    <row r="975" ht="14.25" customHeight="1">
      <c r="G975" s="84"/>
      <c r="J975" s="84"/>
      <c r="M975" s="84"/>
    </row>
    <row r="976" ht="14.25" customHeight="1">
      <c r="G976" s="84"/>
      <c r="J976" s="84"/>
      <c r="M976" s="84"/>
    </row>
    <row r="977" ht="14.25" customHeight="1">
      <c r="G977" s="84"/>
      <c r="J977" s="84"/>
      <c r="M977" s="84"/>
    </row>
    <row r="978" ht="14.25" customHeight="1">
      <c r="G978" s="84"/>
      <c r="J978" s="84"/>
      <c r="M978" s="84"/>
    </row>
    <row r="979" ht="14.25" customHeight="1">
      <c r="G979" s="84"/>
      <c r="J979" s="84"/>
      <c r="M979" s="84"/>
    </row>
    <row r="980" ht="14.25" customHeight="1">
      <c r="G980" s="84"/>
      <c r="J980" s="84"/>
      <c r="M980" s="84"/>
    </row>
    <row r="981" ht="14.25" customHeight="1">
      <c r="G981" s="84"/>
      <c r="J981" s="84"/>
      <c r="M981" s="84"/>
    </row>
    <row r="982" ht="14.25" customHeight="1">
      <c r="G982" s="84"/>
      <c r="J982" s="84"/>
      <c r="M982" s="84"/>
    </row>
    <row r="983" ht="14.25" customHeight="1">
      <c r="G983" s="84"/>
      <c r="J983" s="84"/>
      <c r="M983" s="84"/>
    </row>
    <row r="984" ht="14.25" customHeight="1">
      <c r="G984" s="84"/>
      <c r="J984" s="84"/>
      <c r="M984" s="84"/>
    </row>
    <row r="985" ht="14.25" customHeight="1">
      <c r="G985" s="84"/>
      <c r="J985" s="84"/>
      <c r="M985" s="84"/>
    </row>
    <row r="986" ht="14.25" customHeight="1">
      <c r="G986" s="84"/>
      <c r="J986" s="84"/>
      <c r="M986" s="84"/>
    </row>
    <row r="987" ht="14.25" customHeight="1">
      <c r="G987" s="84"/>
      <c r="J987" s="84"/>
      <c r="M987" s="84"/>
    </row>
    <row r="988" ht="14.25" customHeight="1">
      <c r="G988" s="84"/>
      <c r="J988" s="84"/>
      <c r="M988" s="84"/>
    </row>
    <row r="989" ht="14.25" customHeight="1">
      <c r="G989" s="84"/>
      <c r="J989" s="84"/>
      <c r="M989" s="84"/>
    </row>
    <row r="990" ht="14.25" customHeight="1">
      <c r="G990" s="84"/>
      <c r="J990" s="84"/>
      <c r="M990" s="84"/>
    </row>
    <row r="991" ht="14.25" customHeight="1">
      <c r="G991" s="84"/>
      <c r="J991" s="84"/>
      <c r="M991" s="84"/>
    </row>
    <row r="992" ht="14.25" customHeight="1">
      <c r="G992" s="84"/>
      <c r="J992" s="84"/>
      <c r="M992" s="84"/>
    </row>
    <row r="993" ht="14.25" customHeight="1">
      <c r="G993" s="84"/>
      <c r="J993" s="84"/>
      <c r="M993" s="84"/>
    </row>
    <row r="994" ht="14.25" customHeight="1">
      <c r="G994" s="84"/>
      <c r="J994" s="84"/>
      <c r="M994" s="84"/>
    </row>
    <row r="995" ht="14.25" customHeight="1">
      <c r="G995" s="84"/>
      <c r="J995" s="84"/>
      <c r="M995" s="84"/>
    </row>
    <row r="996" ht="14.25" customHeight="1">
      <c r="G996" s="84"/>
      <c r="J996" s="84"/>
      <c r="M996" s="84"/>
    </row>
    <row r="997" ht="14.25" customHeight="1">
      <c r="G997" s="84"/>
      <c r="J997" s="84"/>
      <c r="M997" s="84"/>
    </row>
    <row r="998" ht="14.25" customHeight="1">
      <c r="G998" s="84"/>
      <c r="J998" s="84"/>
      <c r="M998" s="84"/>
    </row>
    <row r="999" ht="14.25" customHeight="1">
      <c r="G999" s="84"/>
      <c r="J999" s="84"/>
      <c r="M999" s="84"/>
    </row>
    <row r="1000" ht="14.25" customHeight="1">
      <c r="G1000" s="84"/>
      <c r="J1000" s="84"/>
      <c r="M1000" s="84"/>
    </row>
  </sheetData>
  <mergeCells count="244">
    <mergeCell ref="B31:C31"/>
    <mergeCell ref="B32:C32"/>
    <mergeCell ref="E32:F32"/>
    <mergeCell ref="H32:I32"/>
    <mergeCell ref="B33:C33"/>
    <mergeCell ref="H33:I33"/>
    <mergeCell ref="H34:I34"/>
    <mergeCell ref="B34:C34"/>
    <mergeCell ref="B35:C35"/>
    <mergeCell ref="B36:C36"/>
    <mergeCell ref="B37:C37"/>
    <mergeCell ref="B38:C38"/>
    <mergeCell ref="B39:C39"/>
    <mergeCell ref="H41:I41"/>
    <mergeCell ref="N26:O26"/>
    <mergeCell ref="N27:O27"/>
    <mergeCell ref="B28:C28"/>
    <mergeCell ref="H28:I28"/>
    <mergeCell ref="N28:O28"/>
    <mergeCell ref="B29:C29"/>
    <mergeCell ref="H29:I29"/>
    <mergeCell ref="N29:O29"/>
    <mergeCell ref="E28:F28"/>
    <mergeCell ref="E29:F29"/>
    <mergeCell ref="B30:C30"/>
    <mergeCell ref="E30:F30"/>
    <mergeCell ref="H30:I30"/>
    <mergeCell ref="E31:F31"/>
    <mergeCell ref="H31:I31"/>
    <mergeCell ref="K28:L28"/>
    <mergeCell ref="K29:L29"/>
    <mergeCell ref="K30:L30"/>
    <mergeCell ref="N30:O30"/>
    <mergeCell ref="K31:L31"/>
    <mergeCell ref="N31:O31"/>
    <mergeCell ref="N32:O32"/>
    <mergeCell ref="R37:R38"/>
    <mergeCell ref="R40:R41"/>
    <mergeCell ref="R42:R43"/>
    <mergeCell ref="N41:O41"/>
    <mergeCell ref="N42:O42"/>
    <mergeCell ref="N43:O43"/>
    <mergeCell ref="N44:O44"/>
    <mergeCell ref="N45:O45"/>
    <mergeCell ref="N46:O46"/>
    <mergeCell ref="N47:O47"/>
    <mergeCell ref="N33:O33"/>
    <mergeCell ref="N34:O34"/>
    <mergeCell ref="R35:R36"/>
    <mergeCell ref="N37:O37"/>
    <mergeCell ref="N38:O38"/>
    <mergeCell ref="N39:O39"/>
    <mergeCell ref="N40:O40"/>
    <mergeCell ref="E41:F41"/>
    <mergeCell ref="E43:F43"/>
    <mergeCell ref="H43:I43"/>
    <mergeCell ref="K43:L43"/>
    <mergeCell ref="E45:F45"/>
    <mergeCell ref="H45:I45"/>
    <mergeCell ref="K45:L45"/>
    <mergeCell ref="E55:F55"/>
    <mergeCell ref="E56:F56"/>
    <mergeCell ref="E57:F57"/>
    <mergeCell ref="AC59:AF59"/>
    <mergeCell ref="AG59:AJ59"/>
    <mergeCell ref="AK59:AN59"/>
    <mergeCell ref="AC81:AL81"/>
    <mergeCell ref="E52:F52"/>
    <mergeCell ref="E53:F53"/>
    <mergeCell ref="H53:I53"/>
    <mergeCell ref="E54:F54"/>
    <mergeCell ref="H54:I54"/>
    <mergeCell ref="H55:I55"/>
    <mergeCell ref="H56:I56"/>
    <mergeCell ref="H48:I48"/>
    <mergeCell ref="K48:L48"/>
    <mergeCell ref="N48:O48"/>
    <mergeCell ref="H49:I49"/>
    <mergeCell ref="K49:L49"/>
    <mergeCell ref="N49:O49"/>
    <mergeCell ref="B50:C50"/>
    <mergeCell ref="E50:F50"/>
    <mergeCell ref="H50:I50"/>
    <mergeCell ref="K50:L50"/>
    <mergeCell ref="N50:O50"/>
    <mergeCell ref="B45:C45"/>
    <mergeCell ref="B46:C46"/>
    <mergeCell ref="E46:F46"/>
    <mergeCell ref="H46:I46"/>
    <mergeCell ref="K46:L46"/>
    <mergeCell ref="B48:C48"/>
    <mergeCell ref="B49:C49"/>
    <mergeCell ref="E48:F48"/>
    <mergeCell ref="E49:F49"/>
    <mergeCell ref="E51:F51"/>
    <mergeCell ref="H51:I51"/>
    <mergeCell ref="N51:O51"/>
    <mergeCell ref="H52:I52"/>
    <mergeCell ref="N52:O52"/>
    <mergeCell ref="B56:C56"/>
    <mergeCell ref="B57:C57"/>
    <mergeCell ref="B60:C60"/>
    <mergeCell ref="B63:C63"/>
    <mergeCell ref="B64:C64"/>
    <mergeCell ref="H57:I57"/>
    <mergeCell ref="K57:L57"/>
    <mergeCell ref="N57:O57"/>
    <mergeCell ref="H18:I18"/>
    <mergeCell ref="H19:I19"/>
    <mergeCell ref="H23:I23"/>
    <mergeCell ref="H24:I24"/>
    <mergeCell ref="H25:I25"/>
    <mergeCell ref="H26:I26"/>
    <mergeCell ref="H27:I27"/>
    <mergeCell ref="H8:I8"/>
    <mergeCell ref="H9:I9"/>
    <mergeCell ref="H11:I11"/>
    <mergeCell ref="H14:I14"/>
    <mergeCell ref="H15:I15"/>
    <mergeCell ref="H16:I16"/>
    <mergeCell ref="H17:I17"/>
    <mergeCell ref="E22:F22"/>
    <mergeCell ref="E23:F23"/>
    <mergeCell ref="E24:F24"/>
    <mergeCell ref="E25:F25"/>
    <mergeCell ref="E26:F26"/>
    <mergeCell ref="E27:F27"/>
    <mergeCell ref="E15:F15"/>
    <mergeCell ref="E16:F16"/>
    <mergeCell ref="E17:F17"/>
    <mergeCell ref="E18:F18"/>
    <mergeCell ref="E19:F19"/>
    <mergeCell ref="E20:F20"/>
    <mergeCell ref="E21:F21"/>
    <mergeCell ref="N23:O23"/>
    <mergeCell ref="N24:O24"/>
    <mergeCell ref="N16:O16"/>
    <mergeCell ref="N17:O17"/>
    <mergeCell ref="N18:O18"/>
    <mergeCell ref="N19:O19"/>
    <mergeCell ref="N20:O20"/>
    <mergeCell ref="N21:O21"/>
    <mergeCell ref="N22:O22"/>
    <mergeCell ref="E2:F2"/>
    <mergeCell ref="N2:O2"/>
    <mergeCell ref="E3:F3"/>
    <mergeCell ref="E7:F7"/>
    <mergeCell ref="H7:I7"/>
    <mergeCell ref="K7:L7"/>
    <mergeCell ref="N7:O7"/>
    <mergeCell ref="B7:C7"/>
    <mergeCell ref="B8:C8"/>
    <mergeCell ref="E8:F8"/>
    <mergeCell ref="K8:L8"/>
    <mergeCell ref="B9:C9"/>
    <mergeCell ref="B10:C10"/>
    <mergeCell ref="H10:I10"/>
    <mergeCell ref="E9:F9"/>
    <mergeCell ref="E10:F10"/>
    <mergeCell ref="E11:F11"/>
    <mergeCell ref="B12:C12"/>
    <mergeCell ref="B13:C13"/>
    <mergeCell ref="B14:C14"/>
    <mergeCell ref="E14:F14"/>
    <mergeCell ref="N8:O8"/>
    <mergeCell ref="N9:O9"/>
    <mergeCell ref="N10:O10"/>
    <mergeCell ref="N11:O11"/>
    <mergeCell ref="N14:O14"/>
    <mergeCell ref="N15:O15"/>
    <mergeCell ref="R15:R16"/>
    <mergeCell ref="K9:L9"/>
    <mergeCell ref="K10:L10"/>
    <mergeCell ref="K11:L11"/>
    <mergeCell ref="K14:L14"/>
    <mergeCell ref="K15:L15"/>
    <mergeCell ref="K16:L16"/>
    <mergeCell ref="K17:L17"/>
    <mergeCell ref="K18:L18"/>
    <mergeCell ref="K19:L19"/>
    <mergeCell ref="H20:I20"/>
    <mergeCell ref="K20:L20"/>
    <mergeCell ref="H21:I21"/>
    <mergeCell ref="K21:L21"/>
    <mergeCell ref="H22:I22"/>
    <mergeCell ref="K22:L22"/>
    <mergeCell ref="K23:L23"/>
    <mergeCell ref="K24:L24"/>
    <mergeCell ref="K25:L25"/>
    <mergeCell ref="N25:O25"/>
    <mergeCell ref="K26:L26"/>
    <mergeCell ref="K27:L27"/>
    <mergeCell ref="H38:I38"/>
    <mergeCell ref="H39:I39"/>
    <mergeCell ref="E33:F33"/>
    <mergeCell ref="E34:F34"/>
    <mergeCell ref="E36:F36"/>
    <mergeCell ref="E37:F37"/>
    <mergeCell ref="H37:I37"/>
    <mergeCell ref="E38:F38"/>
    <mergeCell ref="E39:F39"/>
    <mergeCell ref="E40:F40"/>
    <mergeCell ref="H40:I40"/>
    <mergeCell ref="E42:F42"/>
    <mergeCell ref="H42:I42"/>
    <mergeCell ref="E44:F44"/>
    <mergeCell ref="H44:I44"/>
    <mergeCell ref="H47:I47"/>
    <mergeCell ref="B119:E119"/>
    <mergeCell ref="C120:E120"/>
    <mergeCell ref="C121:E121"/>
    <mergeCell ref="C122:E122"/>
    <mergeCell ref="C130:N130"/>
    <mergeCell ref="C131:N131"/>
    <mergeCell ref="C132:N132"/>
    <mergeCell ref="C133:N133"/>
    <mergeCell ref="E47:F47"/>
    <mergeCell ref="B72:C72"/>
    <mergeCell ref="B114:N114"/>
    <mergeCell ref="B116:E116"/>
    <mergeCell ref="B117:E117"/>
    <mergeCell ref="H117:K117"/>
    <mergeCell ref="B118:E118"/>
    <mergeCell ref="K41:L41"/>
    <mergeCell ref="K42:L42"/>
    <mergeCell ref="K44:L44"/>
    <mergeCell ref="K47:L47"/>
    <mergeCell ref="K32:L32"/>
    <mergeCell ref="K33:L33"/>
    <mergeCell ref="K34:L34"/>
    <mergeCell ref="K37:L37"/>
    <mergeCell ref="K38:L38"/>
    <mergeCell ref="K39:L39"/>
    <mergeCell ref="K40:L40"/>
    <mergeCell ref="K55:L55"/>
    <mergeCell ref="K56:L56"/>
    <mergeCell ref="K51:L51"/>
    <mergeCell ref="K52:L52"/>
    <mergeCell ref="K53:L53"/>
    <mergeCell ref="N53:O53"/>
    <mergeCell ref="K54:L54"/>
    <mergeCell ref="N54:O54"/>
    <mergeCell ref="N55:O55"/>
    <mergeCell ref="N56:O56"/>
  </mergeCells>
  <conditionalFormatting sqref="B120:C121">
    <cfRule type="expression" dxfId="0" priority="1">
      <formula>$C$120&lt;&gt;$C$121</formula>
    </cfRule>
  </conditionalFormatting>
  <conditionalFormatting sqref="E2:E3">
    <cfRule type="expression" dxfId="1" priority="2">
      <formula>$C$3&lt;&gt;"Custom"</formula>
    </cfRule>
  </conditionalFormatting>
  <conditionalFormatting sqref="E12 H12 K12 N12">
    <cfRule type="expression" dxfId="2" priority="3">
      <formula>OR(NOT(OR(E$12=E$108,E$12=E$109,E$12=E$110)),AND(OR(ISBLANK(E$12),E$12=""),E$7&lt;&gt;"Nobody"))</formula>
    </cfRule>
  </conditionalFormatting>
  <conditionalFormatting sqref="E13 H13 K13 N13">
    <cfRule type="expression" dxfId="2" priority="4">
      <formula>OR(NOT(OR(E$13=E$108,E$13=E$109,E$13=E$110,ISBLANK(E$13),E$13="")),E$13=E$12)</formula>
    </cfRule>
  </conditionalFormatting>
  <conditionalFormatting sqref="E14 H14 K14 N14">
    <cfRule type="expression" dxfId="2" priority="5" stopIfTrue="1">
      <formula>AND(SUM(E$15:F$26)&gt;0,NOT(ISBLANK(E$14)))</formula>
    </cfRule>
  </conditionalFormatting>
  <conditionalFormatting sqref="E19:E22">
    <cfRule type="expression" dxfId="3" priority="6">
      <formula>ISBLANK(E$13)</formula>
    </cfRule>
  </conditionalFormatting>
  <conditionalFormatting sqref="E27 H27 K27 N27">
    <cfRule type="expression" dxfId="2" priority="7" stopIfTrue="1">
      <formula>AND(SUM(E$15:F$26)&gt;0,NOT(ISBLANK(E$27)))</formula>
    </cfRule>
  </conditionalFormatting>
  <conditionalFormatting sqref="E30 H30 K30 N30">
    <cfRule type="expression" dxfId="2" priority="8">
      <formula>$E$30+$H$30+$K$30+$N$30&lt;&gt;1</formula>
    </cfRule>
  </conditionalFormatting>
  <conditionalFormatting sqref="E31 H31 K31 N31">
    <cfRule type="expression" dxfId="2" priority="9">
      <formula>OR(AND(E31&lt;10, $C$5="Flexible"), AND(E31&gt;=10, $C$5="Fixed"))</formula>
    </cfRule>
  </conditionalFormatting>
  <conditionalFormatting sqref="E9:F11 H9:I11 K9:L11 N9:O11">
    <cfRule type="expression" dxfId="1" priority="10">
      <formula>OR(E9=0,E9="0")</formula>
    </cfRule>
  </conditionalFormatting>
  <conditionalFormatting sqref="E12:F18 E19:E22 E23:F31 H12:I18 H19:H22 H23:I31 K12:L18 K19:K22 K23:L31 N12:O18 N19:N22 N23:O31">
    <cfRule type="expression" dxfId="2" priority="11" stopIfTrue="1">
      <formula>E$59=ROW(E12)</formula>
    </cfRule>
  </conditionalFormatting>
  <conditionalFormatting sqref="E14:F14 E27:F27 H14:I14 H27:I27 K14:L14 K27:L27 N14:O14 N27:O27">
    <cfRule type="expression" dxfId="1" priority="12" stopIfTrue="1">
      <formula>SUM(E$15:F$26)&gt;0</formula>
    </cfRule>
  </conditionalFormatting>
  <conditionalFormatting sqref="E23:F26">
    <cfRule type="expression" dxfId="3" priority="13">
      <formula>E$28=0</formula>
    </cfRule>
  </conditionalFormatting>
  <conditionalFormatting sqref="F12:F13 I12:I13 L12:L13 O12:O13">
    <cfRule type="expression" dxfId="2" priority="14">
      <formula>AND(OR(ISBLANK(E12),E12=""),F12&gt;0)</formula>
    </cfRule>
  </conditionalFormatting>
  <conditionalFormatting sqref="H19:H22">
    <cfRule type="expression" dxfId="3" priority="15">
      <formula>ISBLANK(H$13)</formula>
    </cfRule>
  </conditionalFormatting>
  <conditionalFormatting sqref="H2:I2">
    <cfRule type="expression" dxfId="4" priority="16">
      <formula>AND(COUNTIF($E$36:$N$36, "Electro") &gt;= 2, OR(COUNTIF($E$36:$N$36, "Pyro") &gt;= 1, COUNTIF($E$36:$N$36, "Dendro") &gt;= 1, COUNTIF($E$36:$N$36, "Hydro") &gt;= 1, COUNTIF($E$36:$N$36, "Cryo") &gt;= 1))</formula>
    </cfRule>
  </conditionalFormatting>
  <conditionalFormatting sqref="H23:I26">
    <cfRule type="expression" dxfId="3" priority="17">
      <formula>H$28=0</formula>
    </cfRule>
  </conditionalFormatting>
  <conditionalFormatting sqref="H117:K121">
    <cfRule type="expression" dxfId="5" priority="18">
      <formula>OR($E$7="Raiden",$H$7="Raiden",$K$7="Raiden",$N$7="Raiden")</formula>
    </cfRule>
  </conditionalFormatting>
  <conditionalFormatting sqref="K19:K22">
    <cfRule type="expression" dxfId="3" priority="19">
      <formula>ISBLANK(K$13)</formula>
    </cfRule>
  </conditionalFormatting>
  <conditionalFormatting sqref="K23:L26">
    <cfRule type="expression" dxfId="3" priority="20">
      <formula>K$28=0</formula>
    </cfRule>
  </conditionalFormatting>
  <conditionalFormatting sqref="N2">
    <cfRule type="expression" dxfId="6" priority="21">
      <formula>AND(COUNTIF($E$36:$N$36, "Electro") &gt;= 2, OR(COUNTIF($E$36:$N$36, "Pyro") &gt;= 1, COUNTIF($E$36:$N$36, "Dendro") &gt;= 1, COUNTIF($E$36:$N$36, "Hydro") &gt;= 1, COUNTIF($E$36:$N$36, "Cryo") &gt;= 1))</formula>
    </cfRule>
  </conditionalFormatting>
  <conditionalFormatting sqref="N19:N22">
    <cfRule type="expression" dxfId="3" priority="22">
      <formula>ISBLANK(N$13)</formula>
    </cfRule>
  </conditionalFormatting>
  <conditionalFormatting sqref="N23:O26">
    <cfRule type="expression" dxfId="3" priority="23">
      <formula>N$28=0</formula>
    </cfRule>
  </conditionalFormatting>
  <conditionalFormatting sqref="R37:R38">
    <cfRule type="expression" dxfId="2" priority="24">
      <formula>$H$59&gt;0</formula>
    </cfRule>
  </conditionalFormatting>
  <conditionalFormatting sqref="R40:R41">
    <cfRule type="expression" dxfId="2" priority="25">
      <formula>$K$59&gt;0</formula>
    </cfRule>
  </conditionalFormatting>
  <conditionalFormatting sqref="R42:R43">
    <cfRule type="expression" dxfId="2" priority="26">
      <formula>$N$59&gt;0</formula>
    </cfRule>
  </conditionalFormatting>
  <conditionalFormatting sqref="R35:AN35 R36:R43 R47 S36:AN48 AM82:AN83 AO1:AS112">
    <cfRule type="expression" dxfId="2" priority="27">
      <formula>$E$59&gt;0</formula>
    </cfRule>
  </conditionalFormatting>
  <dataValidations>
    <dataValidation type="list" allowBlank="1" showErrorMessage="1" sqref="G14 J14 M14">
      <formula1>$AO$11:$AO$110</formula1>
    </dataValidation>
    <dataValidation type="list" allowBlank="1" showErrorMessage="1" sqref="H14">
      <formula1>$AP$11:$AP$27</formula1>
    </dataValidation>
    <dataValidation type="list" allowBlank="1" showErrorMessage="1" sqref="C5">
      <formula1>$AO$5:$AO$6</formula1>
    </dataValidation>
    <dataValidation type="list" allowBlank="1" sqref="E14">
      <formula1>$AO$11:$AO$14</formula1>
    </dataValidation>
    <dataValidation type="list" allowBlank="1" sqref="E13 H13 K13 N13">
      <formula1>E$107:E$110</formula1>
    </dataValidation>
    <dataValidation type="list" allowBlank="1" showErrorMessage="1" sqref="E7 G7:H7 J7:K7 M7:N7">
      <formula1>Data!$A$2:$A$75</formula1>
    </dataValidation>
    <dataValidation type="decimal" allowBlank="1" showErrorMessage="1" sqref="K119">
      <formula1>1.0</formula1>
      <formula2>13.0</formula2>
    </dataValidation>
    <dataValidation type="list" allowBlank="1" sqref="C4">
      <formula1>$AO$1:$AO$3</formula1>
    </dataValidation>
    <dataValidation type="list" allowBlank="1" sqref="C3">
      <formula1>'Enemy Particles'!$A$3:$A$11</formula1>
    </dataValidation>
    <dataValidation type="list" allowBlank="1" showErrorMessage="1" sqref="K14">
      <formula1>$AQ$11:$AQ$14</formula1>
    </dataValidation>
    <dataValidation type="list" allowBlank="1" sqref="E12 H12 K12 N12">
      <formula1>E$108:E$110</formula1>
    </dataValidation>
    <dataValidation type="list" allowBlank="1" showErrorMessage="1" sqref="G13 J13 M13">
      <formula1>$AO$7:$AO$8</formula1>
    </dataValidation>
    <dataValidation type="list" allowBlank="1" showErrorMessage="1" sqref="N14">
      <formula1>$AR$11:$AR$14</formula1>
    </dataValidation>
  </dataValidations>
  <hyperlinks>
    <hyperlink r:id="rId1" ref="B119"/>
    <hyperlink r:id="rId2" location="Energy_Generated_by_Normal_Attacks" ref="C134"/>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1.57"/>
    <col customWidth="1" min="3" max="4" width="14.86"/>
    <col customWidth="1" min="5" max="5" width="14.0"/>
    <col customWidth="1" min="6" max="6" width="17.14"/>
    <col customWidth="1" min="7" max="11" width="15.86"/>
    <col customWidth="1" min="12" max="14" width="13.43"/>
    <col customWidth="1" min="15" max="17" width="11.57"/>
    <col customWidth="1" min="18" max="18" width="12.71"/>
    <col customWidth="1" min="19" max="19" width="13.14"/>
    <col customWidth="1" min="20" max="20" width="11.57"/>
    <col customWidth="1" min="21" max="21" width="17.57"/>
    <col customWidth="1" min="22" max="24" width="15.0"/>
    <col customWidth="1" min="25" max="26" width="170.86"/>
    <col customWidth="1" min="27" max="28" width="135.86"/>
  </cols>
  <sheetData>
    <row r="1" ht="14.25" customHeight="1">
      <c r="A1" s="110" t="s">
        <v>14</v>
      </c>
      <c r="B1" s="110" t="s">
        <v>53</v>
      </c>
      <c r="C1" s="110" t="s">
        <v>99</v>
      </c>
      <c r="D1" s="110" t="s">
        <v>100</v>
      </c>
      <c r="E1" s="110" t="s">
        <v>101</v>
      </c>
      <c r="F1" s="110" t="s">
        <v>147</v>
      </c>
      <c r="G1" s="110" t="s">
        <v>148</v>
      </c>
      <c r="H1" s="110" t="s">
        <v>149</v>
      </c>
      <c r="I1" s="110" t="s">
        <v>84</v>
      </c>
      <c r="J1" s="110" t="s">
        <v>86</v>
      </c>
      <c r="K1" s="110" t="s">
        <v>150</v>
      </c>
      <c r="L1" s="110" t="s">
        <v>151</v>
      </c>
      <c r="M1" s="111" t="s">
        <v>152</v>
      </c>
      <c r="N1" s="111" t="s">
        <v>153</v>
      </c>
      <c r="O1" s="110" t="s">
        <v>154</v>
      </c>
      <c r="P1" s="110" t="s">
        <v>155</v>
      </c>
      <c r="Q1" s="110" t="s">
        <v>156</v>
      </c>
      <c r="R1" s="110" t="s">
        <v>157</v>
      </c>
      <c r="S1" s="110" t="s">
        <v>158</v>
      </c>
      <c r="T1" s="110" t="s">
        <v>159</v>
      </c>
      <c r="U1" s="110" t="s">
        <v>45</v>
      </c>
      <c r="V1" s="110" t="s">
        <v>160</v>
      </c>
      <c r="W1" s="110" t="s">
        <v>161</v>
      </c>
      <c r="X1" s="112" t="s">
        <v>162</v>
      </c>
      <c r="Y1" s="110" t="s">
        <v>163</v>
      </c>
      <c r="Z1" s="110" t="s">
        <v>164</v>
      </c>
      <c r="AA1" s="110" t="s">
        <v>165</v>
      </c>
      <c r="AB1" s="110" t="s">
        <v>166</v>
      </c>
    </row>
    <row r="2" ht="14.25" customHeight="1">
      <c r="A2" s="113" t="s">
        <v>167</v>
      </c>
      <c r="B2" s="113" t="s">
        <v>54</v>
      </c>
      <c r="C2" s="113" t="s">
        <v>19</v>
      </c>
      <c r="D2" s="114" t="s">
        <v>168</v>
      </c>
      <c r="E2" s="114" t="s">
        <v>168</v>
      </c>
      <c r="F2" s="113"/>
      <c r="G2" s="113"/>
      <c r="H2" s="113"/>
      <c r="I2" s="115">
        <f>IF(Data!$F2=0,50%,(Data!$F2-ROUNDDOWN(Data!$F2,0))/Data!$F2)</f>
        <v>0.5</v>
      </c>
      <c r="J2" s="115">
        <f>IF(Data!$G2=0,50%,(Data!$G2-ROUNDDOWN(Data!$G2,0))/Data!$G2)</f>
        <v>0.5</v>
      </c>
      <c r="K2" s="115">
        <f>IF(Data!$H2=0,50%,(Data!$H2-ROUNDDOWN(Data!$H2,0))/Data!$H2)</f>
        <v>0.5</v>
      </c>
      <c r="L2" s="113">
        <v>0.3</v>
      </c>
      <c r="M2" s="116">
        <f>Data!$L2</f>
        <v>0.3</v>
      </c>
      <c r="N2" s="116">
        <f>Data!$L2</f>
        <v>0.3</v>
      </c>
      <c r="O2" s="113">
        <v>30.0</v>
      </c>
      <c r="P2" s="113"/>
      <c r="Q2" s="113"/>
      <c r="R2" s="113">
        <v>4.0</v>
      </c>
      <c r="S2" s="113"/>
      <c r="T2" s="113"/>
      <c r="U2" s="113">
        <v>12.0</v>
      </c>
      <c r="V2" s="113">
        <v>40.0</v>
      </c>
      <c r="W2" s="113"/>
      <c r="X2" s="115"/>
      <c r="Y2" s="113" t="s">
        <v>169</v>
      </c>
      <c r="Z2" s="113" t="str">
        <f>Data!$Y2</f>
        <v>Albedo's skill triggers every 2.5s and distributes its particles based on time spent on field. Albedo C1 gains 1.2 energy per E trigger. Put this in "Bonus non-particle energy".</v>
      </c>
      <c r="AA2" s="114" t="s">
        <v>168</v>
      </c>
      <c r="AB2" s="117" t="str">
        <f>Data!$AA2</f>
        <v/>
      </c>
    </row>
    <row r="3" ht="14.25" customHeight="1">
      <c r="A3" s="113" t="s">
        <v>15</v>
      </c>
      <c r="B3" s="113" t="s">
        <v>51</v>
      </c>
      <c r="C3" s="113" t="s">
        <v>30</v>
      </c>
      <c r="D3" s="114" t="s">
        <v>168</v>
      </c>
      <c r="E3" s="114" t="s">
        <v>168</v>
      </c>
      <c r="F3" s="113">
        <v>6.0</v>
      </c>
      <c r="G3" s="113"/>
      <c r="H3" s="113"/>
      <c r="I3" s="115">
        <f>IF(Data!$F3=0,50%,(Data!$F3-ROUNDDOWN(Data!$F3,0))/Data!$F3)</f>
        <v>0</v>
      </c>
      <c r="J3" s="115">
        <f>IF(Data!$G3=0,50%,(Data!$G3-ROUNDDOWN(Data!$G3,0))/Data!$G3)</f>
        <v>0.5</v>
      </c>
      <c r="K3" s="115">
        <f>IF(Data!$H3=0,50%,(Data!$H3-ROUNDDOWN(Data!$H3,0))/Data!$H3)</f>
        <v>0.5</v>
      </c>
      <c r="L3" s="113"/>
      <c r="M3" s="116">
        <v>0.0</v>
      </c>
      <c r="N3" s="116">
        <v>0.0</v>
      </c>
      <c r="O3" s="113">
        <v>0.0</v>
      </c>
      <c r="P3" s="113"/>
      <c r="Q3" s="113"/>
      <c r="R3" s="113">
        <v>18.0</v>
      </c>
      <c r="S3" s="113"/>
      <c r="T3" s="113"/>
      <c r="U3" s="113">
        <v>18.0</v>
      </c>
      <c r="V3" s="113">
        <v>70.0</v>
      </c>
      <c r="W3" s="113"/>
      <c r="X3" s="115"/>
      <c r="Y3" s="114" t="s">
        <v>168</v>
      </c>
      <c r="Z3" s="117" t="str">
        <f>Data!$Y3</f>
        <v/>
      </c>
      <c r="AA3" s="117"/>
      <c r="AB3" s="117" t="str">
        <f>Data!$AA3</f>
        <v/>
      </c>
    </row>
    <row r="4" ht="14.25" customHeight="1">
      <c r="A4" s="113" t="s">
        <v>170</v>
      </c>
      <c r="B4" s="113" t="s">
        <v>48</v>
      </c>
      <c r="C4" s="113" t="s">
        <v>19</v>
      </c>
      <c r="D4" s="114" t="s">
        <v>168</v>
      </c>
      <c r="E4" s="114" t="s">
        <v>168</v>
      </c>
      <c r="F4" s="113">
        <v>5.0</v>
      </c>
      <c r="G4" s="113"/>
      <c r="H4" s="113"/>
      <c r="I4" s="115">
        <f>IF(Data!$F4=0,50%,(Data!$F4-ROUNDDOWN(Data!$F4,0))/Data!$F4)</f>
        <v>0</v>
      </c>
      <c r="J4" s="115">
        <f>IF(Data!$G4=0,50%,(Data!$G4-ROUNDDOWN(Data!$G4,0))/Data!$G4)</f>
        <v>0.5</v>
      </c>
      <c r="K4" s="115">
        <f>IF(Data!$H4=0,50%,(Data!$H4-ROUNDDOWN(Data!$H4,0))/Data!$H4)</f>
        <v>0.5</v>
      </c>
      <c r="L4" s="113">
        <v>0.0</v>
      </c>
      <c r="M4" s="116">
        <f>Data!$L4</f>
        <v>0</v>
      </c>
      <c r="N4" s="116">
        <f>Data!$L4</f>
        <v>0</v>
      </c>
      <c r="O4" s="113">
        <v>0.0</v>
      </c>
      <c r="P4" s="113"/>
      <c r="Q4" s="113"/>
      <c r="R4" s="113">
        <v>20.0</v>
      </c>
      <c r="S4" s="113"/>
      <c r="T4" s="113"/>
      <c r="U4" s="113">
        <v>12.0</v>
      </c>
      <c r="V4" s="113">
        <v>40.0</v>
      </c>
      <c r="W4" s="113"/>
      <c r="X4" s="115"/>
      <c r="Y4" s="114" t="s">
        <v>168</v>
      </c>
      <c r="Z4" s="117" t="str">
        <f>Data!$Y4</f>
        <v/>
      </c>
      <c r="AA4" s="114" t="s">
        <v>168</v>
      </c>
      <c r="AB4" s="117" t="str">
        <f>Data!$AA4</f>
        <v/>
      </c>
    </row>
    <row r="5" ht="14.25" customHeight="1">
      <c r="A5" s="113" t="s">
        <v>171</v>
      </c>
      <c r="B5" s="113" t="s">
        <v>63</v>
      </c>
      <c r="C5" s="113" t="s">
        <v>19</v>
      </c>
      <c r="D5" s="114" t="s">
        <v>168</v>
      </c>
      <c r="E5" s="114" t="s">
        <v>168</v>
      </c>
      <c r="F5" s="113">
        <v>4.0</v>
      </c>
      <c r="G5" s="113"/>
      <c r="H5" s="113"/>
      <c r="I5" s="115">
        <f>IF(Data!$F5=0,50%,(Data!$F5-ROUNDDOWN(Data!$F5,0))/Data!$F5)</f>
        <v>0</v>
      </c>
      <c r="J5" s="115">
        <f>IF(Data!$G5=0,50%,(Data!$G5-ROUNDDOWN(Data!$G5,0))/Data!$G5)</f>
        <v>0.5</v>
      </c>
      <c r="K5" s="115">
        <f>IF(Data!$H5=0,50%,(Data!$H5-ROUNDDOWN(Data!$H5,0))/Data!$H5)</f>
        <v>0.5</v>
      </c>
      <c r="L5" s="113">
        <v>0.0</v>
      </c>
      <c r="M5" s="116">
        <f>Data!$L5</f>
        <v>0</v>
      </c>
      <c r="N5" s="116">
        <f>Data!$L5</f>
        <v>0</v>
      </c>
      <c r="O5" s="113">
        <v>0.0</v>
      </c>
      <c r="P5" s="113"/>
      <c r="Q5" s="113"/>
      <c r="R5" s="113">
        <v>15.0</v>
      </c>
      <c r="S5" s="113"/>
      <c r="T5" s="113"/>
      <c r="U5" s="113">
        <v>12.0</v>
      </c>
      <c r="V5" s="113">
        <v>40.0</v>
      </c>
      <c r="W5" s="113"/>
      <c r="X5" s="115"/>
      <c r="Y5" s="113" t="s">
        <v>172</v>
      </c>
      <c r="Z5" s="113" t="str">
        <f>Data!$Y5</f>
        <v>Feed Amber's particles to whoever will be on field when Baron Bunny explodes.</v>
      </c>
      <c r="AA5" s="114" t="s">
        <v>168</v>
      </c>
      <c r="AB5" s="117" t="str">
        <f>Data!$AA5</f>
        <v/>
      </c>
    </row>
    <row r="6" ht="14.25" customHeight="1">
      <c r="A6" s="113" t="s">
        <v>173</v>
      </c>
      <c r="B6" s="113" t="s">
        <v>48</v>
      </c>
      <c r="C6" s="113" t="s">
        <v>19</v>
      </c>
      <c r="D6" s="114" t="s">
        <v>168</v>
      </c>
      <c r="E6" s="114" t="s">
        <v>168</v>
      </c>
      <c r="F6" s="113">
        <v>4.5</v>
      </c>
      <c r="G6" s="113"/>
      <c r="H6" s="113"/>
      <c r="I6" s="115">
        <f>IF(Data!$F6=0,50%,(Data!$F6-ROUNDDOWN(Data!$F6,0))/Data!$F6)</f>
        <v>0.1111111111</v>
      </c>
      <c r="J6" s="115">
        <f>IF(Data!$G6=0,50%,(Data!$G6-ROUNDDOWN(Data!$G6,0))/Data!$G6)</f>
        <v>0.5</v>
      </c>
      <c r="K6" s="115">
        <f>IF(Data!$H6=0,50%,(Data!$H6-ROUNDDOWN(Data!$H6,0))/Data!$H6)</f>
        <v>0.5</v>
      </c>
      <c r="L6" s="113">
        <v>0.0</v>
      </c>
      <c r="M6" s="116">
        <f>Data!$L6</f>
        <v>0</v>
      </c>
      <c r="N6" s="116">
        <f>Data!$L6</f>
        <v>0</v>
      </c>
      <c r="O6" s="113">
        <v>0.0</v>
      </c>
      <c r="P6" s="113"/>
      <c r="Q6" s="113"/>
      <c r="R6" s="113">
        <v>10.0</v>
      </c>
      <c r="S6" s="113"/>
      <c r="T6" s="113"/>
      <c r="U6" s="113">
        <v>20.0</v>
      </c>
      <c r="V6" s="113">
        <v>80.0</v>
      </c>
      <c r="W6" s="113"/>
      <c r="X6" s="115"/>
      <c r="Y6" s="114" t="s">
        <v>168</v>
      </c>
      <c r="Z6" s="117" t="str">
        <f>Data!$Y6</f>
        <v/>
      </c>
      <c r="AA6" s="114" t="s">
        <v>168</v>
      </c>
      <c r="AB6" s="117" t="str">
        <f>Data!$AA6</f>
        <v/>
      </c>
    </row>
    <row r="7" ht="14.25" customHeight="1">
      <c r="A7" s="113" t="s">
        <v>174</v>
      </c>
      <c r="B7" s="113" t="s">
        <v>56</v>
      </c>
      <c r="C7" s="114" t="s">
        <v>175</v>
      </c>
      <c r="D7" s="114" t="s">
        <v>176</v>
      </c>
      <c r="E7" s="114" t="s">
        <v>177</v>
      </c>
      <c r="F7" s="113">
        <f>1.5*3</f>
        <v>4.5</v>
      </c>
      <c r="G7" s="113">
        <v>0.0</v>
      </c>
      <c r="H7" s="113">
        <v>1.5</v>
      </c>
      <c r="I7" s="115">
        <f>IF(Data!$F7=0,50%,(Data!$F7-ROUNDDOWN(Data!$F7,0))/Data!$F7)</f>
        <v>0.1111111111</v>
      </c>
      <c r="J7" s="115">
        <f>IF(Data!$G7=0,50%,(Data!$G7-ROUNDDOWN(Data!$G7,0))/Data!$G7)</f>
        <v>0.5</v>
      </c>
      <c r="K7" s="115">
        <f>IF(Data!$H7=0,50%,(Data!$H7-ROUNDDOWN(Data!$H7,0))/Data!$H7)</f>
        <v>0.3333333333</v>
      </c>
      <c r="L7" s="113">
        <v>0.0</v>
      </c>
      <c r="M7" s="116">
        <f>Data!$L7</f>
        <v>0</v>
      </c>
      <c r="N7" s="116">
        <f>Data!$L7</f>
        <v>0</v>
      </c>
      <c r="O7" s="113">
        <v>0.0</v>
      </c>
      <c r="P7" s="113"/>
      <c r="Q7" s="113"/>
      <c r="R7" s="113">
        <v>12.0</v>
      </c>
      <c r="S7" s="113">
        <v>12.0</v>
      </c>
      <c r="T7" s="113">
        <v>12.0</v>
      </c>
      <c r="U7" s="113">
        <v>20.0</v>
      </c>
      <c r="V7" s="113">
        <v>80.0</v>
      </c>
      <c r="W7" s="113"/>
      <c r="X7" s="115"/>
      <c r="Y7" s="114" t="s">
        <v>178</v>
      </c>
      <c r="Z7" s="117" t="str">
        <f>Data!$Y7</f>
        <v>Ayato's A4 gives him 2 energy per second if he is not on field and has less than 40 energy. Put this in "Bonus non-particle energy". Hybrid Ayato does one attack after each E before swapping out.</v>
      </c>
      <c r="AA7" s="114" t="s">
        <v>168</v>
      </c>
      <c r="AB7" s="117" t="str">
        <f>Data!$AA7</f>
        <v/>
      </c>
    </row>
    <row r="8" ht="14.25" customHeight="1">
      <c r="A8" s="113" t="s">
        <v>18</v>
      </c>
      <c r="B8" s="113" t="s">
        <v>51</v>
      </c>
      <c r="C8" s="114" t="s">
        <v>19</v>
      </c>
      <c r="D8" s="114" t="s">
        <v>168</v>
      </c>
      <c r="E8" s="114" t="s">
        <v>168</v>
      </c>
      <c r="F8" s="113">
        <v>3.5</v>
      </c>
      <c r="G8" s="113"/>
      <c r="H8" s="113"/>
      <c r="I8" s="115">
        <f>IF(Data!$F8=0,50%,(Data!$F8-ROUNDDOWN(Data!$F8,0))/Data!$F8)</f>
        <v>0.1428571429</v>
      </c>
      <c r="J8" s="115">
        <f>IF(Data!$G8=0,50%,(Data!$G8-ROUNDDOWN(Data!$G8,0))/Data!$G8)</f>
        <v>0.5</v>
      </c>
      <c r="K8" s="115">
        <f>IF(Data!$H8=0,50%,(Data!$H8-ROUNDDOWN(Data!$H8,0))/Data!$H8)</f>
        <v>0.5</v>
      </c>
      <c r="L8" s="113">
        <v>0.0</v>
      </c>
      <c r="M8" s="116">
        <f>IF(Data!$L8="", "", Data!$L8)</f>
        <v>0</v>
      </c>
      <c r="N8" s="116">
        <f>Data!$L8</f>
        <v>0</v>
      </c>
      <c r="O8" s="113">
        <v>0.0</v>
      </c>
      <c r="P8" s="113"/>
      <c r="Q8" s="113"/>
      <c r="R8" s="113">
        <v>10.0</v>
      </c>
      <c r="S8" s="113"/>
      <c r="T8" s="113"/>
      <c r="U8" s="113">
        <v>20.0</v>
      </c>
      <c r="V8" s="113">
        <v>80.0</v>
      </c>
      <c r="W8" s="113"/>
      <c r="X8" s="115"/>
      <c r="Y8" s="114" t="s">
        <v>168</v>
      </c>
      <c r="Z8" s="117" t="str">
        <f>Data!$Y8</f>
        <v/>
      </c>
      <c r="AA8" s="117"/>
      <c r="AB8" s="117" t="str">
        <f>Data!$AA8</f>
        <v/>
      </c>
    </row>
    <row r="9" ht="14.25" customHeight="1">
      <c r="A9" s="113" t="s">
        <v>179</v>
      </c>
      <c r="B9" s="113" t="s">
        <v>56</v>
      </c>
      <c r="C9" s="113" t="s">
        <v>19</v>
      </c>
      <c r="D9" s="114" t="s">
        <v>168</v>
      </c>
      <c r="E9" s="114" t="s">
        <v>168</v>
      </c>
      <c r="F9" s="113"/>
      <c r="G9" s="113"/>
      <c r="H9" s="113"/>
      <c r="I9" s="115">
        <f>IF(Data!$F9=0,50%,(Data!$F9-ROUNDDOWN(Data!$F9,0))/Data!$F9)</f>
        <v>0.5</v>
      </c>
      <c r="J9" s="115">
        <f>IF(Data!$G9=0,50%,(Data!$G9-ROUNDDOWN(Data!$G9,0))/Data!$G9)</f>
        <v>0.5</v>
      </c>
      <c r="K9" s="115">
        <f>IF(Data!$H9=0,50%,(Data!$H9-ROUNDDOWN(Data!$H9,0))/Data!$H9)</f>
        <v>0.5</v>
      </c>
      <c r="L9" s="113">
        <v>0.0</v>
      </c>
      <c r="M9" s="116">
        <f>Data!$L9</f>
        <v>0</v>
      </c>
      <c r="N9" s="116">
        <f>Data!$L9</f>
        <v>0</v>
      </c>
      <c r="O9" s="113">
        <v>0.0</v>
      </c>
      <c r="P9" s="113"/>
      <c r="Q9" s="113"/>
      <c r="R9" s="113">
        <v>32.0</v>
      </c>
      <c r="S9" s="113"/>
      <c r="T9" s="113"/>
      <c r="U9" s="113">
        <v>20.0</v>
      </c>
      <c r="V9" s="113">
        <v>80.0</v>
      </c>
      <c r="W9" s="113"/>
      <c r="X9" s="115"/>
      <c r="Y9" s="113" t="s">
        <v>180</v>
      </c>
      <c r="Z9" s="113" t="str">
        <f>Data!$Y9</f>
        <v>Barbara C1 gains 1 energy per 10 seconds. Put this in "Bonus non-particle energy".</v>
      </c>
      <c r="AA9" s="114" t="s">
        <v>168</v>
      </c>
      <c r="AB9" s="117" t="str">
        <f>Data!$AA9</f>
        <v/>
      </c>
    </row>
    <row r="10" ht="14.25" customHeight="1">
      <c r="A10" s="113" t="s">
        <v>181</v>
      </c>
      <c r="B10" s="113" t="s">
        <v>52</v>
      </c>
      <c r="C10" s="113" t="s">
        <v>182</v>
      </c>
      <c r="D10" s="113" t="s">
        <v>183</v>
      </c>
      <c r="E10" s="113" t="s">
        <v>184</v>
      </c>
      <c r="F10" s="113">
        <v>2.0</v>
      </c>
      <c r="G10" s="113">
        <v>3.0</v>
      </c>
      <c r="H10" s="113">
        <v>4.0</v>
      </c>
      <c r="I10" s="115">
        <f>IF(Data!$F10=0,50%,(Data!$F10-ROUNDDOWN(Data!$F10,0))/Data!$F10)</f>
        <v>0</v>
      </c>
      <c r="J10" s="115">
        <f>IF(Data!$G10=0,50%,(Data!$G10-ROUNDDOWN(Data!$G10,0))/Data!$G10)</f>
        <v>0</v>
      </c>
      <c r="K10" s="115">
        <f>IF(Data!$H10=0,50%,(Data!$H10-ROUNDDOWN(Data!$H10,0))/Data!$H10)</f>
        <v>0</v>
      </c>
      <c r="L10" s="113">
        <v>0.0</v>
      </c>
      <c r="M10" s="116">
        <f>Data!$L10</f>
        <v>0</v>
      </c>
      <c r="N10" s="116">
        <f>Data!$L10</f>
        <v>0</v>
      </c>
      <c r="O10" s="113">
        <v>0.0</v>
      </c>
      <c r="P10" s="113"/>
      <c r="Q10" s="113"/>
      <c r="R10" s="113">
        <v>7.5</v>
      </c>
      <c r="S10" s="113">
        <v>7.5</v>
      </c>
      <c r="T10" s="113">
        <v>7.5</v>
      </c>
      <c r="U10" s="113">
        <v>20.0</v>
      </c>
      <c r="V10" s="113">
        <v>80.0</v>
      </c>
      <c r="W10" s="113"/>
      <c r="X10" s="115"/>
      <c r="Y10" s="113" t="s">
        <v>185</v>
      </c>
      <c r="Z10" s="113" t="str">
        <f>Data!$Y10</f>
        <v>Beidou's skill type is how many times she gets hit while holding her skill.</v>
      </c>
      <c r="AA10" s="114" t="s">
        <v>168</v>
      </c>
      <c r="AB10" s="117" t="str">
        <f>Data!$AA10</f>
        <v/>
      </c>
    </row>
    <row r="11" ht="14.25" customHeight="1">
      <c r="A11" s="113" t="s">
        <v>186</v>
      </c>
      <c r="B11" s="113" t="s">
        <v>63</v>
      </c>
      <c r="C11" s="113" t="s">
        <v>19</v>
      </c>
      <c r="D11" s="113" t="s">
        <v>22</v>
      </c>
      <c r="E11" s="114" t="s">
        <v>168</v>
      </c>
      <c r="F11" s="113">
        <v>2.25</v>
      </c>
      <c r="G11" s="113">
        <v>3.0</v>
      </c>
      <c r="H11" s="113"/>
      <c r="I11" s="115">
        <f>IF(Data!$F11=0,50%,(Data!$F11-ROUNDDOWN(Data!$F11,0))/Data!$F11)</f>
        <v>0.1111111111</v>
      </c>
      <c r="J11" s="115">
        <f>IF(Data!$G11=0,50%,(Data!$G11-ROUNDDOWN(Data!$G11,0))/Data!$G11)</f>
        <v>0</v>
      </c>
      <c r="K11" s="115">
        <f>IF(Data!$H11=0,50%,(Data!$H11-ROUNDDOWN(Data!$H11,0))/Data!$H11)</f>
        <v>0.5</v>
      </c>
      <c r="L11" s="113">
        <v>0.0</v>
      </c>
      <c r="M11" s="116">
        <f>Data!$L11</f>
        <v>0</v>
      </c>
      <c r="N11" s="116">
        <f>Data!$L11</f>
        <v>0</v>
      </c>
      <c r="O11" s="113">
        <v>0.0</v>
      </c>
      <c r="P11" s="113"/>
      <c r="Q11" s="113"/>
      <c r="R11" s="113">
        <v>4.0</v>
      </c>
      <c r="S11" s="113">
        <v>6.0</v>
      </c>
      <c r="T11" s="113"/>
      <c r="U11" s="113">
        <v>15.0</v>
      </c>
      <c r="V11" s="113">
        <v>60.0</v>
      </c>
      <c r="W11" s="113"/>
      <c r="X11" s="115"/>
      <c r="Y11" s="114" t="s">
        <v>168</v>
      </c>
      <c r="Z11" s="117" t="str">
        <f>Data!$Y11</f>
        <v/>
      </c>
      <c r="AA11" s="114" t="s">
        <v>168</v>
      </c>
      <c r="AB11" s="117" t="str">
        <f>Data!$AA11</f>
        <v/>
      </c>
    </row>
    <row r="12" ht="14.25" customHeight="1">
      <c r="A12" s="113" t="s">
        <v>187</v>
      </c>
      <c r="B12" s="113" t="s">
        <v>56</v>
      </c>
      <c r="C12" s="113" t="s">
        <v>19</v>
      </c>
      <c r="D12" s="113" t="s">
        <v>22</v>
      </c>
      <c r="E12" s="114" t="s">
        <v>168</v>
      </c>
      <c r="F12" s="113">
        <v>2.0</v>
      </c>
      <c r="G12" s="113">
        <v>3.0</v>
      </c>
      <c r="H12" s="113"/>
      <c r="I12" s="115">
        <f>IF(Data!$F12=0,50%,(Data!$F12-ROUNDDOWN(Data!$F12,0))/Data!$F12)</f>
        <v>0</v>
      </c>
      <c r="J12" s="115">
        <f>IF(Data!$G12=0,50%,(Data!$G12-ROUNDDOWN(Data!$G12,0))/Data!$G12)</f>
        <v>0</v>
      </c>
      <c r="K12" s="115">
        <f>IF(Data!$H12=0,50%,(Data!$H12-ROUNDDOWN(Data!$H12,0))/Data!$H12)</f>
        <v>0.5</v>
      </c>
      <c r="L12" s="113">
        <v>0.0</v>
      </c>
      <c r="M12" s="116">
        <f>Data!$L12</f>
        <v>0</v>
      </c>
      <c r="N12" s="116">
        <f>Data!$L12</f>
        <v>0</v>
      </c>
      <c r="O12" s="113">
        <v>0.0</v>
      </c>
      <c r="P12" s="113"/>
      <c r="Q12" s="113"/>
      <c r="R12" s="113">
        <v>6.0</v>
      </c>
      <c r="S12" s="113">
        <v>9.0</v>
      </c>
      <c r="T12" s="113"/>
      <c r="U12" s="113">
        <v>15.0</v>
      </c>
      <c r="V12" s="113">
        <v>60.0</v>
      </c>
      <c r="W12" s="113"/>
      <c r="X12" s="115"/>
      <c r="Y12" s="114" t="s">
        <v>168</v>
      </c>
      <c r="Z12" s="117" t="str">
        <f>Data!$Y12</f>
        <v/>
      </c>
      <c r="AA12" s="114" t="s">
        <v>168</v>
      </c>
      <c r="AB12" s="117" t="str">
        <f>Data!$AA12</f>
        <v/>
      </c>
    </row>
    <row r="13" ht="14.25" customHeight="1">
      <c r="A13" s="113" t="s">
        <v>188</v>
      </c>
      <c r="B13" s="113" t="str">
        <f t="shared" ref="B13:AB13" si="1">B56</f>
        <v>Hydro</v>
      </c>
      <c r="C13" s="113" t="str">
        <f t="shared" si="1"/>
        <v>7-9s melee</v>
      </c>
      <c r="D13" s="113" t="str">
        <f t="shared" si="1"/>
        <v>11s melee</v>
      </c>
      <c r="E13" s="117" t="str">
        <f t="shared" si="1"/>
        <v>Aimed Shot</v>
      </c>
      <c r="F13" s="113">
        <f t="shared" si="1"/>
        <v>3</v>
      </c>
      <c r="G13" s="113">
        <f t="shared" si="1"/>
        <v>4</v>
      </c>
      <c r="H13" s="113">
        <f t="shared" si="1"/>
        <v>1</v>
      </c>
      <c r="I13" s="115">
        <f t="shared" si="1"/>
        <v>0</v>
      </c>
      <c r="J13" s="115">
        <f t="shared" si="1"/>
        <v>0</v>
      </c>
      <c r="K13" s="115">
        <f t="shared" si="1"/>
        <v>0</v>
      </c>
      <c r="L13" s="113">
        <f t="shared" si="1"/>
        <v>0</v>
      </c>
      <c r="M13" s="116">
        <f t="shared" si="1"/>
        <v>0</v>
      </c>
      <c r="N13" s="116">
        <f t="shared" si="1"/>
        <v>0</v>
      </c>
      <c r="O13" s="113">
        <f t="shared" si="1"/>
        <v>0</v>
      </c>
      <c r="P13" s="113" t="str">
        <f t="shared" si="1"/>
        <v/>
      </c>
      <c r="Q13" s="113" t="str">
        <f t="shared" si="1"/>
        <v/>
      </c>
      <c r="R13" s="113">
        <f t="shared" si="1"/>
        <v>13</v>
      </c>
      <c r="S13" s="113">
        <f t="shared" si="1"/>
        <v>17</v>
      </c>
      <c r="T13" s="113">
        <f t="shared" si="1"/>
        <v>3</v>
      </c>
      <c r="U13" s="113">
        <f t="shared" si="1"/>
        <v>15</v>
      </c>
      <c r="V13" s="113">
        <f t="shared" si="1"/>
        <v>60</v>
      </c>
      <c r="W13" s="113" t="str">
        <f t="shared" si="1"/>
        <v/>
      </c>
      <c r="X13" s="115" t="str">
        <f t="shared" si="1"/>
        <v/>
      </c>
      <c r="Y13" s="117" t="str">
        <f t="shared" si="1"/>
        <v>If Tartaglia is using ranged burst, put 20 in "Bonus non-particle energy". Use the "Aimed Shot" skill in "Skill uses (other type)" for the number of aimed shots done in ranged form.</v>
      </c>
      <c r="Z13" s="117" t="str">
        <f t="shared" si="1"/>
        <v>If Tartaglia is using ranged burst, put 20 in "Bonus non-particle energy". Use the "Aimed Shot" skill in "Skill uses (other type)" for the number of aimed shots done in ranged form.</v>
      </c>
      <c r="AA13" s="117" t="str">
        <f t="shared" si="1"/>
        <v>If using ranged burst, put 20 in "Bonus non-particle energy".</v>
      </c>
      <c r="AB13" s="117" t="str">
        <f t="shared" si="1"/>
        <v>If using ranged burst, put 20 in "Bonus non-particle energy".</v>
      </c>
    </row>
    <row r="14" ht="14.25" customHeight="1">
      <c r="A14" s="113" t="s">
        <v>189</v>
      </c>
      <c r="B14" s="113" t="s">
        <v>48</v>
      </c>
      <c r="C14" s="113" t="s">
        <v>19</v>
      </c>
      <c r="D14" s="114" t="s">
        <v>168</v>
      </c>
      <c r="E14" s="114" t="s">
        <v>168</v>
      </c>
      <c r="F14" s="113">
        <v>4.0</v>
      </c>
      <c r="G14" s="113"/>
      <c r="H14" s="113"/>
      <c r="I14" s="115">
        <f>IF(Data!$F14=0,50%,(Data!$F14-ROUNDDOWN(Data!$F14,0))/Data!$F14)</f>
        <v>0</v>
      </c>
      <c r="J14" s="115">
        <f>IF(Data!$G14=0,50%,(Data!$G14-ROUNDDOWN(Data!$G14,0))/Data!$G14)</f>
        <v>0.5</v>
      </c>
      <c r="K14" s="115">
        <f>IF(Data!$H14=0,50%,(Data!$H14-ROUNDDOWN(Data!$H14,0))/Data!$H14)</f>
        <v>0.5</v>
      </c>
      <c r="L14" s="113">
        <v>0.0</v>
      </c>
      <c r="M14" s="116">
        <f>Data!$L14</f>
        <v>0</v>
      </c>
      <c r="N14" s="116">
        <f>Data!$L14</f>
        <v>0</v>
      </c>
      <c r="O14" s="113">
        <v>0.0</v>
      </c>
      <c r="P14" s="113"/>
      <c r="Q14" s="113"/>
      <c r="R14" s="113">
        <v>15.0</v>
      </c>
      <c r="S14" s="113"/>
      <c r="T14" s="113"/>
      <c r="U14" s="113">
        <v>12.0</v>
      </c>
      <c r="V14" s="113">
        <v>40.0</v>
      </c>
      <c r="W14" s="113"/>
      <c r="X14" s="115"/>
      <c r="Y14" s="113" t="s">
        <v>190</v>
      </c>
      <c r="Z14" s="113" t="str">
        <f>Data!$Y14</f>
        <v>Chongyun C4 regenerates 1 Energy every time he hits an opponent affected by Cryo, once per 2 seconds. Put this in "Bonus non-particle energy".</v>
      </c>
      <c r="AA14" s="114" t="s">
        <v>168</v>
      </c>
      <c r="AB14" s="117" t="str">
        <f>Data!$AA14</f>
        <v/>
      </c>
    </row>
    <row r="15" ht="14.25" customHeight="1">
      <c r="A15" s="113" t="s">
        <v>191</v>
      </c>
      <c r="B15" s="113" t="s">
        <v>51</v>
      </c>
      <c r="C15" s="113" t="s">
        <v>19</v>
      </c>
      <c r="D15" s="114" t="s">
        <v>168</v>
      </c>
      <c r="E15" s="114" t="s">
        <v>168</v>
      </c>
      <c r="F15" s="113">
        <v>3.0</v>
      </c>
      <c r="G15" s="113"/>
      <c r="H15" s="113"/>
      <c r="I15" s="115">
        <f>IF(Data!$F15=0,50%,(Data!$F15-ROUNDDOWN(Data!$F15,0))/Data!$F15)</f>
        <v>0</v>
      </c>
      <c r="J15" s="115">
        <f>IF(Data!$G15=0,50%,(Data!$G15-ROUNDDOWN(Data!$G15,0))/Data!$G15)</f>
        <v>0.5</v>
      </c>
      <c r="K15" s="115">
        <f>IF(Data!$H15=0,50%,(Data!$H15-ROUNDDOWN(Data!$H15,0))/Data!$H15)</f>
        <v>0.5</v>
      </c>
      <c r="L15" s="113">
        <v>0.0</v>
      </c>
      <c r="M15" s="116">
        <f>Data!$L15</f>
        <v>0</v>
      </c>
      <c r="N15" s="116">
        <f>Data!$L15</f>
        <v>0</v>
      </c>
      <c r="O15" s="113">
        <v>0.0</v>
      </c>
      <c r="P15" s="113"/>
      <c r="Q15" s="113"/>
      <c r="R15" s="113">
        <v>12.0</v>
      </c>
      <c r="S15" s="113"/>
      <c r="T15" s="113"/>
      <c r="U15" s="113">
        <v>15.0</v>
      </c>
      <c r="V15" s="113">
        <v>60.0</v>
      </c>
      <c r="W15" s="113"/>
      <c r="X15" s="115"/>
      <c r="Y15" s="114" t="s">
        <v>192</v>
      </c>
      <c r="Z15" s="117" t="str">
        <f>Data!$Y15</f>
        <v>Collei's C1 gives her 20% ER when not on field. This reduces her ER needs by about 10%.</v>
      </c>
      <c r="AA15" s="114" t="s">
        <v>168</v>
      </c>
      <c r="AB15" s="117" t="str">
        <f>Data!$AA15</f>
        <v/>
      </c>
    </row>
    <row r="16" ht="14.25" customHeight="1">
      <c r="A16" s="113" t="s">
        <v>193</v>
      </c>
      <c r="B16" s="113" t="s">
        <v>52</v>
      </c>
      <c r="C16" s="113" t="s">
        <v>194</v>
      </c>
      <c r="D16" s="114" t="s">
        <v>195</v>
      </c>
      <c r="E16" s="114" t="s">
        <v>168</v>
      </c>
      <c r="F16" s="113">
        <v>3.0</v>
      </c>
      <c r="G16" s="113">
        <v>1.33</v>
      </c>
      <c r="H16" s="113"/>
      <c r="I16" s="115">
        <f>IF(Data!$F16=0,50%,(Data!$F16-ROUNDDOWN(Data!$F16,0))/Data!$F16)</f>
        <v>0</v>
      </c>
      <c r="J16" s="115">
        <f>IF(Data!$G16=0,50%,(Data!$G16-ROUNDDOWN(Data!$G16,0))/Data!$G16)</f>
        <v>0.2481203008</v>
      </c>
      <c r="K16" s="115">
        <f>IF(Data!$H16=0,50%,(Data!$H16-ROUNDDOWN(Data!$H16,0))/Data!$H16)</f>
        <v>0.5</v>
      </c>
      <c r="L16" s="113">
        <v>0.0</v>
      </c>
      <c r="M16" s="116">
        <f>Data!$L16</f>
        <v>0</v>
      </c>
      <c r="N16" s="116">
        <f>Data!$L16</f>
        <v>0</v>
      </c>
      <c r="O16" s="113">
        <v>0.0</v>
      </c>
      <c r="P16" s="113"/>
      <c r="Q16" s="113"/>
      <c r="R16" s="113">
        <v>7.5</v>
      </c>
      <c r="S16" s="113">
        <v>3.0</v>
      </c>
      <c r="T16" s="113"/>
      <c r="U16" s="113">
        <v>20.0</v>
      </c>
      <c r="V16" s="113">
        <v>80.0</v>
      </c>
      <c r="W16" s="113"/>
      <c r="X16" s="115"/>
      <c r="Y16" s="114" t="s">
        <v>196</v>
      </c>
      <c r="Z16" s="117" t="str">
        <f>Data!$Y16</f>
        <v>Cyno's skill generates fewer particles during his burst. Cyno's C4 gives all other party members 3 energy per reaction triggered, up to 15 energy. Put this in "Bonus non-particle energy".</v>
      </c>
      <c r="AA16" s="114" t="s">
        <v>168</v>
      </c>
      <c r="AB16" s="117" t="str">
        <f>Data!$AA16</f>
        <v/>
      </c>
    </row>
    <row r="17" ht="14.25" customHeight="1">
      <c r="A17" s="113" t="s">
        <v>197</v>
      </c>
      <c r="B17" s="113" t="s">
        <v>63</v>
      </c>
      <c r="C17" s="113" t="s">
        <v>31</v>
      </c>
      <c r="D17" s="114" t="s">
        <v>198</v>
      </c>
      <c r="E17" s="114" t="s">
        <v>168</v>
      </c>
      <c r="F17" s="113"/>
      <c r="G17" s="113"/>
      <c r="H17" s="113"/>
      <c r="I17" s="115">
        <f>IF(Data!$F17=0,50%,(Data!$F17-ROUNDDOWN(Data!$F17,0))/Data!$F17)</f>
        <v>0.5</v>
      </c>
      <c r="J17" s="115">
        <f>IF(Data!$G17=0,50%,(Data!$G17-ROUNDDOWN(Data!$G17,0))/Data!$G17)</f>
        <v>0.5</v>
      </c>
      <c r="K17" s="115">
        <f>IF(Data!$H17=0,50%,(Data!$H17-ROUNDDOWN(Data!$H17,0))/Data!$H17)</f>
        <v>0.5</v>
      </c>
      <c r="L17" s="113">
        <v>0.33</v>
      </c>
      <c r="M17" s="116">
        <f>Data!$L17</f>
        <v>0.33</v>
      </c>
      <c r="N17" s="116">
        <v>0.0</v>
      </c>
      <c r="O17" s="113">
        <v>12.0</v>
      </c>
      <c r="P17" s="113">
        <v>18.0</v>
      </c>
      <c r="Q17" s="113"/>
      <c r="R17" s="113">
        <v>20.0</v>
      </c>
      <c r="S17" s="113"/>
      <c r="T17" s="113"/>
      <c r="U17" s="113">
        <v>18.0</v>
      </c>
      <c r="V17" s="113">
        <v>70.0</v>
      </c>
      <c r="W17" s="113"/>
      <c r="X17" s="115"/>
      <c r="Y17" s="114" t="s">
        <v>199</v>
      </c>
      <c r="Z17" s="114" t="s">
        <v>200</v>
      </c>
      <c r="AA17" s="117"/>
      <c r="AB17" s="117" t="str">
        <f>Data!$AA17</f>
        <v/>
      </c>
    </row>
    <row r="18" ht="14.25" customHeight="1">
      <c r="A18" s="113" t="s">
        <v>201</v>
      </c>
      <c r="B18" s="113" t="s">
        <v>63</v>
      </c>
      <c r="C18" s="113" t="s">
        <v>202</v>
      </c>
      <c r="D18" s="114" t="s">
        <v>168</v>
      </c>
      <c r="E18" s="114" t="s">
        <v>168</v>
      </c>
      <c r="F18" s="113">
        <v>3.75</v>
      </c>
      <c r="G18" s="113"/>
      <c r="H18" s="113"/>
      <c r="I18" s="115">
        <f>IF(Data!$F18=0,50%,(Data!$F18-ROUNDDOWN(Data!$F18,0))/Data!$F18)</f>
        <v>0.2</v>
      </c>
      <c r="J18" s="115">
        <f>IF(Data!$G18=0,50%,(Data!$G18-ROUNDDOWN(Data!$G18,0))/Data!$G18)</f>
        <v>0.5</v>
      </c>
      <c r="K18" s="115">
        <f>IF(Data!$H18=0,50%,(Data!$H18-ROUNDDOWN(Data!$H18,0))/Data!$H18)</f>
        <v>0.5</v>
      </c>
      <c r="L18" s="113">
        <v>0.0</v>
      </c>
      <c r="M18" s="116">
        <f>Data!$L18</f>
        <v>0</v>
      </c>
      <c r="N18" s="116">
        <f>Data!$L18</f>
        <v>0</v>
      </c>
      <c r="O18" s="113">
        <v>0.0</v>
      </c>
      <c r="P18" s="113"/>
      <c r="Q18" s="113"/>
      <c r="R18" s="113">
        <v>10.0</v>
      </c>
      <c r="S18" s="113"/>
      <c r="T18" s="113"/>
      <c r="U18" s="113">
        <v>12.0</v>
      </c>
      <c r="V18" s="113">
        <v>40.0</v>
      </c>
      <c r="W18" s="113"/>
      <c r="X18" s="115"/>
      <c r="Y18" s="113" t="s">
        <v>203</v>
      </c>
      <c r="Z18" s="113" t="str">
        <f>Data!$Y18</f>
        <v>One use of Diluc's skill represents a full three-skill combo.</v>
      </c>
      <c r="AA18" s="113" t="s">
        <v>203</v>
      </c>
      <c r="AB18" s="113" t="str">
        <f>Data!$AA18</f>
        <v>One use of Diluc's skill represents a full three-skill combo.</v>
      </c>
    </row>
    <row r="19" ht="14.25" customHeight="1">
      <c r="A19" s="113" t="s">
        <v>204</v>
      </c>
      <c r="B19" s="113" t="s">
        <v>48</v>
      </c>
      <c r="C19" s="113" t="s">
        <v>19</v>
      </c>
      <c r="D19" s="113" t="s">
        <v>22</v>
      </c>
      <c r="E19" s="114" t="s">
        <v>168</v>
      </c>
      <c r="F19" s="113">
        <v>1.6</v>
      </c>
      <c r="G19" s="113">
        <v>4.0</v>
      </c>
      <c r="H19" s="113"/>
      <c r="I19" s="118">
        <f>IF(Data!$F19=0,50%,(Data!$F19-ROUNDDOWN(Data!$F19,0))/Data!$F19)</f>
        <v>0.375</v>
      </c>
      <c r="J19" s="118">
        <v>0.25</v>
      </c>
      <c r="K19" s="115">
        <f>IF(Data!$H19=0,50%,(Data!$H19-ROUNDDOWN(Data!$H19,0))/Data!$H19)</f>
        <v>0.5</v>
      </c>
      <c r="L19" s="113">
        <v>0.0</v>
      </c>
      <c r="M19" s="116">
        <f>Data!$L19</f>
        <v>0</v>
      </c>
      <c r="N19" s="116">
        <f>Data!$L19</f>
        <v>0</v>
      </c>
      <c r="O19" s="113">
        <v>0.0</v>
      </c>
      <c r="P19" s="113"/>
      <c r="Q19" s="113"/>
      <c r="R19" s="113">
        <v>6.0</v>
      </c>
      <c r="S19" s="113">
        <v>15.0</v>
      </c>
      <c r="T19" s="113"/>
      <c r="U19" s="113">
        <v>20.0</v>
      </c>
      <c r="V19" s="113">
        <v>80.0</v>
      </c>
      <c r="W19" s="113"/>
      <c r="X19" s="115"/>
      <c r="Y19" s="113" t="s">
        <v>205</v>
      </c>
      <c r="Z19" s="113" t="s">
        <v>206</v>
      </c>
      <c r="AA19" s="114" t="s">
        <v>168</v>
      </c>
      <c r="AB19" s="117" t="str">
        <f>Data!$AA19</f>
        <v/>
      </c>
    </row>
    <row r="20" ht="14.25" customHeight="1">
      <c r="A20" s="113" t="s">
        <v>207</v>
      </c>
      <c r="B20" s="113" t="s">
        <v>52</v>
      </c>
      <c r="C20" s="113" t="s">
        <v>19</v>
      </c>
      <c r="D20" s="114" t="s">
        <v>168</v>
      </c>
      <c r="E20" s="114" t="s">
        <v>168</v>
      </c>
      <c r="F20" s="113">
        <v>2.0</v>
      </c>
      <c r="G20" s="113"/>
      <c r="H20" s="113"/>
      <c r="I20" s="115">
        <f>IF(Data!$F20=0,50%,(Data!$F20-ROUNDDOWN(Data!$F20,0))/Data!$F20)</f>
        <v>0</v>
      </c>
      <c r="J20" s="115">
        <f>IF(Data!$G20=0,50%,(Data!$G20-ROUNDDOWN(Data!$G20,0))/Data!$G20)</f>
        <v>0.5</v>
      </c>
      <c r="K20" s="115">
        <f>IF(Data!$H20=0,50%,(Data!$H20-ROUNDDOWN(Data!$H20,0))/Data!$H20)</f>
        <v>0.5</v>
      </c>
      <c r="L20" s="113">
        <v>0.0</v>
      </c>
      <c r="M20" s="116">
        <v>0.0</v>
      </c>
      <c r="N20" s="116">
        <f>Data!$L20</f>
        <v>0</v>
      </c>
      <c r="O20" s="113">
        <v>0.0</v>
      </c>
      <c r="P20" s="113"/>
      <c r="Q20" s="113"/>
      <c r="R20" s="113">
        <v>9.0</v>
      </c>
      <c r="S20" s="113"/>
      <c r="T20" s="113"/>
      <c r="U20" s="113">
        <v>20.0</v>
      </c>
      <c r="V20" s="113">
        <v>80.0</v>
      </c>
      <c r="W20" s="113"/>
      <c r="X20" s="115"/>
      <c r="Y20" s="113" t="s">
        <v>208</v>
      </c>
      <c r="Z20" s="113" t="str">
        <f>Data!$Y20</f>
        <v>Dori's A4 is already factored in, don't give her flat energy. Dori's C4 means some of your characters may need slighly less ER than recommended.</v>
      </c>
      <c r="AA20" s="114" t="s">
        <v>168</v>
      </c>
      <c r="AB20" s="117" t="str">
        <f>Data!$AA20</f>
        <v/>
      </c>
    </row>
    <row r="21" ht="14.25" customHeight="1">
      <c r="A21" s="113" t="s">
        <v>209</v>
      </c>
      <c r="B21" s="113" t="s">
        <v>48</v>
      </c>
      <c r="C21" s="113" t="s">
        <v>19</v>
      </c>
      <c r="D21" s="113" t="s">
        <v>22</v>
      </c>
      <c r="E21" s="114" t="s">
        <v>168</v>
      </c>
      <c r="F21" s="113">
        <v>1.5</v>
      </c>
      <c r="G21" s="113">
        <v>2.5</v>
      </c>
      <c r="H21" s="113"/>
      <c r="I21" s="115">
        <f>IF(Data!$F21=0,50%,(Data!$F21-ROUNDDOWN(Data!$F21,0))/Data!$F21)</f>
        <v>0.3333333333</v>
      </c>
      <c r="J21" s="115">
        <f>IF(Data!$G21=0,50%,(Data!$G21-ROUNDDOWN(Data!$G21,0))/Data!$G21)</f>
        <v>0.2</v>
      </c>
      <c r="K21" s="115">
        <f>IF(Data!$H21=0,50%,(Data!$H21-ROUNDDOWN(Data!$H21,0))/Data!$H21)</f>
        <v>0.5</v>
      </c>
      <c r="L21" s="113">
        <v>0.0</v>
      </c>
      <c r="M21" s="116">
        <f>Data!$L21</f>
        <v>0</v>
      </c>
      <c r="N21" s="116">
        <f>Data!$L21</f>
        <v>0</v>
      </c>
      <c r="O21" s="113">
        <v>0.0</v>
      </c>
      <c r="P21" s="113"/>
      <c r="Q21" s="113"/>
      <c r="R21" s="113">
        <v>4.0</v>
      </c>
      <c r="S21" s="113">
        <v>10.0</v>
      </c>
      <c r="T21" s="113"/>
      <c r="U21" s="113">
        <v>20.0</v>
      </c>
      <c r="V21" s="113">
        <v>80.0</v>
      </c>
      <c r="W21" s="113"/>
      <c r="X21" s="115"/>
      <c r="Y21" s="114" t="s">
        <v>168</v>
      </c>
      <c r="Z21" s="117" t="str">
        <f>Data!$Y21</f>
        <v/>
      </c>
      <c r="AA21" s="114" t="s">
        <v>168</v>
      </c>
      <c r="AB21" s="117" t="str">
        <f>Data!$AA21</f>
        <v/>
      </c>
    </row>
    <row r="22" ht="14.25" customHeight="1">
      <c r="A22" s="113" t="s">
        <v>210</v>
      </c>
      <c r="B22" s="113" t="s">
        <v>46</v>
      </c>
      <c r="C22" s="113" t="s">
        <v>211</v>
      </c>
      <c r="D22" s="114" t="s">
        <v>212</v>
      </c>
      <c r="E22" s="114" t="s">
        <v>213</v>
      </c>
      <c r="F22" s="113">
        <v>2.0</v>
      </c>
      <c r="G22" s="113">
        <v>0.0</v>
      </c>
      <c r="H22" s="113">
        <v>0.0</v>
      </c>
      <c r="I22" s="115">
        <f>IF(Data!$F22=0,50%,(Data!$F22-ROUNDDOWN(Data!$F22,0))/Data!$F22)</f>
        <v>0</v>
      </c>
      <c r="J22" s="115">
        <f>IF(Data!$G22=0,50%,(Data!$G22-ROUNDDOWN(Data!$G22,0))/Data!$G22)</f>
        <v>0.5</v>
      </c>
      <c r="K22" s="115">
        <f>IF(Data!$H22=0,50%,(Data!$H22-ROUNDDOWN(Data!$H22,0))/Data!$H22)</f>
        <v>0.5</v>
      </c>
      <c r="L22" s="113">
        <v>0.0</v>
      </c>
      <c r="M22" s="116">
        <f>IF(Data!$L22="", "", Data!$L22)</f>
        <v>0</v>
      </c>
      <c r="N22" s="116">
        <v>0.5</v>
      </c>
      <c r="O22" s="113">
        <v>0.0</v>
      </c>
      <c r="P22" s="113"/>
      <c r="Q22" s="113">
        <v>4.0</v>
      </c>
      <c r="R22" s="113">
        <v>6.0</v>
      </c>
      <c r="S22" s="113">
        <v>6.0</v>
      </c>
      <c r="T22" s="113"/>
      <c r="U22" s="113">
        <v>20.0</v>
      </c>
      <c r="V22" s="113">
        <v>80.0</v>
      </c>
      <c r="W22" s="113"/>
      <c r="X22" s="115"/>
      <c r="Y22" s="114" t="s">
        <v>214</v>
      </c>
      <c r="Z22" s="117" t="str">
        <f>Data!$Y22</f>
        <v>Faruzan only generates particles when she uses an aimed shot after her skill, or when C6 triggers, with a shared 5.5s ICD. C4 gives her 2-4 energy per skill use. Put this in "Bonus non-particle energy".</v>
      </c>
      <c r="AA22" s="114" t="s">
        <v>168</v>
      </c>
      <c r="AB22" s="117" t="str">
        <f>Data!$AA22</f>
        <v/>
      </c>
    </row>
    <row r="23" ht="14.25" customHeight="1">
      <c r="A23" s="113" t="s">
        <v>16</v>
      </c>
      <c r="B23" s="113" t="s">
        <v>52</v>
      </c>
      <c r="C23" s="113" t="s">
        <v>31</v>
      </c>
      <c r="D23" s="113" t="s">
        <v>215</v>
      </c>
      <c r="E23" s="114" t="s">
        <v>168</v>
      </c>
      <c r="F23" s="113"/>
      <c r="G23" s="113"/>
      <c r="H23" s="113"/>
      <c r="I23" s="115">
        <f>IF(Data!$F23=0,50%,(Data!$F23-ROUNDDOWN(Data!$F23,0))/Data!$F23)</f>
        <v>0.5</v>
      </c>
      <c r="J23" s="115">
        <f>IF(Data!$G23=0,50%,(Data!$G23-ROUNDDOWN(Data!$G23,0))/Data!$G23)</f>
        <v>0.5</v>
      </c>
      <c r="K23" s="115">
        <f>IF(Data!$H23=0,50%,(Data!$H23-ROUNDDOWN(Data!$H23,0))/Data!$H23)</f>
        <v>0.5</v>
      </c>
      <c r="L23" s="113">
        <v>0.67</v>
      </c>
      <c r="M23" s="116">
        <f>Data!$L23</f>
        <v>0.67</v>
      </c>
      <c r="N23" s="116">
        <f>Data!$L23</f>
        <v>0.67</v>
      </c>
      <c r="O23" s="113">
        <v>10.0</v>
      </c>
      <c r="P23" s="113">
        <v>12.0</v>
      </c>
      <c r="Q23" s="113"/>
      <c r="R23" s="113">
        <v>25.0</v>
      </c>
      <c r="S23" s="113">
        <v>25.0</v>
      </c>
      <c r="T23" s="113"/>
      <c r="U23" s="113">
        <v>15.0</v>
      </c>
      <c r="V23" s="113">
        <v>60.0</v>
      </c>
      <c r="W23" s="113"/>
      <c r="X23" s="115"/>
      <c r="Y23" s="113" t="s">
        <v>216</v>
      </c>
      <c r="Z23" s="113" t="s">
        <v>217</v>
      </c>
      <c r="AA23" s="113" t="s">
        <v>216</v>
      </c>
      <c r="AB23" s="113" t="s">
        <v>217</v>
      </c>
    </row>
    <row r="24" ht="14.25" customHeight="1">
      <c r="A24" s="113" t="s">
        <v>218</v>
      </c>
      <c r="B24" s="113" t="s">
        <v>48</v>
      </c>
      <c r="C24" s="113" t="s">
        <v>19</v>
      </c>
      <c r="D24" s="114" t="s">
        <v>168</v>
      </c>
      <c r="E24" s="114" t="s">
        <v>168</v>
      </c>
      <c r="F24" s="113">
        <v>4.0</v>
      </c>
      <c r="G24" s="113"/>
      <c r="H24" s="113"/>
      <c r="I24" s="115">
        <f>IF(Data!$F24=0,50%,(Data!$F24-ROUNDDOWN(Data!$F24,0))/Data!$F24)</f>
        <v>0</v>
      </c>
      <c r="J24" s="115">
        <f>IF(Data!$G24=0,50%,(Data!$G24-ROUNDDOWN(Data!$G24,0))/Data!$G24)</f>
        <v>0.5</v>
      </c>
      <c r="K24" s="115">
        <f>IF(Data!$H24=0,50%,(Data!$H24-ROUNDDOWN(Data!$H24,0))/Data!$H24)</f>
        <v>0.5</v>
      </c>
      <c r="L24" s="113">
        <v>0.0</v>
      </c>
      <c r="M24" s="116">
        <f>Data!$L24</f>
        <v>0</v>
      </c>
      <c r="N24" s="116">
        <f>Data!$L24</f>
        <v>0</v>
      </c>
      <c r="O24" s="113">
        <v>0.0</v>
      </c>
      <c r="P24" s="113"/>
      <c r="Q24" s="113"/>
      <c r="R24" s="113">
        <v>10.0</v>
      </c>
      <c r="S24" s="113"/>
      <c r="T24" s="113"/>
      <c r="U24" s="113">
        <v>15.0</v>
      </c>
      <c r="V24" s="113">
        <v>60.0</v>
      </c>
      <c r="W24" s="113"/>
      <c r="X24" s="115"/>
      <c r="Y24" s="113" t="s">
        <v>219</v>
      </c>
      <c r="Z24" s="113" t="str">
        <f>Data!$Y24</f>
        <v>Feed half of Ganyu's particles to whoever will be on field when the Ice Lotus explodes. Ganyu C1 gives her 2 energy per charged shot. Put this in "Bonus non-particle energy". </v>
      </c>
      <c r="AA24" s="114" t="s">
        <v>168</v>
      </c>
      <c r="AB24" s="117" t="str">
        <f>Data!$AA24</f>
        <v/>
      </c>
    </row>
    <row r="25" ht="14.25" customHeight="1">
      <c r="A25" s="113" t="s">
        <v>220</v>
      </c>
      <c r="B25" s="113" t="s">
        <v>54</v>
      </c>
      <c r="C25" s="113" t="s">
        <v>19</v>
      </c>
      <c r="D25" s="114" t="s">
        <v>168</v>
      </c>
      <c r="E25" s="114" t="s">
        <v>168</v>
      </c>
      <c r="F25" s="113">
        <v>2.0</v>
      </c>
      <c r="G25" s="113"/>
      <c r="H25" s="113"/>
      <c r="I25" s="115">
        <f>IF(Data!$F25=0,50%,(Data!$F25-ROUNDDOWN(Data!$F25,0))/Data!$F25)</f>
        <v>0</v>
      </c>
      <c r="J25" s="115">
        <f>IF(Data!$G25=0,50%,(Data!$G25-ROUNDDOWN(Data!$G25,0))/Data!$G25)</f>
        <v>0.5</v>
      </c>
      <c r="K25" s="115">
        <f>IF(Data!$H25=0,50%,(Data!$H25-ROUNDDOWN(Data!$H25,0))/Data!$H25)</f>
        <v>0.5</v>
      </c>
      <c r="L25" s="113">
        <v>0.0</v>
      </c>
      <c r="M25" s="116">
        <f>Data!$L25</f>
        <v>0</v>
      </c>
      <c r="N25" s="116">
        <f>Data!$L25</f>
        <v>0</v>
      </c>
      <c r="O25" s="113">
        <v>0.0</v>
      </c>
      <c r="P25" s="113"/>
      <c r="Q25" s="113"/>
      <c r="R25" s="113">
        <v>10.0</v>
      </c>
      <c r="S25" s="113"/>
      <c r="T25" s="113"/>
      <c r="U25" s="113">
        <v>20.0</v>
      </c>
      <c r="V25" s="113">
        <v>80.0</v>
      </c>
      <c r="W25" s="113"/>
      <c r="X25" s="115"/>
      <c r="Y25" s="114" t="s">
        <v>168</v>
      </c>
      <c r="Z25" s="117" t="str">
        <f>Data!$Y25</f>
        <v/>
      </c>
      <c r="AA25" s="114" t="s">
        <v>168</v>
      </c>
      <c r="AB25" s="117" t="str">
        <f>Data!$AA25</f>
        <v/>
      </c>
    </row>
    <row r="26" ht="14.25" customHeight="1">
      <c r="A26" s="113" t="s">
        <v>221</v>
      </c>
      <c r="B26" s="113" t="s">
        <v>46</v>
      </c>
      <c r="C26" s="113" t="s">
        <v>222</v>
      </c>
      <c r="D26" s="114" t="s">
        <v>223</v>
      </c>
      <c r="E26" s="114" t="s">
        <v>224</v>
      </c>
      <c r="F26" s="113">
        <v>2.0</v>
      </c>
      <c r="G26" s="113">
        <v>2.5</v>
      </c>
      <c r="H26" s="113">
        <v>3.0</v>
      </c>
      <c r="I26" s="115">
        <f>IF(Data!$F26=0,50%,(Data!$F26-ROUNDDOWN(Data!$F26,0))/Data!$F26)</f>
        <v>0</v>
      </c>
      <c r="J26" s="115">
        <f>IF(Data!$G26=0,50%,(Data!$G26-ROUNDDOWN(Data!$G26,0))/Data!$G26)</f>
        <v>0.2</v>
      </c>
      <c r="K26" s="115">
        <f>IF(Data!$H26=0,50%,(Data!$H26-ROUNDDOWN(Data!$H26,0))/Data!$H26)</f>
        <v>0</v>
      </c>
      <c r="L26" s="113">
        <v>0.0</v>
      </c>
      <c r="M26" s="116">
        <f>Data!$L26</f>
        <v>0</v>
      </c>
      <c r="N26" s="116">
        <f>Data!$L26</f>
        <v>0</v>
      </c>
      <c r="O26" s="113">
        <v>0.0</v>
      </c>
      <c r="P26" s="113"/>
      <c r="Q26" s="113"/>
      <c r="R26" s="113">
        <v>10.0</v>
      </c>
      <c r="S26" s="113">
        <v>10.0</v>
      </c>
      <c r="T26" s="113">
        <v>10.0</v>
      </c>
      <c r="U26" s="113">
        <v>12.0</v>
      </c>
      <c r="V26" s="113">
        <v>40.0</v>
      </c>
      <c r="W26" s="113"/>
      <c r="X26" s="115"/>
      <c r="Y26" s="114" t="s">
        <v>225</v>
      </c>
      <c r="Z26" s="114" t="s">
        <v>226</v>
      </c>
      <c r="AA26" s="114" t="s">
        <v>168</v>
      </c>
      <c r="AB26" s="117" t="str">
        <f>Data!$AA26</f>
        <v/>
      </c>
    </row>
    <row r="27" ht="14.25" customHeight="1">
      <c r="A27" s="113" t="s">
        <v>227</v>
      </c>
      <c r="B27" s="113" t="s">
        <v>63</v>
      </c>
      <c r="C27" s="113" t="s">
        <v>19</v>
      </c>
      <c r="D27" s="114" t="s">
        <v>168</v>
      </c>
      <c r="E27" s="114" t="s">
        <v>168</v>
      </c>
      <c r="F27" s="113">
        <v>4.8</v>
      </c>
      <c r="G27" s="113"/>
      <c r="H27" s="113"/>
      <c r="I27" s="115">
        <f>IF(Data!$F27=0,50%,(Data!$F27-ROUNDDOWN(Data!$F27,0))/Data!$F27)</f>
        <v>0.1666666667</v>
      </c>
      <c r="J27" s="115">
        <f>IF(Data!$G27=0,50%,(Data!$G27-ROUNDDOWN(Data!$G27,0))/Data!$G27)</f>
        <v>0.5</v>
      </c>
      <c r="K27" s="115">
        <f>IF(Data!$H27=0,50%,(Data!$H27-ROUNDDOWN(Data!$H27,0))/Data!$H27)</f>
        <v>0.5</v>
      </c>
      <c r="L27" s="113">
        <v>0.0</v>
      </c>
      <c r="M27" s="116">
        <f>Data!$L27</f>
        <v>0</v>
      </c>
      <c r="N27" s="116">
        <f>Data!$L27</f>
        <v>0</v>
      </c>
      <c r="O27" s="113">
        <v>0.0</v>
      </c>
      <c r="P27" s="113"/>
      <c r="Q27" s="113"/>
      <c r="R27" s="113">
        <v>16.0</v>
      </c>
      <c r="S27" s="113"/>
      <c r="T27" s="113"/>
      <c r="U27" s="113">
        <v>15.0</v>
      </c>
      <c r="V27" s="113">
        <v>60.0</v>
      </c>
      <c r="W27" s="113"/>
      <c r="X27" s="115"/>
      <c r="Y27" s="113" t="s">
        <v>228</v>
      </c>
      <c r="Z27" s="113" t="str">
        <f>Data!$Y27</f>
        <v>Hu Tao's skill use assumes 2 particle generation triggers. Hu Tao doesn't generally need to burst every rotation.</v>
      </c>
      <c r="AA27" s="114" t="s">
        <v>168</v>
      </c>
      <c r="AB27" s="117" t="str">
        <f>Data!$AA27</f>
        <v/>
      </c>
    </row>
    <row r="28" ht="14.25" customHeight="1">
      <c r="A28" s="113" t="s">
        <v>229</v>
      </c>
      <c r="B28" s="113" t="s">
        <v>54</v>
      </c>
      <c r="C28" s="113" t="s">
        <v>19</v>
      </c>
      <c r="D28" s="114" t="s">
        <v>168</v>
      </c>
      <c r="E28" s="114" t="s">
        <v>168</v>
      </c>
      <c r="F28" s="113">
        <v>3.5</v>
      </c>
      <c r="G28" s="113"/>
      <c r="H28" s="113"/>
      <c r="I28" s="115">
        <f>IF(Data!$F28=0,50%,(Data!$F28-ROUNDDOWN(Data!$F28,0))/Data!$F28)</f>
        <v>0.1428571429</v>
      </c>
      <c r="J28" s="115">
        <f>IF(Data!$G28=0,50%,(Data!$G28-ROUNDDOWN(Data!$G28,0))/Data!$G28)</f>
        <v>0.5</v>
      </c>
      <c r="K28" s="115">
        <f>IF(Data!$H28=0,50%,(Data!$H28-ROUNDDOWN(Data!$H28,0))/Data!$H28)</f>
        <v>0.5</v>
      </c>
      <c r="L28" s="113">
        <v>0.0</v>
      </c>
      <c r="M28" s="116">
        <f>Data!$L28</f>
        <v>0</v>
      </c>
      <c r="N28" s="116">
        <f>Data!$L28</f>
        <v>0</v>
      </c>
      <c r="O28" s="113">
        <v>0.0</v>
      </c>
      <c r="P28" s="113"/>
      <c r="Q28" s="113"/>
      <c r="R28" s="113">
        <v>10.0</v>
      </c>
      <c r="S28" s="113"/>
      <c r="T28" s="113"/>
      <c r="U28" s="113">
        <v>18.0</v>
      </c>
      <c r="V28" s="113">
        <v>70.0</v>
      </c>
      <c r="W28" s="113"/>
      <c r="X28" s="115"/>
      <c r="Y28" s="113" t="s">
        <v>230</v>
      </c>
      <c r="Z28" s="113" t="s">
        <v>231</v>
      </c>
      <c r="AA28" s="114" t="s">
        <v>168</v>
      </c>
      <c r="AB28" s="117" t="str">
        <f>Data!$AA28</f>
        <v/>
      </c>
    </row>
    <row r="29" ht="14.25" customHeight="1">
      <c r="A29" s="113" t="s">
        <v>232</v>
      </c>
      <c r="B29" s="113" t="s">
        <v>46</v>
      </c>
      <c r="C29" s="113" t="s">
        <v>19</v>
      </c>
      <c r="D29" s="114" t="s">
        <v>168</v>
      </c>
      <c r="E29" s="114" t="s">
        <v>168</v>
      </c>
      <c r="F29" s="113">
        <v>2.67</v>
      </c>
      <c r="G29" s="113"/>
      <c r="H29" s="113"/>
      <c r="I29" s="115">
        <f>IF(Data!$F29=0,50%,(Data!$F29-ROUNDDOWN(Data!$F29,0))/Data!$F29)</f>
        <v>0.2509363296</v>
      </c>
      <c r="J29" s="115">
        <f>IF(Data!$G29=0,50%,(Data!$G29-ROUNDDOWN(Data!$G29,0))/Data!$G29)</f>
        <v>0.5</v>
      </c>
      <c r="K29" s="115">
        <f>IF(Data!$H29=0,50%,(Data!$H29-ROUNDDOWN(Data!$H29,0))/Data!$H29)</f>
        <v>0.5</v>
      </c>
      <c r="L29" s="113">
        <v>0.0</v>
      </c>
      <c r="M29" s="116">
        <f>Data!$L29</f>
        <v>0</v>
      </c>
      <c r="N29" s="116">
        <f>Data!$L29</f>
        <v>0</v>
      </c>
      <c r="O29" s="113">
        <v>0.0</v>
      </c>
      <c r="P29" s="113"/>
      <c r="Q29" s="113"/>
      <c r="R29" s="113">
        <v>6.0</v>
      </c>
      <c r="S29" s="113"/>
      <c r="T29" s="113"/>
      <c r="U29" s="113">
        <v>20.0</v>
      </c>
      <c r="V29" s="113">
        <v>80.0</v>
      </c>
      <c r="W29" s="113">
        <v>16.0</v>
      </c>
      <c r="X29" s="115"/>
      <c r="Y29" s="113" t="s">
        <v>233</v>
      </c>
      <c r="Z29" s="113" t="str">
        <f>Data!$Y29</f>
        <v>Jean's burst cost is reduced by 16 due to her A4 passive.</v>
      </c>
      <c r="AA29" s="113" t="s">
        <v>234</v>
      </c>
      <c r="AB29" s="113" t="str">
        <f>Data!$AA29</f>
        <v>The discount on Jean's burst from her A4 passive is already included and does not need to be in "Bonus non-particle energy".</v>
      </c>
    </row>
    <row r="30" ht="14.25" customHeight="1">
      <c r="A30" s="113" t="s">
        <v>235</v>
      </c>
      <c r="B30" s="113" t="s">
        <v>48</v>
      </c>
      <c r="C30" s="113" t="s">
        <v>236</v>
      </c>
      <c r="D30" s="113" t="s">
        <v>237</v>
      </c>
      <c r="E30" s="113" t="s">
        <v>238</v>
      </c>
      <c r="F30" s="113">
        <v>2.67</v>
      </c>
      <c r="G30" s="113">
        <v>3.67</v>
      </c>
      <c r="H30" s="113">
        <v>4.67</v>
      </c>
      <c r="I30" s="115">
        <f>IF(Data!$F30=0,50%,(Data!$F30-ROUNDDOWN(Data!$F30,0))/Data!$F30)</f>
        <v>0.2509363296</v>
      </c>
      <c r="J30" s="115">
        <f>IF(Data!$G30=0,50%,(Data!$G30-ROUNDDOWN(Data!$G30,0))/Data!$G30)</f>
        <v>0.1825613079</v>
      </c>
      <c r="K30" s="115">
        <f>IF(Data!$H30=0,50%,(Data!$H30-ROUNDDOWN(Data!$H30,0))/Data!$H30)</f>
        <v>0.1434689507</v>
      </c>
      <c r="L30" s="113">
        <v>0.0</v>
      </c>
      <c r="M30" s="116">
        <f>Data!$L30</f>
        <v>0</v>
      </c>
      <c r="N30" s="116">
        <f>Data!$L30</f>
        <v>0</v>
      </c>
      <c r="O30" s="113">
        <v>0.0</v>
      </c>
      <c r="P30" s="113"/>
      <c r="Q30" s="113"/>
      <c r="R30" s="113">
        <v>6.0</v>
      </c>
      <c r="S30" s="113">
        <v>6.0</v>
      </c>
      <c r="T30" s="113">
        <v>6.0</v>
      </c>
      <c r="U30" s="113">
        <v>15.0</v>
      </c>
      <c r="V30" s="113">
        <v>60.0</v>
      </c>
      <c r="W30" s="113"/>
      <c r="X30" s="115"/>
      <c r="Y30" s="113" t="s">
        <v>239</v>
      </c>
      <c r="Z30" s="113" t="str">
        <f>Data!$Y30</f>
        <v>Kaeya's skill type is determined by the number of enemies he freezes with his skill. Kaeya's C6 gains 15 energy on burst. Put this in "Bonus non-particle energy".</v>
      </c>
      <c r="AA30" s="114" t="s">
        <v>168</v>
      </c>
      <c r="AB30" s="117" t="str">
        <f>Data!$AA30</f>
        <v/>
      </c>
    </row>
    <row r="31" ht="14.25" customHeight="1">
      <c r="A31" s="113" t="s">
        <v>240</v>
      </c>
      <c r="B31" s="113" t="s">
        <v>51</v>
      </c>
      <c r="C31" s="113" t="s">
        <v>19</v>
      </c>
      <c r="D31" s="114" t="s">
        <v>168</v>
      </c>
      <c r="E31" s="114" t="s">
        <v>168</v>
      </c>
      <c r="F31" s="113">
        <v>2.0</v>
      </c>
      <c r="G31" s="113"/>
      <c r="H31" s="113"/>
      <c r="I31" s="115">
        <f>IF(Data!$F31=0,50%,(Data!$F31-ROUNDDOWN(Data!$F31,0))/Data!$F31)</f>
        <v>0</v>
      </c>
      <c r="J31" s="115">
        <f>IF(Data!$G31=0,50%,(Data!$G31-ROUNDDOWN(Data!$G31,0))/Data!$G31)</f>
        <v>0.5</v>
      </c>
      <c r="K31" s="115">
        <f>IF(Data!$H31=0,50%,(Data!$H31-ROUNDDOWN(Data!$H31,0))/Data!$H31)</f>
        <v>0.5</v>
      </c>
      <c r="L31" s="113">
        <v>0.0</v>
      </c>
      <c r="M31" s="116">
        <f>IF(Data!$L31="", "", Data!$L31)</f>
        <v>0</v>
      </c>
      <c r="N31" s="116">
        <f>Data!$L31</f>
        <v>0</v>
      </c>
      <c r="O31" s="113">
        <v>0.0</v>
      </c>
      <c r="P31" s="113"/>
      <c r="Q31" s="113"/>
      <c r="R31" s="113">
        <v>6.0</v>
      </c>
      <c r="S31" s="113"/>
      <c r="T31" s="113"/>
      <c r="U31" s="113">
        <v>20.0</v>
      </c>
      <c r="V31" s="113">
        <v>80.0</v>
      </c>
      <c r="W31" s="113"/>
      <c r="X31" s="115"/>
      <c r="Y31" s="114" t="s">
        <v>168</v>
      </c>
      <c r="Z31" s="113" t="str">
        <f>Data!$Y31</f>
        <v/>
      </c>
      <c r="AA31" s="117"/>
      <c r="AB31" s="117" t="str">
        <f>Data!$AA31</f>
        <v/>
      </c>
    </row>
    <row r="32" ht="14.25" customHeight="1">
      <c r="A32" s="113" t="s">
        <v>241</v>
      </c>
      <c r="B32" s="113" t="s">
        <v>46</v>
      </c>
      <c r="C32" s="113" t="s">
        <v>19</v>
      </c>
      <c r="D32" s="113" t="s">
        <v>22</v>
      </c>
      <c r="E32" s="114" t="s">
        <v>168</v>
      </c>
      <c r="F32" s="113">
        <v>3.0</v>
      </c>
      <c r="G32" s="113">
        <v>4.0</v>
      </c>
      <c r="H32" s="113"/>
      <c r="I32" s="115">
        <f>IF(Data!$F32=0,50%,(Data!$F32-ROUNDDOWN(Data!$F32,0))/Data!$F32)</f>
        <v>0</v>
      </c>
      <c r="J32" s="115">
        <f>IF(Data!$G32=0,50%,(Data!$G32-ROUNDDOWN(Data!$G32,0))/Data!$G32)</f>
        <v>0</v>
      </c>
      <c r="K32" s="115">
        <f>IF(Data!$H32=0,50%,(Data!$H32-ROUNDDOWN(Data!$H32,0))/Data!$H32)</f>
        <v>0.5</v>
      </c>
      <c r="L32" s="113">
        <v>0.0</v>
      </c>
      <c r="M32" s="116">
        <f>Data!$L32</f>
        <v>0</v>
      </c>
      <c r="N32" s="116">
        <f>Data!$L32</f>
        <v>0</v>
      </c>
      <c r="O32" s="113">
        <v>0.0</v>
      </c>
      <c r="P32" s="113"/>
      <c r="Q32" s="113"/>
      <c r="R32" s="113">
        <v>6.0</v>
      </c>
      <c r="S32" s="113">
        <v>9.0</v>
      </c>
      <c r="T32" s="113"/>
      <c r="U32" s="113">
        <v>15.0</v>
      </c>
      <c r="V32" s="113">
        <v>60.0</v>
      </c>
      <c r="W32" s="113"/>
      <c r="X32" s="115"/>
      <c r="Y32" s="114" t="s">
        <v>168</v>
      </c>
      <c r="Z32" s="117" t="str">
        <f>Data!$Y32</f>
        <v/>
      </c>
      <c r="AA32" s="114" t="s">
        <v>168</v>
      </c>
      <c r="AB32" s="117" t="str">
        <f>Data!$AA32</f>
        <v/>
      </c>
    </row>
    <row r="33" ht="14.25" customHeight="1">
      <c r="A33" s="113" t="s">
        <v>242</v>
      </c>
      <c r="B33" s="113" t="s">
        <v>52</v>
      </c>
      <c r="C33" s="113" t="s">
        <v>19</v>
      </c>
      <c r="D33" s="114" t="s">
        <v>243</v>
      </c>
      <c r="E33" s="114" t="s">
        <v>168</v>
      </c>
      <c r="F33" s="113">
        <v>2.5</v>
      </c>
      <c r="G33" s="113">
        <v>1.0</v>
      </c>
      <c r="H33" s="113"/>
      <c r="I33" s="115">
        <f>IF(Data!$F33=0,50%,(Data!$F33-ROUNDDOWN(Data!$F33,0))/Data!$F33)</f>
        <v>0.2</v>
      </c>
      <c r="J33" s="115">
        <f>IF(Data!$G33=0,50%,(Data!$G33-ROUNDDOWN(Data!$G33,0))/Data!$G33)</f>
        <v>0</v>
      </c>
      <c r="K33" s="115">
        <f>IF(Data!$H33=0,50%,(Data!$H33-ROUNDDOWN(Data!$H33,0))/Data!$H33)</f>
        <v>0.5</v>
      </c>
      <c r="L33" s="113">
        <v>0.0</v>
      </c>
      <c r="M33" s="116">
        <f>Data!$L33</f>
        <v>0</v>
      </c>
      <c r="N33" s="116">
        <f>Data!$L33</f>
        <v>0</v>
      </c>
      <c r="O33" s="113">
        <v>0.0</v>
      </c>
      <c r="P33" s="113"/>
      <c r="Q33" s="113"/>
      <c r="R33" s="113">
        <v>7.5</v>
      </c>
      <c r="S33" s="113"/>
      <c r="T33" s="113"/>
      <c r="U33" s="113">
        <v>12.0</v>
      </c>
      <c r="V33" s="113">
        <v>40.0</v>
      </c>
      <c r="W33" s="113"/>
      <c r="X33" s="115"/>
      <c r="Y33" s="114" t="s">
        <v>244</v>
      </c>
      <c r="Z33" s="117" t="str">
        <f>Data!$Y33</f>
        <v>Keqing's C2 can trigger at most once per 5 seconds. </v>
      </c>
      <c r="AA33" s="114" t="s">
        <v>168</v>
      </c>
      <c r="AB33" s="117" t="str">
        <f>Data!$AA33</f>
        <v/>
      </c>
    </row>
    <row r="34" ht="14.25" customHeight="1">
      <c r="A34" s="113" t="s">
        <v>245</v>
      </c>
      <c r="B34" s="113" t="s">
        <v>51</v>
      </c>
      <c r="C34" s="113" t="s">
        <v>246</v>
      </c>
      <c r="D34" s="114" t="s">
        <v>247</v>
      </c>
      <c r="E34" s="114" t="s">
        <v>168</v>
      </c>
      <c r="F34" s="113">
        <v>3.0</v>
      </c>
      <c r="G34" s="113">
        <v>1.0</v>
      </c>
      <c r="H34" s="117"/>
      <c r="I34" s="115">
        <f>IF(Data!$F34=0,50%,(Data!$F34-ROUNDDOWN(Data!$F34,0))/Data!$F34)</f>
        <v>0</v>
      </c>
      <c r="J34" s="115">
        <f>IF(Data!$G34=0,50%,(Data!$G34-ROUNDDOWN(Data!$G34,0))/Data!$G34)</f>
        <v>0</v>
      </c>
      <c r="K34" s="115">
        <f>IF(Data!$H34=0,50%,(Data!$H34-ROUNDDOWN(Data!$H34,0))/Data!$H34)</f>
        <v>0.5</v>
      </c>
      <c r="L34" s="113">
        <v>0.0</v>
      </c>
      <c r="M34" s="116">
        <v>0.0</v>
      </c>
      <c r="N34" s="116">
        <f>Data!$L34</f>
        <v>0</v>
      </c>
      <c r="O34" s="113">
        <v>0.0</v>
      </c>
      <c r="P34" s="113"/>
      <c r="Q34" s="113"/>
      <c r="R34" s="113">
        <v>8.0</v>
      </c>
      <c r="S34" s="113">
        <v>4.0</v>
      </c>
      <c r="T34" s="113"/>
      <c r="U34" s="113">
        <v>15.0</v>
      </c>
      <c r="V34" s="113">
        <v>60.0</v>
      </c>
      <c r="W34" s="113"/>
      <c r="X34" s="115"/>
      <c r="Y34" s="114" t="s">
        <v>248</v>
      </c>
      <c r="Z34" s="117" t="str">
        <f>Data!$Y34</f>
        <v>Kirara can generate up to one collision particle every 4 seconds when using her hold skill, with the first particle being generated immediately</v>
      </c>
      <c r="AA34" s="117"/>
      <c r="AB34" s="117" t="str">
        <f>Data!$AA34</f>
        <v/>
      </c>
    </row>
    <row r="35" ht="14.25" customHeight="1">
      <c r="A35" s="113" t="s">
        <v>249</v>
      </c>
      <c r="B35" s="113" t="s">
        <v>63</v>
      </c>
      <c r="C35" s="113" t="s">
        <v>19</v>
      </c>
      <c r="D35" s="114" t="s">
        <v>168</v>
      </c>
      <c r="E35" s="114" t="s">
        <v>168</v>
      </c>
      <c r="F35" s="113">
        <v>4.0</v>
      </c>
      <c r="G35" s="113"/>
      <c r="H35" s="113"/>
      <c r="I35" s="115">
        <f>IF(Data!$F35=0,50%,(Data!$F35-ROUNDDOWN(Data!$F35,0))/Data!$F35)</f>
        <v>0</v>
      </c>
      <c r="J35" s="115">
        <f>IF(Data!$G35=0,50%,(Data!$G35-ROUNDDOWN(Data!$G35,0))/Data!$G35)</f>
        <v>0.5</v>
      </c>
      <c r="K35" s="115">
        <f>IF(Data!$H35=0,50%,(Data!$H35-ROUNDDOWN(Data!$H35,0))/Data!$H35)</f>
        <v>0.5</v>
      </c>
      <c r="L35" s="113">
        <v>0.0</v>
      </c>
      <c r="M35" s="116">
        <f>Data!$L35</f>
        <v>0</v>
      </c>
      <c r="N35" s="116">
        <f>Data!$L35</f>
        <v>0</v>
      </c>
      <c r="O35" s="113">
        <v>0.0</v>
      </c>
      <c r="P35" s="113"/>
      <c r="Q35" s="113"/>
      <c r="R35" s="113">
        <v>20.0</v>
      </c>
      <c r="S35" s="113"/>
      <c r="T35" s="113"/>
      <c r="U35" s="113">
        <v>15.0</v>
      </c>
      <c r="V35" s="113">
        <v>60.0</v>
      </c>
      <c r="W35" s="113"/>
      <c r="X35" s="115"/>
      <c r="Y35" s="114" t="s">
        <v>250</v>
      </c>
      <c r="Z35" s="117" t="str">
        <f>Data!$Y35</f>
        <v>Klee's A4 gives every team member 2 energy whenever her charged attack crits. Put this in every character's "Bonus non-particle energy".</v>
      </c>
      <c r="AA35" s="114" t="s">
        <v>168</v>
      </c>
      <c r="AB35" s="117" t="str">
        <f>Data!$AA35</f>
        <v/>
      </c>
    </row>
    <row r="36" ht="14.25" customHeight="1">
      <c r="A36" s="113" t="s">
        <v>251</v>
      </c>
      <c r="B36" s="113" t="s">
        <v>56</v>
      </c>
      <c r="C36" s="113" t="s">
        <v>252</v>
      </c>
      <c r="D36" s="114" t="s">
        <v>253</v>
      </c>
      <c r="E36" s="114" t="s">
        <v>168</v>
      </c>
      <c r="F36" s="113"/>
      <c r="G36" s="113"/>
      <c r="H36" s="113"/>
      <c r="I36" s="115">
        <f>IF(Data!$F36=0,50%,(Data!$F36-ROUNDDOWN(Data!$F36,0))/Data!$F36)</f>
        <v>0.5</v>
      </c>
      <c r="J36" s="115">
        <f>IF(Data!$G36=0,50%,(Data!$G36-ROUNDDOWN(Data!$G36,0))/Data!$G36)</f>
        <v>0.5</v>
      </c>
      <c r="K36" s="115">
        <f>IF(Data!$H36=0,50%,(Data!$H36-ROUNDDOWN(Data!$H36,0))/Data!$H36)</f>
        <v>0.5</v>
      </c>
      <c r="L36" s="113">
        <v>0.33</v>
      </c>
      <c r="M36" s="116">
        <f>Data!$L36</f>
        <v>0.33</v>
      </c>
      <c r="N36" s="116">
        <f>Data!$L36</f>
        <v>0.33</v>
      </c>
      <c r="O36" s="113">
        <v>12.0</v>
      </c>
      <c r="P36" s="113">
        <v>12.0</v>
      </c>
      <c r="Q36" s="113"/>
      <c r="R36" s="113">
        <v>20.0</v>
      </c>
      <c r="S36" s="113">
        <v>20.0</v>
      </c>
      <c r="T36" s="113"/>
      <c r="U36" s="113">
        <v>18.0</v>
      </c>
      <c r="V36" s="113">
        <v>70.0</v>
      </c>
      <c r="W36" s="113"/>
      <c r="X36" s="115"/>
      <c r="Y36" s="113" t="s">
        <v>254</v>
      </c>
      <c r="Z36" s="113" t="str">
        <f>Data!$Y36</f>
        <v>Kokomi's skill type determines whether her burst refreshes her jellyfish.</v>
      </c>
      <c r="AA36" s="113" t="s">
        <v>255</v>
      </c>
      <c r="AB36" s="113" t="str">
        <f>Data!$AA36</f>
        <v>Kokomi's skill distributes particles based on time spent on field. Kokomi's burst refreshes her jellyfish.</v>
      </c>
    </row>
    <row r="37" ht="14.25" customHeight="1">
      <c r="A37" s="113" t="s">
        <v>256</v>
      </c>
      <c r="B37" s="113" t="s">
        <v>52</v>
      </c>
      <c r="C37" s="113" t="s">
        <v>31</v>
      </c>
      <c r="D37" s="113" t="s">
        <v>198</v>
      </c>
      <c r="E37" s="114" t="s">
        <v>257</v>
      </c>
      <c r="F37" s="113"/>
      <c r="G37" s="113"/>
      <c r="H37" s="113"/>
      <c r="I37" s="115">
        <f>IF(Data!$F37=0,50%,(Data!$F37-ROUNDDOWN(Data!$F37,0))/Data!$F37)</f>
        <v>0.5</v>
      </c>
      <c r="J37" s="115">
        <f>IF(Data!$G37=0,50%,(Data!$G37-ROUNDDOWN(Data!$G37,0))/Data!$G37)</f>
        <v>0.5</v>
      </c>
      <c r="K37" s="115">
        <f>IF(Data!$H37=0,50%,(Data!$H37-ROUNDDOWN(Data!$H37,0))/Data!$H37)</f>
        <v>0.5</v>
      </c>
      <c r="L37" s="113">
        <v>0.3</v>
      </c>
      <c r="M37" s="116">
        <v>0.3</v>
      </c>
      <c r="N37" s="116">
        <v>0.4</v>
      </c>
      <c r="O37" s="113">
        <v>12.0</v>
      </c>
      <c r="P37" s="113">
        <v>15.0</v>
      </c>
      <c r="Q37" s="113">
        <v>15.0</v>
      </c>
      <c r="R37" s="113">
        <v>15.0</v>
      </c>
      <c r="S37" s="113">
        <v>15.0</v>
      </c>
      <c r="T37" s="113">
        <v>15.0</v>
      </c>
      <c r="U37" s="113">
        <v>15.0</v>
      </c>
      <c r="V37" s="113">
        <v>60.0</v>
      </c>
      <c r="W37" s="113"/>
      <c r="X37" s="115"/>
      <c r="Y37" s="114" t="s">
        <v>258</v>
      </c>
      <c r="Z37" s="117" t="str">
        <f>Data!$Y37</f>
        <v>Kuki Shinobu's C4 triggers 3 times and has a 45% chance of generating a particle on each trigger</v>
      </c>
      <c r="AA37" s="114" t="s">
        <v>168</v>
      </c>
      <c r="AB37" s="117" t="str">
        <f>Data!$AA37</f>
        <v/>
      </c>
    </row>
    <row r="38" ht="14.25" customHeight="1">
      <c r="A38" s="113" t="s">
        <v>259</v>
      </c>
      <c r="B38" s="113" t="s">
        <v>48</v>
      </c>
      <c r="C38" s="113" t="s">
        <v>260</v>
      </c>
      <c r="D38" s="113" t="s">
        <v>261</v>
      </c>
      <c r="E38" s="114" t="s">
        <v>262</v>
      </c>
      <c r="F38" s="113"/>
      <c r="G38" s="113"/>
      <c r="H38" s="113"/>
      <c r="I38" s="115">
        <f>IF(Data!$F38=0,50%,(Data!$F38-ROUNDDOWN(Data!$F38,0))/Data!$F38)</f>
        <v>0.5</v>
      </c>
      <c r="J38" s="115">
        <f>IF(Data!$G38=0,50%,(Data!$G38-ROUNDDOWN(Data!$G38,0))/Data!$G38)</f>
        <v>0.5</v>
      </c>
      <c r="K38" s="115">
        <f>IF(Data!$H38=0,50%,(Data!$H38-ROUNDDOWN(Data!$H38,0))/Data!$H38)</f>
        <v>0.5</v>
      </c>
      <c r="L38" s="113">
        <v>0.11</v>
      </c>
      <c r="M38" s="116">
        <f>Data!$L38*2</f>
        <v>0.22</v>
      </c>
      <c r="N38" s="116">
        <f>Data!$L38*3</f>
        <v>0.33</v>
      </c>
      <c r="O38" s="113">
        <v>12.0</v>
      </c>
      <c r="P38" s="113">
        <v>12.0</v>
      </c>
      <c r="Q38" s="113">
        <v>12.0</v>
      </c>
      <c r="R38" s="113">
        <v>12.0</v>
      </c>
      <c r="S38" s="113">
        <v>12.0</v>
      </c>
      <c r="T38" s="113">
        <v>12.0</v>
      </c>
      <c r="U38" s="113">
        <v>12.0</v>
      </c>
      <c r="V38" s="113">
        <v>40.0</v>
      </c>
      <c r="W38" s="113"/>
      <c r="X38" s="115"/>
      <c r="Y38" s="114" t="s">
        <v>263</v>
      </c>
      <c r="Z38" s="117" t="str">
        <f>Data!$Y38</f>
        <v>Layla's C2 gives her 4 energy per volley of shooting stars. Put this in "Bonus non-particle energy".</v>
      </c>
      <c r="AA38" s="117"/>
      <c r="AB38" s="117" t="str">
        <f>Data!$AA38</f>
        <v/>
      </c>
    </row>
    <row r="39" ht="14.25" customHeight="1">
      <c r="A39" s="113" t="s">
        <v>264</v>
      </c>
      <c r="B39" s="113" t="s">
        <v>52</v>
      </c>
      <c r="C39" s="113" t="s">
        <v>19</v>
      </c>
      <c r="D39" s="113" t="s">
        <v>22</v>
      </c>
      <c r="E39" s="114" t="s">
        <v>168</v>
      </c>
      <c r="F39" s="113">
        <v>0.0</v>
      </c>
      <c r="G39" s="113">
        <v>5.0</v>
      </c>
      <c r="H39" s="113"/>
      <c r="I39" s="115">
        <f>IF(Data!$F39=0,50%,(Data!$F39-ROUNDDOWN(Data!$F39,0))/Data!$F39)</f>
        <v>0.5</v>
      </c>
      <c r="J39" s="115">
        <f>IF(Data!$G39=0,50%,(Data!$G39-ROUNDDOWN(Data!$G39,0))/Data!$G39)</f>
        <v>0</v>
      </c>
      <c r="K39" s="115">
        <f>IF(Data!$H39=0,50%,(Data!$H39-ROUNDDOWN(Data!$H39,0))/Data!$H39)</f>
        <v>0.5</v>
      </c>
      <c r="L39" s="113">
        <v>0.0</v>
      </c>
      <c r="M39" s="116">
        <f>Data!$L39</f>
        <v>0</v>
      </c>
      <c r="N39" s="116">
        <f>Data!$L39</f>
        <v>0</v>
      </c>
      <c r="O39" s="113">
        <v>0.0</v>
      </c>
      <c r="P39" s="113"/>
      <c r="Q39" s="113"/>
      <c r="R39" s="113">
        <v>1.0</v>
      </c>
      <c r="S39" s="113">
        <v>16.0</v>
      </c>
      <c r="T39" s="113"/>
      <c r="U39" s="113">
        <v>20.0</v>
      </c>
      <c r="V39" s="113">
        <v>80.0</v>
      </c>
      <c r="W39" s="113"/>
      <c r="X39" s="115"/>
      <c r="Y39" s="113" t="s">
        <v>265</v>
      </c>
      <c r="Z39" s="113" t="str">
        <f>Data!$Y39</f>
        <v>Lisa's C1 gives her 2 energy per enemy hit with her held skill. Put this in "Bonus non-particle energy".</v>
      </c>
      <c r="AA39" s="114" t="s">
        <v>168</v>
      </c>
      <c r="AB39" s="117" t="str">
        <f>Data!$AA39</f>
        <v/>
      </c>
    </row>
    <row r="40" ht="14.25" customHeight="1">
      <c r="A40" s="113" t="s">
        <v>266</v>
      </c>
      <c r="B40" s="113" t="s">
        <v>48</v>
      </c>
      <c r="C40" s="113" t="s">
        <v>19</v>
      </c>
      <c r="D40" s="113" t="s">
        <v>22</v>
      </c>
      <c r="E40" s="117"/>
      <c r="F40" s="113">
        <v>4.0</v>
      </c>
      <c r="G40" s="113">
        <v>4.0</v>
      </c>
      <c r="H40" s="113"/>
      <c r="I40" s="115">
        <f>IF(Data!$F40=0,50%,(Data!$F40-ROUNDDOWN(Data!$F40,0))/Data!$F40)</f>
        <v>0</v>
      </c>
      <c r="J40" s="115">
        <f>IF(Data!$G40=0,50%,(Data!$G40-ROUNDDOWN(Data!$G40,0))/Data!$G40)</f>
        <v>0</v>
      </c>
      <c r="K40" s="115">
        <f>IF(Data!$H40=0,50%,(Data!$H40-ROUNDDOWN(Data!$H40,0))/Data!$H40)</f>
        <v>0.5</v>
      </c>
      <c r="L40" s="113">
        <v>0.0</v>
      </c>
      <c r="M40" s="116">
        <v>0.0</v>
      </c>
      <c r="N40" s="116">
        <v>0.0</v>
      </c>
      <c r="O40" s="113">
        <v>0.0</v>
      </c>
      <c r="P40" s="113"/>
      <c r="Q40" s="113"/>
      <c r="R40" s="113">
        <v>15.0</v>
      </c>
      <c r="S40" s="113">
        <v>15.0</v>
      </c>
      <c r="T40" s="113"/>
      <c r="U40" s="113">
        <v>18.0</v>
      </c>
      <c r="V40" s="113">
        <v>70.0</v>
      </c>
      <c r="W40" s="113"/>
      <c r="X40" s="115"/>
      <c r="Y40" s="113" t="s">
        <v>267</v>
      </c>
      <c r="Z40" s="113" t="s">
        <v>268</v>
      </c>
      <c r="AA40" s="117"/>
      <c r="AB40" s="117" t="str">
        <f>Data!$AA40</f>
        <v/>
      </c>
    </row>
    <row r="41" ht="14.25" customHeight="1">
      <c r="A41" s="113" t="s">
        <v>269</v>
      </c>
      <c r="B41" s="113" t="s">
        <v>56</v>
      </c>
      <c r="C41" s="113" t="s">
        <v>19</v>
      </c>
      <c r="D41" s="114" t="s">
        <v>168</v>
      </c>
      <c r="E41" s="114" t="s">
        <v>168</v>
      </c>
      <c r="F41" s="113">
        <v>3.33</v>
      </c>
      <c r="G41" s="113"/>
      <c r="H41" s="113"/>
      <c r="I41" s="115">
        <f>IF(Data!$F41=0,50%,(Data!$F41-ROUNDDOWN(Data!$F41,0))/Data!$F41)</f>
        <v>0.0990990991</v>
      </c>
      <c r="J41" s="115">
        <f>IF(Data!$G41=0,50%,(Data!$G41-ROUNDDOWN(Data!$G41,0))/Data!$G41)</f>
        <v>0.5</v>
      </c>
      <c r="K41" s="115">
        <f>IF(Data!$H41=0,50%,(Data!$H41-ROUNDDOWN(Data!$H41,0))/Data!$H41)</f>
        <v>0.5</v>
      </c>
      <c r="L41" s="113">
        <v>0.0</v>
      </c>
      <c r="M41" s="116">
        <f>Data!$L41</f>
        <v>0</v>
      </c>
      <c r="N41" s="116">
        <f>Data!$L41</f>
        <v>0</v>
      </c>
      <c r="O41" s="113">
        <v>0.0</v>
      </c>
      <c r="P41" s="113"/>
      <c r="Q41" s="113"/>
      <c r="R41" s="113">
        <v>12.0</v>
      </c>
      <c r="S41" s="113"/>
      <c r="T41" s="113"/>
      <c r="U41" s="113">
        <v>15.0</v>
      </c>
      <c r="V41" s="113">
        <v>60.0</v>
      </c>
      <c r="W41" s="113"/>
      <c r="X41" s="115"/>
      <c r="Y41" s="113" t="s">
        <v>270</v>
      </c>
      <c r="Z41" s="113" t="str">
        <f>Data!$Y41</f>
        <v>Feed Mona's particles to whoever will be on field when her skill explodes.</v>
      </c>
      <c r="AA41" s="113" t="s">
        <v>270</v>
      </c>
      <c r="AB41" s="113" t="str">
        <f>Data!$AA41</f>
        <v>Feed Mona's particles to whoever will be on field when her skill explodes.</v>
      </c>
    </row>
    <row r="42" ht="14.25" customHeight="1">
      <c r="A42" s="113" t="s">
        <v>271</v>
      </c>
      <c r="B42" s="113" t="s">
        <v>51</v>
      </c>
      <c r="C42" s="113" t="s">
        <v>19</v>
      </c>
      <c r="D42" s="114" t="s">
        <v>22</v>
      </c>
      <c r="E42" s="114" t="s">
        <v>168</v>
      </c>
      <c r="F42" s="113"/>
      <c r="G42" s="113"/>
      <c r="H42" s="113"/>
      <c r="I42" s="118">
        <v>0.0</v>
      </c>
      <c r="J42" s="118">
        <v>0.0</v>
      </c>
      <c r="K42" s="118">
        <v>0.0</v>
      </c>
      <c r="L42" s="113">
        <v>0.36</v>
      </c>
      <c r="M42" s="116">
        <v>0.36</v>
      </c>
      <c r="N42" s="116">
        <v>0.36</v>
      </c>
      <c r="O42" s="113">
        <v>25.0</v>
      </c>
      <c r="P42" s="113">
        <v>25.0</v>
      </c>
      <c r="Q42" s="113"/>
      <c r="R42" s="113">
        <v>5.0</v>
      </c>
      <c r="S42" s="113">
        <v>6.0</v>
      </c>
      <c r="T42" s="113"/>
      <c r="U42" s="113">
        <v>13.5</v>
      </c>
      <c r="V42" s="113">
        <v>50.0</v>
      </c>
      <c r="W42" s="113"/>
      <c r="X42" s="115"/>
      <c r="Y42" s="113" t="s">
        <v>272</v>
      </c>
      <c r="Z42" s="113" t="str">
        <f>Data!$Y42</f>
        <v>Nahida's skill generates 3 particles every 8.25 seconds on average.</v>
      </c>
      <c r="AA42" s="113"/>
      <c r="AB42" s="113" t="str">
        <f>Data!$AA42</f>
        <v/>
      </c>
    </row>
    <row r="43" ht="14.25" customHeight="1">
      <c r="A43" s="113" t="s">
        <v>273</v>
      </c>
      <c r="B43" s="113" t="s">
        <v>56</v>
      </c>
      <c r="C43" s="113" t="s">
        <v>19</v>
      </c>
      <c r="D43" s="114" t="s">
        <v>168</v>
      </c>
      <c r="E43" s="114" t="s">
        <v>168</v>
      </c>
      <c r="F43" s="113">
        <v>4.5</v>
      </c>
      <c r="G43" s="113"/>
      <c r="H43" s="113"/>
      <c r="I43" s="115">
        <f>IF(Data!$F43=0,50%,(Data!$F43-ROUNDDOWN(Data!$F43,0))/Data!$F43)</f>
        <v>0.1111111111</v>
      </c>
      <c r="J43" s="115">
        <f>IF(Data!$G43=0,50%,(Data!$G43-ROUNDDOWN(Data!$G43,0))/Data!$G43)</f>
        <v>0.5</v>
      </c>
      <c r="K43" s="115">
        <f>IF(Data!$H43=0,50%,(Data!$H43-ROUNDDOWN(Data!$H43,0))/Data!$H43)</f>
        <v>0.5</v>
      </c>
      <c r="L43" s="113">
        <v>0.0</v>
      </c>
      <c r="M43" s="116">
        <v>0.0</v>
      </c>
      <c r="N43" s="116">
        <f>Data!$L43</f>
        <v>0</v>
      </c>
      <c r="O43" s="113">
        <v>0.0</v>
      </c>
      <c r="P43" s="113"/>
      <c r="Q43" s="113"/>
      <c r="R43" s="113">
        <v>18.0</v>
      </c>
      <c r="S43" s="113"/>
      <c r="T43" s="113"/>
      <c r="U43" s="113">
        <v>18.0</v>
      </c>
      <c r="V43" s="113">
        <v>70.0</v>
      </c>
      <c r="W43" s="113"/>
      <c r="X43" s="115"/>
      <c r="Y43" s="114" t="s">
        <v>274</v>
      </c>
      <c r="Z43" s="117" t="str">
        <f>Data!$Y43</f>
        <v>Nilou's C4 gives her 15 energy per skill use. Put this in "Bonus non-particle energy".</v>
      </c>
      <c r="AA43" s="114" t="s">
        <v>168</v>
      </c>
      <c r="AB43" s="117" t="str">
        <f>Data!$AA43</f>
        <v/>
      </c>
    </row>
    <row r="44" ht="14.25" customHeight="1">
      <c r="A44" s="113" t="s">
        <v>275</v>
      </c>
      <c r="B44" s="113" t="s">
        <v>54</v>
      </c>
      <c r="C44" s="113" t="s">
        <v>19</v>
      </c>
      <c r="D44" s="114" t="s">
        <v>168</v>
      </c>
      <c r="E44" s="114" t="s">
        <v>168</v>
      </c>
      <c r="F44" s="113">
        <v>3.4</v>
      </c>
      <c r="G44" s="113"/>
      <c r="H44" s="113"/>
      <c r="I44" s="115">
        <f>IF(Data!$F44=0,50%,(Data!$F44-ROUNDDOWN(Data!$F44,0))/Data!$F44)</f>
        <v>0.1176470588</v>
      </c>
      <c r="J44" s="115">
        <f>IF(Data!$G44=0,50%,(Data!$G44-ROUNDDOWN(Data!$G44,0))/Data!$G44)</f>
        <v>0.5</v>
      </c>
      <c r="K44" s="115">
        <f>IF(Data!$H44=0,50%,(Data!$H44-ROUNDDOWN(Data!$H44,0))/Data!$H44)</f>
        <v>0.5</v>
      </c>
      <c r="L44" s="113">
        <v>0.0</v>
      </c>
      <c r="M44" s="116">
        <f>Data!$L44</f>
        <v>0</v>
      </c>
      <c r="N44" s="116">
        <f>Data!$L44</f>
        <v>0</v>
      </c>
      <c r="O44" s="113">
        <v>0.0</v>
      </c>
      <c r="P44" s="113"/>
      <c r="Q44" s="113"/>
      <c r="R44" s="113">
        <v>12.0</v>
      </c>
      <c r="S44" s="113"/>
      <c r="T44" s="113"/>
      <c r="U44" s="113">
        <v>12.0</v>
      </c>
      <c r="V44" s="113">
        <v>40.0</v>
      </c>
      <c r="W44" s="113"/>
      <c r="X44" s="115"/>
      <c r="Y44" s="113" t="s">
        <v>276</v>
      </c>
      <c r="Z44" s="113" t="str">
        <f>Data!$Y44</f>
        <v>Ningguang's skill only generates particles if she waits at least 6 seconds between skill uses. Do not include skill uses which do not generate particles.</v>
      </c>
      <c r="AA44" s="114" t="s">
        <v>168</v>
      </c>
      <c r="AB44" s="117" t="str">
        <f>Data!$AA44</f>
        <v/>
      </c>
    </row>
    <row r="45" ht="14.25" customHeight="1">
      <c r="A45" s="113" t="s">
        <v>277</v>
      </c>
      <c r="B45" s="113" t="s">
        <v>278</v>
      </c>
      <c r="C45" s="114" t="s">
        <v>168</v>
      </c>
      <c r="D45" s="114" t="s">
        <v>168</v>
      </c>
      <c r="E45" s="114" t="s">
        <v>168</v>
      </c>
      <c r="F45" s="113"/>
      <c r="G45" s="113"/>
      <c r="H45" s="113"/>
      <c r="I45" s="115"/>
      <c r="J45" s="115"/>
      <c r="K45" s="115"/>
      <c r="L45" s="113">
        <v>0.0</v>
      </c>
      <c r="M45" s="116">
        <f>Data!$L45</f>
        <v>0</v>
      </c>
      <c r="N45" s="116">
        <f>Data!$L45</f>
        <v>0</v>
      </c>
      <c r="O45" s="113"/>
      <c r="P45" s="113"/>
      <c r="Q45" s="113"/>
      <c r="R45" s="113"/>
      <c r="S45" s="113"/>
      <c r="T45" s="113"/>
      <c r="U45" s="113"/>
      <c r="V45" s="113"/>
      <c r="W45" s="113"/>
      <c r="X45" s="115"/>
      <c r="Y45" s="114" t="s">
        <v>168</v>
      </c>
      <c r="Z45" s="117" t="str">
        <f>Data!$Y45</f>
        <v/>
      </c>
      <c r="AA45" s="114" t="s">
        <v>168</v>
      </c>
      <c r="AB45" s="117" t="str">
        <f>Data!$AA45</f>
        <v/>
      </c>
    </row>
    <row r="46" ht="14.25" customHeight="1">
      <c r="A46" s="113" t="s">
        <v>279</v>
      </c>
      <c r="B46" s="113" t="s">
        <v>54</v>
      </c>
      <c r="C46" s="113" t="s">
        <v>19</v>
      </c>
      <c r="D46" s="114" t="s">
        <v>168</v>
      </c>
      <c r="E46" s="114" t="s">
        <v>168</v>
      </c>
      <c r="F46" s="113"/>
      <c r="G46" s="113"/>
      <c r="H46" s="113"/>
      <c r="I46" s="115">
        <f>IF(Data!$F46=0,50%,(Data!$F46-ROUNDDOWN(Data!$F46,0))/Data!$F46)</f>
        <v>0.5</v>
      </c>
      <c r="J46" s="115">
        <f>IF(Data!$G46=0,50%,(Data!$G46-ROUNDDOWN(Data!$G46,0))/Data!$G46)</f>
        <v>0.5</v>
      </c>
      <c r="K46" s="115">
        <f>IF(Data!$H46=0,50%,(Data!$H46-ROUNDDOWN(Data!$H46,0))/Data!$H46)</f>
        <v>0.5</v>
      </c>
      <c r="L46" s="113">
        <v>0.0</v>
      </c>
      <c r="M46" s="116">
        <f>Data!$L46</f>
        <v>0</v>
      </c>
      <c r="N46" s="116">
        <f>Data!$L46</f>
        <v>0</v>
      </c>
      <c r="O46" s="113">
        <v>0.0</v>
      </c>
      <c r="P46" s="113"/>
      <c r="Q46" s="113"/>
      <c r="R46" s="113">
        <v>24.0</v>
      </c>
      <c r="S46" s="113"/>
      <c r="T46" s="113"/>
      <c r="U46" s="113">
        <v>15.0</v>
      </c>
      <c r="V46" s="113">
        <v>60.0</v>
      </c>
      <c r="W46" s="113"/>
      <c r="X46" s="115"/>
      <c r="Y46" s="114" t="s">
        <v>280</v>
      </c>
      <c r="Z46" s="117" t="str">
        <f>Data!$Y46</f>
        <v>Noelle's burst typically lasts longer than 15 seconds due to hitlag, so you can burst every 20 seconds and still have full uptime.</v>
      </c>
      <c r="AA46" s="114" t="s">
        <v>168</v>
      </c>
      <c r="AB46" s="117" t="str">
        <f>Data!$AA46</f>
        <v/>
      </c>
    </row>
    <row r="47" ht="14.25" customHeight="1">
      <c r="A47" s="113" t="s">
        <v>281</v>
      </c>
      <c r="B47" s="113" t="s">
        <v>48</v>
      </c>
      <c r="C47" s="113" t="s">
        <v>19</v>
      </c>
      <c r="D47" s="114" t="s">
        <v>168</v>
      </c>
      <c r="E47" s="114" t="s">
        <v>168</v>
      </c>
      <c r="F47" s="113"/>
      <c r="G47" s="113"/>
      <c r="H47" s="113"/>
      <c r="I47" s="115">
        <f>IF(Data!$F47=0,50%,(Data!$F47-ROUNDDOWN(Data!$F47,0))/Data!$F47)</f>
        <v>0.5</v>
      </c>
      <c r="J47" s="115">
        <f>IF(Data!$G47=0,50%,(Data!$G47-ROUNDDOWN(Data!$G47,0))/Data!$G47)</f>
        <v>0.5</v>
      </c>
      <c r="K47" s="115">
        <f>IF(Data!$H47=0,50%,(Data!$H47-ROUNDDOWN(Data!$H47,0))/Data!$H47)</f>
        <v>0.5</v>
      </c>
      <c r="L47" s="113">
        <v>0.0</v>
      </c>
      <c r="M47" s="116">
        <f>Data!$L47</f>
        <v>0</v>
      </c>
      <c r="N47" s="116">
        <f>Data!$L47</f>
        <v>0</v>
      </c>
      <c r="O47" s="113">
        <v>0.0</v>
      </c>
      <c r="P47" s="113"/>
      <c r="Q47" s="113"/>
      <c r="R47" s="113">
        <v>30.0</v>
      </c>
      <c r="S47" s="113"/>
      <c r="T47" s="113"/>
      <c r="U47" s="113">
        <v>20.0</v>
      </c>
      <c r="V47" s="113">
        <v>80.0</v>
      </c>
      <c r="W47" s="113"/>
      <c r="X47" s="115"/>
      <c r="Y47" s="113" t="s">
        <v>282</v>
      </c>
      <c r="Z47" s="113" t="str">
        <f>Data!$Y47</f>
        <v>Qiqi's C1 gives her 2 energy per hit with her Herald of Frost. Put this in "Bonus non-particle energy".</v>
      </c>
      <c r="AA47" s="114" t="s">
        <v>168</v>
      </c>
      <c r="AB47" s="117" t="str">
        <f>Data!$AA47</f>
        <v/>
      </c>
    </row>
    <row r="48" ht="14.25" customHeight="1">
      <c r="A48" s="113" t="s">
        <v>283</v>
      </c>
      <c r="B48" s="113" t="s">
        <v>52</v>
      </c>
      <c r="C48" s="113" t="s">
        <v>19</v>
      </c>
      <c r="D48" s="114" t="s">
        <v>168</v>
      </c>
      <c r="E48" s="114" t="s">
        <v>168</v>
      </c>
      <c r="F48" s="113"/>
      <c r="G48" s="113"/>
      <c r="H48" s="113"/>
      <c r="I48" s="115">
        <f>IF(Data!$F48=0,50%,(Data!$F48-ROUNDDOWN(Data!$F48,0))/Data!$F48)</f>
        <v>0.5</v>
      </c>
      <c r="J48" s="115">
        <f>IF(Data!$G48=0,50%,(Data!$G48-ROUNDDOWN(Data!$G48,0))/Data!$G48)</f>
        <v>0.5</v>
      </c>
      <c r="K48" s="115">
        <f>IF(Data!$H48=0,50%,(Data!$H48-ROUNDDOWN(Data!$H48,0))/Data!$H48)</f>
        <v>0.5</v>
      </c>
      <c r="L48" s="113">
        <v>0.45</v>
      </c>
      <c r="M48" s="116">
        <f>Data!$L48</f>
        <v>0.45</v>
      </c>
      <c r="N48" s="116">
        <f>Data!$L48</f>
        <v>0.45</v>
      </c>
      <c r="O48" s="113">
        <v>25.0</v>
      </c>
      <c r="P48" s="113"/>
      <c r="Q48" s="113"/>
      <c r="R48" s="113">
        <v>10.0</v>
      </c>
      <c r="S48" s="113"/>
      <c r="T48" s="113"/>
      <c r="U48" s="113">
        <v>18.0</v>
      </c>
      <c r="V48" s="113">
        <v>90.0</v>
      </c>
      <c r="W48" s="113"/>
      <c r="X48" s="115"/>
      <c r="Y48" s="113" t="s">
        <v>284</v>
      </c>
      <c r="Z48" s="113" t="str">
        <f>Data!$Y48</f>
        <v>Raiden's burst gives the entire team energy based on Raiden's ER, typically 20-25 energy. Put this in every character's "Bonus non-particle energy".</v>
      </c>
      <c r="AA48" s="113" t="s">
        <v>284</v>
      </c>
      <c r="AB48" s="113" t="str">
        <f>Data!$AA48</f>
        <v>Raiden's burst gives the entire team energy based on Raiden's ER, typically 20-25 energy. Put this in every character's "Bonus non-particle energy".</v>
      </c>
    </row>
    <row r="49" ht="14.25" customHeight="1">
      <c r="A49" s="113" t="s">
        <v>285</v>
      </c>
      <c r="B49" s="113" t="s">
        <v>52</v>
      </c>
      <c r="C49" s="113" t="s">
        <v>19</v>
      </c>
      <c r="D49" s="113" t="s">
        <v>22</v>
      </c>
      <c r="E49" s="114" t="s">
        <v>168</v>
      </c>
      <c r="F49" s="113">
        <v>3.0</v>
      </c>
      <c r="G49" s="113">
        <v>4.0</v>
      </c>
      <c r="H49" s="113"/>
      <c r="I49" s="115">
        <f>IF(Data!$F49=0,50%,(Data!$F49-ROUNDDOWN(Data!$F49,0))/Data!$F49)</f>
        <v>0</v>
      </c>
      <c r="J49" s="115">
        <f>IF(Data!$G49=0,50%,(Data!$G49-ROUNDDOWN(Data!$G49,0))/Data!$G49)</f>
        <v>0</v>
      </c>
      <c r="K49" s="115">
        <f>IF(Data!$H49=0,50%,(Data!$H49-ROUNDDOWN(Data!$H49,0))/Data!$H49)</f>
        <v>0.5</v>
      </c>
      <c r="L49" s="113">
        <v>0.0</v>
      </c>
      <c r="M49" s="116">
        <f>Data!$L49</f>
        <v>0</v>
      </c>
      <c r="N49" s="116">
        <f>Data!$L49</f>
        <v>0</v>
      </c>
      <c r="O49" s="113">
        <v>0.0</v>
      </c>
      <c r="P49" s="113"/>
      <c r="Q49" s="113"/>
      <c r="R49" s="113">
        <v>6.0</v>
      </c>
      <c r="S49" s="113">
        <v>10.0</v>
      </c>
      <c r="T49" s="113"/>
      <c r="U49" s="113">
        <v>20.0</v>
      </c>
      <c r="V49" s="113">
        <v>80.0</v>
      </c>
      <c r="W49" s="113">
        <v>5.0</v>
      </c>
      <c r="X49" s="115">
        <v>0.45</v>
      </c>
      <c r="Y49" s="113" t="s">
        <v>286</v>
      </c>
      <c r="Z49" s="113" t="str">
        <f>Data!$Y49</f>
        <v>Don't include Razor's skill uses during his burst, as they don't generate particles. Razor's burst cost is reduced by 5, and his ER needs reduced by 45%, to account for his talents.</v>
      </c>
      <c r="AA49" s="114" t="s">
        <v>168</v>
      </c>
      <c r="AB49" s="117" t="str">
        <f>Data!$AA49</f>
        <v/>
      </c>
    </row>
    <row r="50" ht="14.25" customHeight="1">
      <c r="A50" s="113" t="s">
        <v>287</v>
      </c>
      <c r="B50" s="113" t="s">
        <v>48</v>
      </c>
      <c r="C50" s="113" t="s">
        <v>19</v>
      </c>
      <c r="D50" s="114" t="s">
        <v>168</v>
      </c>
      <c r="E50" s="114" t="s">
        <v>168</v>
      </c>
      <c r="F50" s="113">
        <v>3.0</v>
      </c>
      <c r="G50" s="113"/>
      <c r="H50" s="113"/>
      <c r="I50" s="115">
        <f>IF(Data!$F50=0,50%,(Data!$F50-ROUNDDOWN(Data!$F50,0))/Data!$F50)</f>
        <v>0</v>
      </c>
      <c r="J50" s="115">
        <f>IF(Data!$G50=0,50%,(Data!$G50-ROUNDDOWN(Data!$G50,0))/Data!$G50)</f>
        <v>0.5</v>
      </c>
      <c r="K50" s="115">
        <f>IF(Data!$H50=0,50%,(Data!$H50-ROUNDDOWN(Data!$H50,0))/Data!$H50)</f>
        <v>0.5</v>
      </c>
      <c r="L50" s="113">
        <v>0.0</v>
      </c>
      <c r="M50" s="116">
        <f>Data!$L50</f>
        <v>0</v>
      </c>
      <c r="N50" s="116">
        <f>Data!$L50</f>
        <v>0</v>
      </c>
      <c r="O50" s="113">
        <v>0.0</v>
      </c>
      <c r="P50" s="113"/>
      <c r="Q50" s="113"/>
      <c r="R50" s="113">
        <v>6.0</v>
      </c>
      <c r="S50" s="113"/>
      <c r="T50" s="113"/>
      <c r="U50" s="113">
        <v>15.0</v>
      </c>
      <c r="V50" s="113">
        <v>60.0</v>
      </c>
      <c r="W50" s="113"/>
      <c r="X50" s="115"/>
      <c r="Y50" s="113" t="s">
        <v>288</v>
      </c>
      <c r="Z50" s="113" t="str">
        <f>Data!$Y50</f>
        <v>Rosaria's C4 gives her 5 energy when her skill crits. Put this in "Bonus non-particle energy".</v>
      </c>
      <c r="AA50" s="114" t="s">
        <v>168</v>
      </c>
      <c r="AB50" s="117" t="str">
        <f>Data!$AA50</f>
        <v/>
      </c>
    </row>
    <row r="51" ht="14.25" customHeight="1">
      <c r="A51" s="113" t="s">
        <v>289</v>
      </c>
      <c r="B51" s="113" t="s">
        <v>52</v>
      </c>
      <c r="C51" s="113" t="s">
        <v>211</v>
      </c>
      <c r="D51" s="114" t="s">
        <v>212</v>
      </c>
      <c r="E51" s="114" t="s">
        <v>168</v>
      </c>
      <c r="F51" s="113">
        <v>3.0</v>
      </c>
      <c r="G51" s="113">
        <v>0.0</v>
      </c>
      <c r="H51" s="113"/>
      <c r="I51" s="115">
        <f>IF(Data!$F51=0,50%,(Data!$F51-ROUNDDOWN(Data!$F51,0))/Data!$F51)</f>
        <v>0</v>
      </c>
      <c r="J51" s="115">
        <f>IF(Data!$G51=0,50%,(Data!$G51-ROUNDDOWN(Data!$G51,0))/Data!$G51)</f>
        <v>0.5</v>
      </c>
      <c r="K51" s="115">
        <f>IF(Data!$H51=0,50%,(Data!$H51-ROUNDDOWN(Data!$H51,0))/Data!$H51)</f>
        <v>0.5</v>
      </c>
      <c r="L51" s="113">
        <v>0.0</v>
      </c>
      <c r="M51" s="116">
        <f>Data!$L51</f>
        <v>0</v>
      </c>
      <c r="N51" s="116">
        <f>Data!$L51</f>
        <v>0</v>
      </c>
      <c r="O51" s="113">
        <v>0.0</v>
      </c>
      <c r="P51" s="113"/>
      <c r="Q51" s="113"/>
      <c r="R51" s="113">
        <v>10.0</v>
      </c>
      <c r="S51" s="113">
        <v>10.0</v>
      </c>
      <c r="T51" s="113"/>
      <c r="U51" s="113">
        <v>20.0</v>
      </c>
      <c r="V51" s="113">
        <v>80.0</v>
      </c>
      <c r="W51" s="113"/>
      <c r="X51" s="115"/>
      <c r="Y51" s="113" t="s">
        <v>290</v>
      </c>
      <c r="Z51" s="113" t="str">
        <f>Data!$Y51</f>
        <v>Sara only generates particles when she uses an aimed shot after her skill, even with C2. Sara's A4 gives the party 1.2 energy for every 100% ER she has. Put this in "Bonus non-particle energy".</v>
      </c>
      <c r="AA51" s="114" t="s">
        <v>168</v>
      </c>
      <c r="AB51" s="117" t="str">
        <f>Data!$AA51</f>
        <v/>
      </c>
    </row>
    <row r="52" ht="14.25" customHeight="1">
      <c r="A52" s="113" t="s">
        <v>291</v>
      </c>
      <c r="B52" s="113" t="s">
        <v>46</v>
      </c>
      <c r="C52" s="113" t="s">
        <v>19</v>
      </c>
      <c r="D52" s="113" t="s">
        <v>292</v>
      </c>
      <c r="E52" s="114" t="s">
        <v>293</v>
      </c>
      <c r="F52" s="113">
        <v>2.0</v>
      </c>
      <c r="G52" s="113">
        <v>3.0</v>
      </c>
      <c r="H52" s="113">
        <v>6.0</v>
      </c>
      <c r="I52" s="115">
        <f>IF(Data!$F52=0,50%,(Data!$F52-ROUNDDOWN(Data!$F52,0))/Data!$F52)</f>
        <v>0</v>
      </c>
      <c r="J52" s="115">
        <f>IF(Data!$G52=0,50%,(Data!$G52-ROUNDDOWN(Data!$G52,0))/Data!$G52)</f>
        <v>0</v>
      </c>
      <c r="K52" s="115">
        <f>IF(Data!$H52=0,50%,(Data!$H52-ROUNDDOWN(Data!$H52,0))/Data!$H52)</f>
        <v>0</v>
      </c>
      <c r="L52" s="113">
        <v>0.0</v>
      </c>
      <c r="M52" s="116">
        <f>Data!$L52</f>
        <v>0</v>
      </c>
      <c r="N52" s="116">
        <f>Data!$L52</f>
        <v>0</v>
      </c>
      <c r="O52" s="113">
        <v>0.0</v>
      </c>
      <c r="P52" s="113"/>
      <c r="Q52" s="113"/>
      <c r="R52" s="113">
        <v>6.0</v>
      </c>
      <c r="S52" s="113">
        <v>6.5</v>
      </c>
      <c r="T52" s="113">
        <v>11.0</v>
      </c>
      <c r="U52" s="113">
        <v>20.0</v>
      </c>
      <c r="V52" s="113">
        <v>80.0</v>
      </c>
      <c r="W52" s="113"/>
      <c r="X52" s="115"/>
      <c r="Y52" s="114" t="s">
        <v>168</v>
      </c>
      <c r="Z52" s="117" t="str">
        <f>Data!$Y52</f>
        <v/>
      </c>
      <c r="AA52" s="114" t="s">
        <v>168</v>
      </c>
      <c r="AB52" s="117" t="str">
        <f>Data!$AA52</f>
        <v/>
      </c>
    </row>
    <row r="53" ht="14.25" customHeight="1">
      <c r="A53" s="113" t="s">
        <v>294</v>
      </c>
      <c r="B53" s="113" t="s">
        <v>48</v>
      </c>
      <c r="C53" s="113" t="s">
        <v>19</v>
      </c>
      <c r="D53" s="113" t="s">
        <v>22</v>
      </c>
      <c r="E53" s="114" t="s">
        <v>168</v>
      </c>
      <c r="F53" s="113">
        <v>3.0</v>
      </c>
      <c r="G53" s="113">
        <v>4.0</v>
      </c>
      <c r="H53" s="113"/>
      <c r="I53" s="115">
        <f>IF(Data!$F53=0,50%,(Data!$F53-ROUNDDOWN(Data!$F53,0))/Data!$F53)</f>
        <v>0</v>
      </c>
      <c r="J53" s="115">
        <f>IF(Data!$G53=0,50%,(Data!$G53-ROUNDDOWN(Data!$G53,0))/Data!$G53)</f>
        <v>0</v>
      </c>
      <c r="K53" s="115">
        <f>IF(Data!$H53=0,50%,(Data!$H53-ROUNDDOWN(Data!$H53,0))/Data!$H53)</f>
        <v>0.5</v>
      </c>
      <c r="L53" s="113">
        <v>0.0</v>
      </c>
      <c r="M53" s="116">
        <f>Data!$L53</f>
        <v>0</v>
      </c>
      <c r="N53" s="116">
        <f>Data!$L53</f>
        <v>0</v>
      </c>
      <c r="O53" s="113">
        <v>0.0</v>
      </c>
      <c r="P53" s="113"/>
      <c r="Q53" s="113"/>
      <c r="R53" s="113">
        <v>10.0</v>
      </c>
      <c r="S53" s="113">
        <v>15.0</v>
      </c>
      <c r="T53" s="113"/>
      <c r="U53" s="113">
        <v>20.0</v>
      </c>
      <c r="V53" s="113">
        <v>80.0</v>
      </c>
      <c r="W53" s="113"/>
      <c r="X53" s="115"/>
      <c r="Y53" s="114" t="s">
        <v>168</v>
      </c>
      <c r="Z53" s="117" t="str">
        <f>Data!$Y53</f>
        <v/>
      </c>
      <c r="AA53" s="114" t="s">
        <v>168</v>
      </c>
      <c r="AB53" s="117" t="str">
        <f>Data!$AA53</f>
        <v/>
      </c>
    </row>
    <row r="54" ht="14.25" customHeight="1">
      <c r="A54" s="113" t="s">
        <v>295</v>
      </c>
      <c r="B54" s="113" t="str">
        <f t="shared" ref="B54:H54" si="2">B37</f>
        <v>Electro</v>
      </c>
      <c r="C54" s="113" t="str">
        <f t="shared" si="2"/>
        <v>Constellation 0</v>
      </c>
      <c r="D54" s="113" t="str">
        <f t="shared" si="2"/>
        <v>Constellation 2</v>
      </c>
      <c r="E54" s="117" t="str">
        <f t="shared" si="2"/>
        <v>Constellation 4</v>
      </c>
      <c r="F54" s="113" t="str">
        <f t="shared" si="2"/>
        <v/>
      </c>
      <c r="G54" s="113" t="str">
        <f t="shared" si="2"/>
        <v/>
      </c>
      <c r="H54" s="113" t="str">
        <f t="shared" si="2"/>
        <v/>
      </c>
      <c r="I54" s="115">
        <f>IF(Data!$F54=0,50%,(Data!$F54-ROUNDDOWN(Data!$F54,0))/Data!$F54)</f>
        <v>0.5</v>
      </c>
      <c r="J54" s="115">
        <f>IF(Data!$G54=0,50%,(Data!$G54-ROUNDDOWN(Data!$G54,0))/Data!$G54)</f>
        <v>0.5</v>
      </c>
      <c r="K54" s="115">
        <f>IF(Data!$H54=0,50%,(Data!$H54-ROUNDDOWN(Data!$H54,0))/Data!$H54)</f>
        <v>0.5</v>
      </c>
      <c r="L54" s="113">
        <f t="shared" ref="L54:V54" si="3">L37</f>
        <v>0.3</v>
      </c>
      <c r="M54" s="116">
        <f t="shared" si="3"/>
        <v>0.3</v>
      </c>
      <c r="N54" s="116">
        <f t="shared" si="3"/>
        <v>0.4</v>
      </c>
      <c r="O54" s="113">
        <f t="shared" si="3"/>
        <v>12</v>
      </c>
      <c r="P54" s="113">
        <f t="shared" si="3"/>
        <v>15</v>
      </c>
      <c r="Q54" s="113">
        <f t="shared" si="3"/>
        <v>15</v>
      </c>
      <c r="R54" s="113">
        <f t="shared" si="3"/>
        <v>15</v>
      </c>
      <c r="S54" s="113">
        <f t="shared" si="3"/>
        <v>15</v>
      </c>
      <c r="T54" s="113">
        <f t="shared" si="3"/>
        <v>15</v>
      </c>
      <c r="U54" s="113">
        <f t="shared" si="3"/>
        <v>15</v>
      </c>
      <c r="V54" s="113">
        <f t="shared" si="3"/>
        <v>60</v>
      </c>
      <c r="W54" s="113"/>
      <c r="X54" s="115"/>
      <c r="Y54" s="114" t="s">
        <v>168</v>
      </c>
      <c r="Z54" s="117" t="str">
        <f>Data!$Y54</f>
        <v/>
      </c>
      <c r="AA54" s="114" t="s">
        <v>168</v>
      </c>
      <c r="AB54" s="117" t="str">
        <f>Data!$AA54</f>
        <v/>
      </c>
    </row>
    <row r="55" ht="14.25" customHeight="1">
      <c r="A55" s="113" t="s">
        <v>17</v>
      </c>
      <c r="B55" s="113" t="s">
        <v>46</v>
      </c>
      <c r="C55" s="113" t="s">
        <v>19</v>
      </c>
      <c r="D55" s="114" t="s">
        <v>168</v>
      </c>
      <c r="E55" s="114" t="s">
        <v>168</v>
      </c>
      <c r="F55" s="113">
        <v>4.0</v>
      </c>
      <c r="G55" s="113"/>
      <c r="H55" s="113"/>
      <c r="I55" s="115">
        <f>IF(Data!$F55=0,50%,(Data!$F55-ROUNDDOWN(Data!$F55,0))/Data!$F55)</f>
        <v>0</v>
      </c>
      <c r="J55" s="115">
        <f>IF(Data!$G55=0,50%,(Data!$G55-ROUNDDOWN(Data!$G55,0))/Data!$G55)</f>
        <v>0.5</v>
      </c>
      <c r="K55" s="115">
        <f>IF(Data!$H55=0,50%,(Data!$H55-ROUNDDOWN(Data!$H55,0))/Data!$H55)</f>
        <v>0.5</v>
      </c>
      <c r="L55" s="113">
        <v>0.0</v>
      </c>
      <c r="M55" s="116">
        <f>Data!$L55</f>
        <v>0</v>
      </c>
      <c r="N55" s="116">
        <f>Data!$L55</f>
        <v>0</v>
      </c>
      <c r="O55" s="113">
        <v>0.0</v>
      </c>
      <c r="P55" s="113"/>
      <c r="Q55" s="113"/>
      <c r="R55" s="113">
        <v>15.0</v>
      </c>
      <c r="S55" s="113"/>
      <c r="T55" s="113"/>
      <c r="U55" s="113">
        <v>20.0</v>
      </c>
      <c r="V55" s="113">
        <v>80.0</v>
      </c>
      <c r="W55" s="113"/>
      <c r="X55" s="115"/>
      <c r="Y55" s="114" t="s">
        <v>168</v>
      </c>
      <c r="Z55" s="117" t="str">
        <f>Data!$Y55</f>
        <v/>
      </c>
      <c r="AA55" s="114" t="s">
        <v>168</v>
      </c>
      <c r="AB55" s="117" t="str">
        <f>Data!$AA55</f>
        <v/>
      </c>
    </row>
    <row r="56" ht="14.25" customHeight="1">
      <c r="A56" s="113" t="s">
        <v>296</v>
      </c>
      <c r="B56" s="113" t="s">
        <v>56</v>
      </c>
      <c r="C56" s="113" t="s">
        <v>297</v>
      </c>
      <c r="D56" s="113" t="s">
        <v>298</v>
      </c>
      <c r="E56" s="113" t="s">
        <v>211</v>
      </c>
      <c r="F56" s="113">
        <v>3.0</v>
      </c>
      <c r="G56" s="113">
        <v>4.0</v>
      </c>
      <c r="H56" s="113">
        <v>1.0</v>
      </c>
      <c r="I56" s="115">
        <f>IF(Data!$F56=0,50%,(Data!$F56-ROUNDDOWN(Data!$F56,0))/Data!$F56)</f>
        <v>0</v>
      </c>
      <c r="J56" s="115">
        <f>IF(Data!$G56=0,50%,(Data!$G56-ROUNDDOWN(Data!$G56,0))/Data!$G56)</f>
        <v>0</v>
      </c>
      <c r="K56" s="115">
        <f>IF(Data!$H56=0,50%,(Data!$H56-ROUNDDOWN(Data!$H56,0))/Data!$H56)</f>
        <v>0</v>
      </c>
      <c r="L56" s="113">
        <v>0.0</v>
      </c>
      <c r="M56" s="116">
        <f>Data!$L56</f>
        <v>0</v>
      </c>
      <c r="N56" s="116">
        <f>Data!$L56</f>
        <v>0</v>
      </c>
      <c r="O56" s="113">
        <v>0.0</v>
      </c>
      <c r="P56" s="113"/>
      <c r="Q56" s="113"/>
      <c r="R56" s="113">
        <v>13.0</v>
      </c>
      <c r="S56" s="113">
        <v>17.0</v>
      </c>
      <c r="T56" s="113">
        <v>3.0</v>
      </c>
      <c r="U56" s="113">
        <v>15.0</v>
      </c>
      <c r="V56" s="113">
        <v>60.0</v>
      </c>
      <c r="W56" s="113"/>
      <c r="X56" s="115"/>
      <c r="Y56" s="113" t="s">
        <v>299</v>
      </c>
      <c r="Z56" s="113" t="str">
        <f>Data!$Y56</f>
        <v>If Tartaglia is using ranged burst, put 20 in "Bonus non-particle energy". Use the "Aimed Shot" skill in "Skill uses (other type)" for the number of aimed shots done in ranged form.</v>
      </c>
      <c r="AA56" s="113" t="s">
        <v>300</v>
      </c>
      <c r="AB56" s="113" t="str">
        <f>Data!$AA56</f>
        <v>If using ranged burst, put 20 in "Bonus non-particle energy".</v>
      </c>
    </row>
    <row r="57" ht="14.25" customHeight="1">
      <c r="A57" s="113" t="s">
        <v>301</v>
      </c>
      <c r="B57" s="113" t="s">
        <v>51</v>
      </c>
      <c r="C57" s="113" t="s">
        <v>19</v>
      </c>
      <c r="D57" s="114" t="s">
        <v>168</v>
      </c>
      <c r="E57" s="114" t="s">
        <v>168</v>
      </c>
      <c r="F57" s="113">
        <v>3.5</v>
      </c>
      <c r="G57" s="113"/>
      <c r="H57" s="113"/>
      <c r="I57" s="115">
        <f>IF(Data!$F57=0,50%,(Data!$F57-ROUNDDOWN(Data!$F57,0))/Data!$F57)</f>
        <v>0.1428571429</v>
      </c>
      <c r="J57" s="115">
        <f>IF(Data!$G57=0,50%,(Data!$G57-ROUNDDOWN(Data!$G57,0))/Data!$G57)</f>
        <v>0.5</v>
      </c>
      <c r="K57" s="115">
        <f>IF(Data!$H57=0,50%,(Data!$H57-ROUNDDOWN(Data!$H57,0))/Data!$H57)</f>
        <v>0.5</v>
      </c>
      <c r="L57" s="113">
        <v>0.0</v>
      </c>
      <c r="M57" s="116">
        <f>Data!$L57</f>
        <v>0</v>
      </c>
      <c r="N57" s="116">
        <f>Data!$L57</f>
        <v>0</v>
      </c>
      <c r="O57" s="113">
        <v>0.0</v>
      </c>
      <c r="P57" s="113"/>
      <c r="Q57" s="113"/>
      <c r="R57" s="113">
        <v>12.0</v>
      </c>
      <c r="S57" s="113"/>
      <c r="T57" s="113"/>
      <c r="U57" s="113">
        <v>12.0</v>
      </c>
      <c r="V57" s="113">
        <v>40.0</v>
      </c>
      <c r="W57" s="113"/>
      <c r="X57" s="115"/>
      <c r="Y57" s="114" t="s">
        <v>168</v>
      </c>
      <c r="Z57" s="117" t="str">
        <f>Data!$Y57</f>
        <v/>
      </c>
      <c r="AA57" s="114" t="s">
        <v>168</v>
      </c>
      <c r="AB57" s="117" t="str">
        <f>Data!$AA57</f>
        <v/>
      </c>
    </row>
    <row r="58" ht="14.25" customHeight="1">
      <c r="A58" s="113" t="s">
        <v>302</v>
      </c>
      <c r="B58" s="113" t="s">
        <v>63</v>
      </c>
      <c r="C58" s="113" t="s">
        <v>19</v>
      </c>
      <c r="D58" s="114" t="s">
        <v>168</v>
      </c>
      <c r="E58" s="114" t="s">
        <v>168</v>
      </c>
      <c r="F58" s="113">
        <v>3.4</v>
      </c>
      <c r="G58" s="113"/>
      <c r="H58" s="113"/>
      <c r="I58" s="115">
        <f>IF(Data!$F58=0,50%,(Data!$F58-ROUNDDOWN(Data!$F58,0))/Data!$F58)</f>
        <v>0.1176470588</v>
      </c>
      <c r="J58" s="115">
        <f>IF(Data!$G58=0,50%,(Data!$G58-ROUNDDOWN(Data!$G58,0))/Data!$G58)</f>
        <v>0.5</v>
      </c>
      <c r="K58" s="115">
        <f>IF(Data!$H58=0,50%,(Data!$H58-ROUNDDOWN(Data!$H58,0))/Data!$H58)</f>
        <v>0.5</v>
      </c>
      <c r="L58" s="113">
        <v>0.0</v>
      </c>
      <c r="M58" s="116">
        <f>Data!$L58</f>
        <v>0</v>
      </c>
      <c r="N58" s="116">
        <f>Data!$L58</f>
        <v>0</v>
      </c>
      <c r="O58" s="113">
        <v>0.0</v>
      </c>
      <c r="P58" s="113"/>
      <c r="Q58" s="113"/>
      <c r="R58" s="113">
        <v>15.0</v>
      </c>
      <c r="S58" s="113"/>
      <c r="T58" s="113"/>
      <c r="U58" s="113">
        <v>20.0</v>
      </c>
      <c r="V58" s="113">
        <v>80.0</v>
      </c>
      <c r="W58" s="113"/>
      <c r="X58" s="115"/>
      <c r="Y58" s="113" t="s">
        <v>303</v>
      </c>
      <c r="Z58" s="113" t="s">
        <v>304</v>
      </c>
      <c r="AA58" s="114" t="s">
        <v>168</v>
      </c>
      <c r="AB58" s="117" t="str">
        <f>Data!$AA58</f>
        <v/>
      </c>
    </row>
    <row r="59" ht="14.25" customHeight="1">
      <c r="A59" s="113" t="s">
        <v>305</v>
      </c>
      <c r="B59" s="113" t="s">
        <v>46</v>
      </c>
      <c r="C59" s="113" t="s">
        <v>19</v>
      </c>
      <c r="D59" s="113" t="s">
        <v>22</v>
      </c>
      <c r="E59" s="114" t="s">
        <v>168</v>
      </c>
      <c r="F59" s="113">
        <v>2.0</v>
      </c>
      <c r="G59" s="113">
        <v>3.33</v>
      </c>
      <c r="H59" s="113"/>
      <c r="I59" s="115">
        <f>IF(Data!$F59=0,50%,(Data!$F59-ROUNDDOWN(Data!$F59,0))/Data!$F59)</f>
        <v>0</v>
      </c>
      <c r="J59" s="115">
        <f>IF(Data!$G59=0,50%,(Data!$G59-ROUNDDOWN(Data!$G59,0))/Data!$G59)</f>
        <v>0.0990990991</v>
      </c>
      <c r="K59" s="115">
        <f>IF(Data!$H59=0,50%,(Data!$H59-ROUNDDOWN(Data!$H59,0))/Data!$H59)</f>
        <v>0.5</v>
      </c>
      <c r="L59" s="113">
        <v>0.0</v>
      </c>
      <c r="M59" s="116">
        <f>Data!$L59</f>
        <v>0</v>
      </c>
      <c r="N59" s="116">
        <f>Data!$L59</f>
        <v>0</v>
      </c>
      <c r="O59" s="113">
        <v>0.0</v>
      </c>
      <c r="P59" s="113"/>
      <c r="Q59" s="113"/>
      <c r="R59" s="113">
        <v>5.0</v>
      </c>
      <c r="S59" s="113">
        <v>8.0</v>
      </c>
      <c r="T59" s="113"/>
      <c r="U59" s="113">
        <v>15.0</v>
      </c>
      <c r="V59" s="113">
        <v>60.0</v>
      </c>
      <c r="W59" s="113"/>
      <c r="X59" s="115"/>
      <c r="Y59" s="114" t="s">
        <v>306</v>
      </c>
      <c r="Z59" s="117" t="str">
        <f>Data!$Y59</f>
        <v>Anemo Traveler's C2 is ignored, since it appears in their stats screen</v>
      </c>
      <c r="AA59" s="114" t="s">
        <v>168</v>
      </c>
      <c r="AB59" s="117" t="str">
        <f>Data!$AA59</f>
        <v/>
      </c>
    </row>
    <row r="60" ht="14.25" customHeight="1">
      <c r="A60" s="113" t="s">
        <v>307</v>
      </c>
      <c r="B60" s="113" t="s">
        <v>51</v>
      </c>
      <c r="C60" s="113" t="s">
        <v>19</v>
      </c>
      <c r="D60" s="114" t="s">
        <v>168</v>
      </c>
      <c r="E60" s="114" t="s">
        <v>168</v>
      </c>
      <c r="F60" s="113">
        <v>2.5</v>
      </c>
      <c r="G60" s="113"/>
      <c r="H60" s="113"/>
      <c r="I60" s="115">
        <f>IF(Data!$F60=0,50%,(Data!$F60-ROUNDDOWN(Data!$F60,0))/Data!$F60)</f>
        <v>0.2</v>
      </c>
      <c r="J60" s="115">
        <f>IF(Data!$G60=0,50%,(Data!$G60-ROUNDDOWN(Data!$G60,0))/Data!$G60)</f>
        <v>0.5</v>
      </c>
      <c r="K60" s="115">
        <f>IF(Data!$H60=0,50%,(Data!$H60-ROUNDDOWN(Data!$H60,0))/Data!$H60)</f>
        <v>0.5</v>
      </c>
      <c r="L60" s="113">
        <v>0.0</v>
      </c>
      <c r="M60" s="116">
        <f>Data!$L60</f>
        <v>0</v>
      </c>
      <c r="N60" s="116">
        <f>Data!$L60</f>
        <v>0</v>
      </c>
      <c r="O60" s="113"/>
      <c r="P60" s="113"/>
      <c r="Q60" s="113"/>
      <c r="R60" s="113">
        <v>8.0</v>
      </c>
      <c r="S60" s="113"/>
      <c r="T60" s="113"/>
      <c r="U60" s="113">
        <v>20.0</v>
      </c>
      <c r="V60" s="113">
        <v>80.0</v>
      </c>
      <c r="W60" s="113"/>
      <c r="X60" s="115"/>
      <c r="Y60" s="114" t="s">
        <v>308</v>
      </c>
      <c r="Z60" s="117" t="str">
        <f>Data!$Y60</f>
        <v>Dendro Traveler's C1 is already factored in and does not need to be added to "Bonus non-particle energy".</v>
      </c>
      <c r="AA60" s="114" t="s">
        <v>308</v>
      </c>
      <c r="AB60" s="117" t="str">
        <f>Data!$AA60</f>
        <v>Dendro Traveler's C1 is already factored in and does not need to be added to "Bonus non-particle energy".</v>
      </c>
    </row>
    <row r="61" ht="14.25" customHeight="1">
      <c r="A61" s="113" t="s">
        <v>309</v>
      </c>
      <c r="B61" s="113" t="s">
        <v>52</v>
      </c>
      <c r="C61" s="113" t="s">
        <v>19</v>
      </c>
      <c r="D61" s="114" t="s">
        <v>168</v>
      </c>
      <c r="E61" s="114" t="s">
        <v>168</v>
      </c>
      <c r="F61" s="113">
        <v>1.0</v>
      </c>
      <c r="G61" s="113"/>
      <c r="H61" s="113"/>
      <c r="I61" s="115">
        <f>IF(Data!$F61=0,50%,(Data!$F61-ROUNDDOWN(Data!$F61,0))/Data!$F61)</f>
        <v>0</v>
      </c>
      <c r="J61" s="115">
        <f>IF(Data!$G61=0,50%,(Data!$G61-ROUNDDOWN(Data!$G61,0))/Data!$G61)</f>
        <v>0.5</v>
      </c>
      <c r="K61" s="115">
        <f>IF(Data!$H61=0,50%,(Data!$H61-ROUNDDOWN(Data!$H61,0))/Data!$H61)</f>
        <v>0.5</v>
      </c>
      <c r="L61" s="113">
        <v>0.0</v>
      </c>
      <c r="M61" s="116">
        <f>Data!$L61</f>
        <v>0</v>
      </c>
      <c r="N61" s="116">
        <f>Data!$L61</f>
        <v>0</v>
      </c>
      <c r="O61" s="113">
        <v>0.0</v>
      </c>
      <c r="P61" s="113"/>
      <c r="Q61" s="113"/>
      <c r="R61" s="113">
        <v>13.5</v>
      </c>
      <c r="S61" s="113"/>
      <c r="T61" s="113"/>
      <c r="U61" s="113">
        <v>20.0</v>
      </c>
      <c r="V61" s="113">
        <v>80.0</v>
      </c>
      <c r="W61" s="113"/>
      <c r="X61" s="115"/>
      <c r="Y61" s="113" t="s">
        <v>310</v>
      </c>
      <c r="Z61" s="113" t="str">
        <f>Data!$Y61</f>
        <v>Electro Traveler's skill generates 12 energy. Their burst gives about 16 energy. Put these in the "Bonus non-particle energy" of whoever uses them. Also consider the amulet ER bonus.</v>
      </c>
      <c r="AA61" s="114" t="s">
        <v>168</v>
      </c>
      <c r="AB61" s="117" t="str">
        <f>Data!$AA61</f>
        <v/>
      </c>
    </row>
    <row r="62" ht="14.25" customHeight="1">
      <c r="A62" s="113" t="s">
        <v>311</v>
      </c>
      <c r="B62" s="113" t="s">
        <v>54</v>
      </c>
      <c r="C62" s="113" t="s">
        <v>19</v>
      </c>
      <c r="D62" s="114" t="s">
        <v>168</v>
      </c>
      <c r="E62" s="114" t="s">
        <v>168</v>
      </c>
      <c r="F62" s="113">
        <v>3.33</v>
      </c>
      <c r="G62" s="113"/>
      <c r="H62" s="113"/>
      <c r="I62" s="115">
        <f>IF(Data!$F62=0,50%,(Data!$F62-ROUNDDOWN(Data!$F62,0))/Data!$F62)</f>
        <v>0.0990990991</v>
      </c>
      <c r="J62" s="115">
        <f>IF(Data!$G62=0,50%,(Data!$G62-ROUNDDOWN(Data!$G62,0))/Data!$G62)</f>
        <v>0.5</v>
      </c>
      <c r="K62" s="115">
        <f>IF(Data!$H62=0,50%,(Data!$H62-ROUNDDOWN(Data!$H62,0))/Data!$H62)</f>
        <v>0.5</v>
      </c>
      <c r="L62" s="113">
        <v>0.0</v>
      </c>
      <c r="M62" s="116">
        <f>Data!$L62</f>
        <v>0</v>
      </c>
      <c r="N62" s="116">
        <f>Data!$L62</f>
        <v>0</v>
      </c>
      <c r="O62" s="113">
        <v>0.0</v>
      </c>
      <c r="P62" s="113"/>
      <c r="Q62" s="113"/>
      <c r="R62" s="113">
        <v>6.0</v>
      </c>
      <c r="S62" s="113"/>
      <c r="T62" s="113"/>
      <c r="U62" s="113">
        <v>15.0</v>
      </c>
      <c r="V62" s="113">
        <v>60.0</v>
      </c>
      <c r="W62" s="113"/>
      <c r="X62" s="115"/>
      <c r="Y62" s="113" t="s">
        <v>312</v>
      </c>
      <c r="Z62" s="113" t="s">
        <v>313</v>
      </c>
      <c r="AA62" s="113" t="s">
        <v>312</v>
      </c>
      <c r="AB62" s="113" t="str">
        <f>Data!$AA62</f>
        <v>Geo Traveler's burst gives 5 energy per enemy hit. Put this in "Bonus non-particle energy".</v>
      </c>
    </row>
    <row r="63" ht="14.25" customHeight="1">
      <c r="A63" s="113" t="s">
        <v>314</v>
      </c>
      <c r="B63" s="113" t="s">
        <v>46</v>
      </c>
      <c r="C63" s="113" t="s">
        <v>19</v>
      </c>
      <c r="D63" s="113" t="s">
        <v>22</v>
      </c>
      <c r="E63" s="114" t="s">
        <v>168</v>
      </c>
      <c r="F63" s="113">
        <v>3.0</v>
      </c>
      <c r="G63" s="113">
        <v>4.0</v>
      </c>
      <c r="H63" s="113"/>
      <c r="I63" s="115">
        <f>IF(Data!$F63=0,50%,(Data!$F63-ROUNDDOWN(Data!$F63,0))/Data!$F63)</f>
        <v>0</v>
      </c>
      <c r="J63" s="115">
        <f>IF(Data!$G63=0,50%,(Data!$G63-ROUNDDOWN(Data!$G63,0))/Data!$G63)</f>
        <v>0</v>
      </c>
      <c r="K63" s="115">
        <f>IF(Data!$H63=0,50%,(Data!$H63-ROUNDDOWN(Data!$H63,0))/Data!$H63)</f>
        <v>0.5</v>
      </c>
      <c r="L63" s="113">
        <v>0.0</v>
      </c>
      <c r="M63" s="116">
        <f>Data!$L63</f>
        <v>0</v>
      </c>
      <c r="N63" s="116">
        <f>Data!$L63</f>
        <v>0</v>
      </c>
      <c r="O63" s="113">
        <v>0.0</v>
      </c>
      <c r="P63" s="113"/>
      <c r="Q63" s="113"/>
      <c r="R63" s="113">
        <v>6.0</v>
      </c>
      <c r="S63" s="113">
        <v>15.0</v>
      </c>
      <c r="T63" s="113"/>
      <c r="U63" s="113">
        <v>15.0</v>
      </c>
      <c r="V63" s="113">
        <v>60.0</v>
      </c>
      <c r="W63" s="113">
        <v>15.0</v>
      </c>
      <c r="X63" s="115"/>
      <c r="Y63" s="113" t="s">
        <v>315</v>
      </c>
      <c r="Z63" s="113" t="str">
        <f>Data!$Y63</f>
        <v>Venti's burst cost is reduced by 15 due to his A4 passive. It also gives energy to any characters of the element absorbed by the burst. Put this in those characters' "Bonus non-particle energy".</v>
      </c>
      <c r="AA63" s="113" t="s">
        <v>316</v>
      </c>
      <c r="AB63" s="113" t="str">
        <f>Data!$AA63</f>
        <v>The discount on Venti's burst from his A4 passive is already included and does not need to be in "Bonus non-particle energy".</v>
      </c>
    </row>
    <row r="64" ht="14.25" customHeight="1">
      <c r="A64" s="113" t="s">
        <v>317</v>
      </c>
      <c r="B64" s="113" t="s">
        <v>46</v>
      </c>
      <c r="C64" s="113" t="s">
        <v>318</v>
      </c>
      <c r="D64" s="114" t="s">
        <v>319</v>
      </c>
      <c r="E64" s="114" t="s">
        <v>168</v>
      </c>
      <c r="F64" s="113">
        <v>4.0</v>
      </c>
      <c r="G64" s="113">
        <v>3.0</v>
      </c>
      <c r="H64" s="113"/>
      <c r="I64" s="115">
        <f>IF(Data!$F64=0,50%,(Data!$F64-ROUNDDOWN(Data!$F64,0))/Data!$F64)</f>
        <v>0</v>
      </c>
      <c r="J64" s="115">
        <f>IF(Data!$G64=0,50%,(Data!$G64-ROUNDDOWN(Data!$G64,0))/Data!$G64)</f>
        <v>0</v>
      </c>
      <c r="K64" s="115">
        <f>IF(Data!$H64=0,50%,(Data!$H64-ROUNDDOWN(Data!$H64,0))/Data!$H64)</f>
        <v>0.5</v>
      </c>
      <c r="L64" s="113">
        <v>0.0</v>
      </c>
      <c r="M64" s="116">
        <v>0.0</v>
      </c>
      <c r="N64" s="116">
        <v>0.0</v>
      </c>
      <c r="O64" s="113">
        <v>0.0</v>
      </c>
      <c r="P64" s="113"/>
      <c r="Q64" s="113"/>
      <c r="R64" s="113">
        <v>6.0</v>
      </c>
      <c r="S64" s="113"/>
      <c r="T64" s="113"/>
      <c r="U64" s="113">
        <v>15.0</v>
      </c>
      <c r="V64" s="113">
        <v>60.0</v>
      </c>
      <c r="W64" s="113"/>
      <c r="X64" s="115"/>
      <c r="Y64" s="113" t="s">
        <v>320</v>
      </c>
      <c r="Z64" s="113" t="str">
        <f>Data!$Y64</f>
        <v>If Wanderer absorbs Electro with his skill, he will gain approximately 13 energy per skill use. Put this in "Bonus non-particle energy".</v>
      </c>
      <c r="AA64" s="113"/>
      <c r="AB64" s="113" t="str">
        <f>Data!$AA64</f>
        <v/>
      </c>
    </row>
    <row r="65" ht="14.25" customHeight="1">
      <c r="A65" s="113" t="s">
        <v>321</v>
      </c>
      <c r="B65" s="113" t="s">
        <v>63</v>
      </c>
      <c r="C65" s="113" t="s">
        <v>19</v>
      </c>
      <c r="D65" s="114" t="s">
        <v>168</v>
      </c>
      <c r="E65" s="114" t="s">
        <v>168</v>
      </c>
      <c r="F65" s="113"/>
      <c r="G65" s="113"/>
      <c r="H65" s="113"/>
      <c r="I65" s="118">
        <v>0.0</v>
      </c>
      <c r="J65" s="118">
        <v>0.0</v>
      </c>
      <c r="K65" s="118">
        <v>0.0</v>
      </c>
      <c r="L65" s="113">
        <v>0.5</v>
      </c>
      <c r="M65" s="116">
        <f>Data!$L65</f>
        <v>0.5</v>
      </c>
      <c r="N65" s="116">
        <f>Data!$L65</f>
        <v>0.5</v>
      </c>
      <c r="O65" s="113">
        <v>8.0</v>
      </c>
      <c r="P65" s="113"/>
      <c r="Q65" s="113"/>
      <c r="R65" s="113">
        <v>12.0</v>
      </c>
      <c r="S65" s="113"/>
      <c r="T65" s="113"/>
      <c r="U65" s="113">
        <v>20.0</v>
      </c>
      <c r="V65" s="113">
        <v>80.0</v>
      </c>
      <c r="W65" s="113"/>
      <c r="X65" s="115"/>
      <c r="Y65" s="113" t="s">
        <v>322</v>
      </c>
      <c r="Z65" s="113" t="str">
        <f>Data!$Y65</f>
        <v>Xiangling's Guoba is assumed to hit 4 times. If you want to assume it only hits twice, count that as 0.5 skill uses. Gouba's particles are distributed based on time spent on field.</v>
      </c>
      <c r="AA65" s="114" t="s">
        <v>168</v>
      </c>
      <c r="AB65" s="117" t="str">
        <f>Data!$AA65</f>
        <v/>
      </c>
    </row>
    <row r="66" ht="14.25" customHeight="1">
      <c r="A66" s="113" t="s">
        <v>323</v>
      </c>
      <c r="B66" s="113" t="s">
        <v>46</v>
      </c>
      <c r="C66" s="113" t="s">
        <v>19</v>
      </c>
      <c r="D66" s="114" t="s">
        <v>168</v>
      </c>
      <c r="E66" s="114" t="s">
        <v>168</v>
      </c>
      <c r="F66" s="113">
        <v>3.0</v>
      </c>
      <c r="G66" s="113"/>
      <c r="H66" s="113"/>
      <c r="I66" s="115">
        <f>IF(Data!$F66=0,50%,(Data!$F66-ROUNDDOWN(Data!$F66,0))/Data!$F66)</f>
        <v>0</v>
      </c>
      <c r="J66" s="115">
        <f>IF(Data!$G66=0,50%,(Data!$G66-ROUNDDOWN(Data!$G66,0))/Data!$G66)</f>
        <v>0.5</v>
      </c>
      <c r="K66" s="115">
        <f>IF(Data!$H66=0,50%,(Data!$H66-ROUNDDOWN(Data!$H66,0))/Data!$H66)</f>
        <v>0.5</v>
      </c>
      <c r="L66" s="113">
        <v>0.0</v>
      </c>
      <c r="M66" s="116">
        <f>Data!$L66</f>
        <v>0</v>
      </c>
      <c r="N66" s="116">
        <f>Data!$L66</f>
        <v>0</v>
      </c>
      <c r="O66" s="113">
        <v>0.0</v>
      </c>
      <c r="P66" s="113"/>
      <c r="Q66" s="113"/>
      <c r="R66" s="113">
        <v>10.0</v>
      </c>
      <c r="S66" s="113"/>
      <c r="T66" s="113"/>
      <c r="U66" s="113">
        <v>18.0</v>
      </c>
      <c r="V66" s="113">
        <v>70.0</v>
      </c>
      <c r="W66" s="113"/>
      <c r="X66" s="115"/>
      <c r="Y66" s="114" t="s">
        <v>168</v>
      </c>
      <c r="Z66" s="117" t="str">
        <f>Data!$Y66</f>
        <v/>
      </c>
      <c r="AA66" s="114" t="s">
        <v>168</v>
      </c>
      <c r="AB66" s="117" t="str">
        <f>Data!$AA66</f>
        <v/>
      </c>
    </row>
    <row r="67" ht="14.25" customHeight="1">
      <c r="A67" s="113" t="s">
        <v>324</v>
      </c>
      <c r="B67" s="113" t="s">
        <v>56</v>
      </c>
      <c r="C67" s="113" t="s">
        <v>19</v>
      </c>
      <c r="D67" s="114" t="s">
        <v>168</v>
      </c>
      <c r="E67" s="114" t="s">
        <v>168</v>
      </c>
      <c r="F67" s="113">
        <v>5.0</v>
      </c>
      <c r="G67" s="113"/>
      <c r="H67" s="113"/>
      <c r="I67" s="115">
        <f>IF(Data!$F67=0,50%,(Data!$F67-ROUNDDOWN(Data!$F67,0))/Data!$F67)</f>
        <v>0</v>
      </c>
      <c r="J67" s="115">
        <f>IF(Data!$G67=0,50%,(Data!$G67-ROUNDDOWN(Data!$G67,0))/Data!$G67)</f>
        <v>0.5</v>
      </c>
      <c r="K67" s="115">
        <f>IF(Data!$H67=0,50%,(Data!$H67-ROUNDDOWN(Data!$H67,0))/Data!$H67)</f>
        <v>0.5</v>
      </c>
      <c r="L67" s="113">
        <v>0.0</v>
      </c>
      <c r="M67" s="116">
        <f>Data!$L67</f>
        <v>0</v>
      </c>
      <c r="N67" s="116">
        <f>Data!$L67</f>
        <v>0</v>
      </c>
      <c r="O67" s="113">
        <v>0.0</v>
      </c>
      <c r="P67" s="113"/>
      <c r="Q67" s="113"/>
      <c r="R67" s="113">
        <v>21.0</v>
      </c>
      <c r="S67" s="113"/>
      <c r="T67" s="113"/>
      <c r="U67" s="113">
        <v>20.0</v>
      </c>
      <c r="V67" s="113">
        <v>80.0</v>
      </c>
      <c r="W67" s="113"/>
      <c r="X67" s="115"/>
      <c r="Y67" s="113" t="s">
        <v>325</v>
      </c>
      <c r="Z67" s="113" t="s">
        <v>326</v>
      </c>
      <c r="AA67" s="113" t="s">
        <v>327</v>
      </c>
      <c r="AB67" s="113" t="str">
        <f>Data!$AA67</f>
        <v>Xinqiu's elemental skill (E) has a 21 second cooldown. With Sacrificial Sword, it's effectively 22 seconds due to cast time.</v>
      </c>
    </row>
    <row r="68" ht="14.25" customHeight="1">
      <c r="A68" s="113" t="s">
        <v>328</v>
      </c>
      <c r="B68" s="113" t="s">
        <v>63</v>
      </c>
      <c r="C68" s="113" t="s">
        <v>19</v>
      </c>
      <c r="D68" s="114" t="s">
        <v>168</v>
      </c>
      <c r="E68" s="114" t="s">
        <v>168</v>
      </c>
      <c r="F68" s="113">
        <v>4.0</v>
      </c>
      <c r="G68" s="113"/>
      <c r="H68" s="113"/>
      <c r="I68" s="115">
        <f>IF(Data!$F68=0,50%,(Data!$F68-ROUNDDOWN(Data!$F68,0))/Data!$F68)</f>
        <v>0</v>
      </c>
      <c r="J68" s="115">
        <f>IF(Data!$G68=0,50%,(Data!$G68-ROUNDDOWN(Data!$G68,0))/Data!$G68)</f>
        <v>0.5</v>
      </c>
      <c r="K68" s="115">
        <f>IF(Data!$H68=0,50%,(Data!$H68-ROUNDDOWN(Data!$H68,0))/Data!$H68)</f>
        <v>0.5</v>
      </c>
      <c r="L68" s="113">
        <v>0.0</v>
      </c>
      <c r="M68" s="116">
        <f>Data!$L68</f>
        <v>0</v>
      </c>
      <c r="N68" s="116">
        <f>Data!$L68</f>
        <v>0</v>
      </c>
      <c r="O68" s="113">
        <v>0.0</v>
      </c>
      <c r="P68" s="113"/>
      <c r="Q68" s="113"/>
      <c r="R68" s="113">
        <v>18.0</v>
      </c>
      <c r="S68" s="113"/>
      <c r="T68" s="113"/>
      <c r="U68" s="113">
        <v>15.0</v>
      </c>
      <c r="V68" s="113">
        <v>60.0</v>
      </c>
      <c r="W68" s="113"/>
      <c r="X68" s="115"/>
      <c r="Y68" s="114" t="s">
        <v>168</v>
      </c>
      <c r="Z68" s="117" t="str">
        <f>Data!$Y68</f>
        <v/>
      </c>
      <c r="AA68" s="114" t="s">
        <v>168</v>
      </c>
      <c r="AB68" s="117" t="str">
        <f>Data!$AA68</f>
        <v/>
      </c>
    </row>
    <row r="69" ht="14.25" customHeight="1">
      <c r="A69" s="113" t="s">
        <v>329</v>
      </c>
      <c r="B69" s="113" t="s">
        <v>52</v>
      </c>
      <c r="C69" s="113" t="s">
        <v>330</v>
      </c>
      <c r="D69" s="114" t="s">
        <v>168</v>
      </c>
      <c r="E69" s="114" t="s">
        <v>168</v>
      </c>
      <c r="F69" s="113"/>
      <c r="G69" s="113"/>
      <c r="H69" s="113"/>
      <c r="I69" s="118">
        <v>0.0</v>
      </c>
      <c r="J69" s="118">
        <v>0.0</v>
      </c>
      <c r="K69" s="118">
        <v>0.0</v>
      </c>
      <c r="L69" s="113">
        <v>0.36</v>
      </c>
      <c r="M69" s="116">
        <f>Data!$L69</f>
        <v>0.36</v>
      </c>
      <c r="N69" s="116">
        <f>Data!$L69</f>
        <v>0.36</v>
      </c>
      <c r="O69" s="113">
        <v>14.0</v>
      </c>
      <c r="P69" s="113"/>
      <c r="Q69" s="113"/>
      <c r="R69" s="113">
        <v>4.0</v>
      </c>
      <c r="S69" s="113"/>
      <c r="T69" s="113"/>
      <c r="U69" s="113">
        <v>22.0</v>
      </c>
      <c r="V69" s="113">
        <v>90.0</v>
      </c>
      <c r="W69" s="113"/>
      <c r="X69" s="115"/>
      <c r="Y69" s="114" t="s">
        <v>331</v>
      </c>
      <c r="Z69" s="117" t="str">
        <f>Data!$Y69</f>
        <v>One use of Yae's skill represents all 3 totems. Yae generates a particle once per 2.5-3s, 2.75s is assumed as average. Yae's C1 gives her up to 24 flat energy.</v>
      </c>
      <c r="AA69" s="113" t="s">
        <v>332</v>
      </c>
      <c r="AB69" s="113" t="str">
        <f>Data!$AA69</f>
        <v>One use of Yae's skill represents a full three-totem combo.</v>
      </c>
    </row>
    <row r="70" ht="14.25" customHeight="1">
      <c r="A70" s="113" t="s">
        <v>333</v>
      </c>
      <c r="B70" s="113" t="s">
        <v>63</v>
      </c>
      <c r="C70" s="113" t="s">
        <v>19</v>
      </c>
      <c r="D70" s="114" t="s">
        <v>168</v>
      </c>
      <c r="E70" s="114" t="s">
        <v>168</v>
      </c>
      <c r="F70" s="113">
        <v>3.0</v>
      </c>
      <c r="G70" s="113"/>
      <c r="H70" s="113"/>
      <c r="I70" s="115">
        <f>IF(Data!$F70=0,50%,(Data!$F70-ROUNDDOWN(Data!$F70,0))/Data!$F70)</f>
        <v>0</v>
      </c>
      <c r="J70" s="115">
        <f>IF(Data!$G70=0,50%,(Data!$G70-ROUNDDOWN(Data!$G70,0))/Data!$G70)</f>
        <v>0.5</v>
      </c>
      <c r="K70" s="115">
        <f>IF(Data!$H70=0,50%,(Data!$H70-ROUNDDOWN(Data!$H70,0))/Data!$H70)</f>
        <v>0.5</v>
      </c>
      <c r="L70" s="113">
        <v>0.0</v>
      </c>
      <c r="M70" s="116">
        <f>Data!$L70</f>
        <v>0</v>
      </c>
      <c r="N70" s="116">
        <f>Data!$L70</f>
        <v>0</v>
      </c>
      <c r="O70" s="113">
        <v>0.0</v>
      </c>
      <c r="P70" s="113"/>
      <c r="Q70" s="113"/>
      <c r="R70" s="113">
        <v>9.0</v>
      </c>
      <c r="S70" s="113"/>
      <c r="T70" s="113"/>
      <c r="U70" s="113">
        <v>20.0</v>
      </c>
      <c r="V70" s="113">
        <v>80.0</v>
      </c>
      <c r="W70" s="113"/>
      <c r="X70" s="115"/>
      <c r="Y70" s="114" t="s">
        <v>168</v>
      </c>
      <c r="Z70" s="117" t="str">
        <f>Data!$Y70</f>
        <v/>
      </c>
      <c r="AA70" s="114" t="s">
        <v>168</v>
      </c>
      <c r="AB70" s="117" t="str">
        <f>Data!$AA70</f>
        <v/>
      </c>
    </row>
    <row r="71" ht="14.25" customHeight="1">
      <c r="A71" s="113" t="s">
        <v>334</v>
      </c>
      <c r="B71" s="113" t="s">
        <v>51</v>
      </c>
      <c r="C71" s="113" t="s">
        <v>19</v>
      </c>
      <c r="D71" s="114" t="s">
        <v>22</v>
      </c>
      <c r="E71" s="114" t="s">
        <v>168</v>
      </c>
      <c r="F71" s="113"/>
      <c r="G71" s="113"/>
      <c r="H71" s="113"/>
      <c r="I71" s="118">
        <v>0.0</v>
      </c>
      <c r="J71" s="118">
        <v>0.0</v>
      </c>
      <c r="K71" s="118">
        <v>0.0</v>
      </c>
      <c r="L71" s="113">
        <v>0.5</v>
      </c>
      <c r="M71" s="116">
        <v>0.5</v>
      </c>
      <c r="N71" s="116">
        <v>0.0</v>
      </c>
      <c r="O71" s="113">
        <v>10.0</v>
      </c>
      <c r="P71" s="113">
        <v>10.0</v>
      </c>
      <c r="Q71" s="113"/>
      <c r="R71" s="113">
        <v>15.0</v>
      </c>
      <c r="S71" s="113">
        <v>15.0</v>
      </c>
      <c r="T71" s="113"/>
      <c r="U71" s="113">
        <v>20.0</v>
      </c>
      <c r="V71" s="113">
        <v>80.0</v>
      </c>
      <c r="W71" s="113"/>
      <c r="X71" s="115"/>
      <c r="Y71" s="114" t="s">
        <v>335</v>
      </c>
      <c r="Z71" s="117" t="str">
        <f>Data!$Y71</f>
        <v>Yaoyao's C2 gives her 15 flat energy if she stays on field during her burst. Put this in "Bonus non-particle energy". Yaoyao's radishes only generate particles if the explosion hits an enemy.</v>
      </c>
      <c r="AA71" s="117"/>
      <c r="AB71" s="117" t="str">
        <f>Data!$AA71</f>
        <v/>
      </c>
    </row>
    <row r="72" ht="14.25" customHeight="1">
      <c r="A72" s="113" t="s">
        <v>336</v>
      </c>
      <c r="B72" s="113" t="s">
        <v>56</v>
      </c>
      <c r="C72" s="113" t="s">
        <v>19</v>
      </c>
      <c r="D72" s="114" t="s">
        <v>168</v>
      </c>
      <c r="E72" s="114" t="s">
        <v>168</v>
      </c>
      <c r="F72" s="113">
        <v>4.0</v>
      </c>
      <c r="G72" s="113"/>
      <c r="H72" s="113"/>
      <c r="I72" s="115">
        <f>IF(Data!$F72=0,50%,(Data!$F72-ROUNDDOWN(Data!$F72,0))/Data!$F72)</f>
        <v>0</v>
      </c>
      <c r="J72" s="115">
        <f>IF(Data!$G72=0,50%,(Data!$G72-ROUNDDOWN(Data!$G72,0))/Data!$G72)</f>
        <v>0.5</v>
      </c>
      <c r="K72" s="115">
        <f>IF(Data!$H72=0,50%,(Data!$H72-ROUNDDOWN(Data!$H72,0))/Data!$H72)</f>
        <v>0.5</v>
      </c>
      <c r="L72" s="113">
        <v>0.0</v>
      </c>
      <c r="M72" s="116">
        <f>Data!$L72</f>
        <v>0</v>
      </c>
      <c r="N72" s="116">
        <f>Data!$L72</f>
        <v>0</v>
      </c>
      <c r="O72" s="113"/>
      <c r="P72" s="113"/>
      <c r="Q72" s="113"/>
      <c r="R72" s="113">
        <v>10.0</v>
      </c>
      <c r="S72" s="113"/>
      <c r="T72" s="113"/>
      <c r="U72" s="113">
        <v>18.0</v>
      </c>
      <c r="V72" s="113">
        <v>70.0</v>
      </c>
      <c r="W72" s="113"/>
      <c r="X72" s="115"/>
      <c r="Y72" s="114" t="s">
        <v>168</v>
      </c>
      <c r="Z72" s="117" t="str">
        <f>Data!$Y72</f>
        <v/>
      </c>
      <c r="AA72" s="114" t="s">
        <v>168</v>
      </c>
      <c r="AB72" s="117" t="str">
        <f>Data!$AA72</f>
        <v/>
      </c>
    </row>
    <row r="73" ht="14.25" customHeight="1">
      <c r="A73" s="113" t="s">
        <v>337</v>
      </c>
      <c r="B73" s="113" t="s">
        <v>63</v>
      </c>
      <c r="C73" s="113" t="s">
        <v>19</v>
      </c>
      <c r="D73" s="114" t="s">
        <v>168</v>
      </c>
      <c r="E73" s="114" t="s">
        <v>168</v>
      </c>
      <c r="F73" s="113">
        <v>4.0</v>
      </c>
      <c r="G73" s="113"/>
      <c r="H73" s="113"/>
      <c r="I73" s="115">
        <f>IF(Data!$F73=0,50%,(Data!$F73-ROUNDDOWN(Data!$F73,0))/Data!$F73)</f>
        <v>0</v>
      </c>
      <c r="J73" s="115">
        <f>IF(Data!$G73=0,50%,(Data!$G73-ROUNDDOWN(Data!$G73,0))/Data!$G73)</f>
        <v>0.5</v>
      </c>
      <c r="K73" s="115">
        <f>IF(Data!$H73=0,50%,(Data!$H73-ROUNDDOWN(Data!$H73,0))/Data!$H73)</f>
        <v>0.5</v>
      </c>
      <c r="L73" s="113">
        <v>0.0</v>
      </c>
      <c r="M73" s="116">
        <f>Data!$L73</f>
        <v>0</v>
      </c>
      <c r="N73" s="116">
        <f>Data!$L73</f>
        <v>0</v>
      </c>
      <c r="O73" s="113">
        <v>0.0</v>
      </c>
      <c r="P73" s="113"/>
      <c r="Q73" s="113"/>
      <c r="R73" s="113">
        <v>18.0</v>
      </c>
      <c r="S73" s="113"/>
      <c r="T73" s="113"/>
      <c r="U73" s="113">
        <v>15.0</v>
      </c>
      <c r="V73" s="113">
        <v>60.0</v>
      </c>
      <c r="W73" s="113"/>
      <c r="X73" s="115"/>
      <c r="Y73" s="114" t="s">
        <v>168</v>
      </c>
      <c r="Z73" s="117" t="str">
        <f>Data!$Y73</f>
        <v/>
      </c>
      <c r="AA73" s="114" t="s">
        <v>168</v>
      </c>
      <c r="AB73" s="117" t="str">
        <f>Data!$AA73</f>
        <v/>
      </c>
    </row>
    <row r="74" ht="14.25" customHeight="1">
      <c r="A74" s="113" t="s">
        <v>338</v>
      </c>
      <c r="B74" s="113" t="s">
        <v>54</v>
      </c>
      <c r="C74" s="113" t="s">
        <v>19</v>
      </c>
      <c r="D74" s="113" t="s">
        <v>339</v>
      </c>
      <c r="E74" s="114" t="s">
        <v>340</v>
      </c>
      <c r="F74" s="113">
        <v>2.0</v>
      </c>
      <c r="G74" s="113">
        <v>2.5</v>
      </c>
      <c r="H74" s="113">
        <v>3.0</v>
      </c>
      <c r="I74" s="115">
        <f>IF(Data!$F74=0,50%,(Data!$F74-ROUNDDOWN(Data!$F74,0))/Data!$F74)</f>
        <v>0</v>
      </c>
      <c r="J74" s="115">
        <f>IF(Data!$G74=0,50%,(Data!$G74-ROUNDDOWN(Data!$G74,0))/Data!$G74)</f>
        <v>0.2</v>
      </c>
      <c r="K74" s="115">
        <f>IF(Data!$H74=0,50%,(Data!$H74-ROUNDDOWN(Data!$H74,0))/Data!$H74)</f>
        <v>0</v>
      </c>
      <c r="L74" s="113">
        <v>0.0</v>
      </c>
      <c r="M74" s="116">
        <f>Data!$L74</f>
        <v>0</v>
      </c>
      <c r="N74" s="116">
        <f>Data!$L74</f>
        <v>0</v>
      </c>
      <c r="O74" s="113">
        <v>0.0</v>
      </c>
      <c r="P74" s="113"/>
      <c r="Q74" s="113"/>
      <c r="R74" s="113">
        <v>9.0</v>
      </c>
      <c r="S74" s="113">
        <v>9.0</v>
      </c>
      <c r="T74" s="113">
        <v>9.0</v>
      </c>
      <c r="U74" s="113">
        <v>15.0</v>
      </c>
      <c r="V74" s="113">
        <v>60.0</v>
      </c>
      <c r="W74" s="113"/>
      <c r="X74" s="115"/>
      <c r="Y74" s="114" t="s">
        <v>168</v>
      </c>
      <c r="Z74" s="117" t="str">
        <f>Data!$Y74</f>
        <v/>
      </c>
      <c r="AA74" s="114" t="s">
        <v>168</v>
      </c>
      <c r="AB74" s="117" t="str">
        <f>Data!$AA74</f>
        <v/>
      </c>
    </row>
    <row r="75" ht="14.25" customHeight="1">
      <c r="A75" s="113" t="s">
        <v>341</v>
      </c>
      <c r="B75" s="113" t="s">
        <v>54</v>
      </c>
      <c r="C75" s="113" t="s">
        <v>19</v>
      </c>
      <c r="D75" s="113" t="s">
        <v>22</v>
      </c>
      <c r="E75" s="114" t="s">
        <v>342</v>
      </c>
      <c r="F75" s="113"/>
      <c r="G75" s="113"/>
      <c r="H75" s="113"/>
      <c r="I75" s="115">
        <f>IF(Data!$F75=0,50%,(Data!$F75-ROUNDDOWN(Data!$F75,0))/Data!$F75)</f>
        <v>0.5</v>
      </c>
      <c r="J75" s="115">
        <f>IF(Data!$G75=0,50%,(Data!$G75-ROUNDDOWN(Data!$G75,0))/Data!$G75)</f>
        <v>0.5</v>
      </c>
      <c r="K75" s="115">
        <f>IF(Data!$H75=0,50%,(Data!$H75-ROUNDDOWN(Data!$H75,0))/Data!$H75)</f>
        <v>0.5</v>
      </c>
      <c r="L75" s="113">
        <v>0.25</v>
      </c>
      <c r="M75" s="116">
        <f>Data!$L75</f>
        <v>0.25</v>
      </c>
      <c r="N75" s="116">
        <f>Data!$L75</f>
        <v>0.25</v>
      </c>
      <c r="O75" s="113">
        <v>30.0</v>
      </c>
      <c r="P75" s="113">
        <v>30.0</v>
      </c>
      <c r="Q75" s="113">
        <v>0.0</v>
      </c>
      <c r="R75" s="113">
        <v>4.0</v>
      </c>
      <c r="S75" s="113">
        <v>12.0</v>
      </c>
      <c r="T75" s="113">
        <v>12.0</v>
      </c>
      <c r="U75" s="113">
        <v>12.0</v>
      </c>
      <c r="V75" s="113">
        <v>40.0</v>
      </c>
      <c r="W75" s="113"/>
      <c r="X75" s="115"/>
      <c r="Y75" s="114" t="s">
        <v>343</v>
      </c>
      <c r="Z75" s="117" t="str">
        <f>Data!$Y75</f>
        <v>Zhongli's pillar is assumed to hit on every pulse, and distributes its particles based on time spent on field. If you don't want the pillar to hit, put "miss pillar".</v>
      </c>
      <c r="AA75" s="114" t="s">
        <v>168</v>
      </c>
      <c r="AB75" s="117" t="str">
        <f>Data!$AA75</f>
        <v/>
      </c>
    </row>
    <row r="76" ht="14.25" customHeight="1">
      <c r="M76" s="119"/>
      <c r="N76" s="119"/>
      <c r="X76" s="27"/>
    </row>
    <row r="77" ht="14.25" customHeight="1">
      <c r="M77" s="119"/>
      <c r="N77" s="119"/>
      <c r="X77" s="27"/>
    </row>
    <row r="78" ht="14.25" customHeight="1">
      <c r="M78" s="119"/>
      <c r="N78" s="119"/>
      <c r="X78" s="27"/>
    </row>
    <row r="79" ht="14.25" customHeight="1">
      <c r="B79" s="120" t="s">
        <v>344</v>
      </c>
      <c r="C79" s="19" t="s">
        <v>345</v>
      </c>
      <c r="D79" s="19">
        <v>3.0</v>
      </c>
      <c r="M79" s="119"/>
      <c r="N79" s="119"/>
      <c r="X79" s="27"/>
    </row>
    <row r="80" ht="14.25" customHeight="1">
      <c r="C80" s="19" t="s">
        <v>346</v>
      </c>
      <c r="D80" s="19">
        <v>2.0</v>
      </c>
      <c r="M80" s="119"/>
      <c r="N80" s="119"/>
      <c r="X80" s="27"/>
    </row>
    <row r="81" ht="14.25" customHeight="1">
      <c r="C81" s="19" t="s">
        <v>347</v>
      </c>
      <c r="D81" s="19">
        <v>1.0</v>
      </c>
      <c r="M81" s="119"/>
      <c r="N81" s="119"/>
      <c r="X81" s="27"/>
    </row>
    <row r="82" ht="14.25" customHeight="1">
      <c r="C82" s="19" t="s">
        <v>348</v>
      </c>
      <c r="D82" s="19">
        <v>6.0</v>
      </c>
      <c r="M82" s="119"/>
      <c r="N82" s="119"/>
      <c r="X82" s="27"/>
    </row>
    <row r="83" ht="14.25" customHeight="1">
      <c r="B83" s="120" t="s">
        <v>349</v>
      </c>
      <c r="C83" s="19" t="s">
        <v>345</v>
      </c>
      <c r="D83" s="19">
        <f>D79*OffField</f>
        <v>1.8</v>
      </c>
      <c r="M83" s="119"/>
      <c r="N83" s="119"/>
      <c r="X83" s="27"/>
    </row>
    <row r="84" ht="14.25" customHeight="1">
      <c r="C84" s="19" t="s">
        <v>346</v>
      </c>
      <c r="D84" s="19">
        <f>D80*OffField</f>
        <v>1.2</v>
      </c>
      <c r="M84" s="119"/>
      <c r="N84" s="119"/>
      <c r="X84" s="27"/>
    </row>
    <row r="85" ht="14.25" customHeight="1">
      <c r="C85" s="19" t="s">
        <v>347</v>
      </c>
      <c r="D85" s="19">
        <f>D81*OffField</f>
        <v>0.6</v>
      </c>
      <c r="M85" s="119"/>
      <c r="N85" s="119"/>
      <c r="X85" s="27"/>
    </row>
    <row r="86" ht="14.25" customHeight="1">
      <c r="C86" s="19" t="s">
        <v>348</v>
      </c>
      <c r="D86" s="19">
        <f>D82*OffField</f>
        <v>3.6</v>
      </c>
      <c r="M86" s="119"/>
      <c r="N86" s="119"/>
      <c r="X86" s="27"/>
    </row>
    <row r="87" ht="14.25" customHeight="1">
      <c r="M87" s="119"/>
      <c r="N87" s="119"/>
      <c r="X87" s="27"/>
    </row>
    <row r="88" ht="14.25" hidden="1" customHeight="1">
      <c r="C88" s="19" t="s">
        <v>350</v>
      </c>
      <c r="D88" s="19">
        <v>7.0</v>
      </c>
      <c r="M88" s="119"/>
      <c r="N88" s="119"/>
      <c r="X88" s="27"/>
    </row>
    <row r="89" ht="14.25" hidden="1" customHeight="1">
      <c r="C89" s="19" t="s">
        <v>351</v>
      </c>
      <c r="D89" s="19">
        <v>90.0</v>
      </c>
      <c r="M89" s="119"/>
      <c r="N89" s="119"/>
      <c r="X89" s="27"/>
    </row>
    <row r="90" ht="14.25" hidden="1" customHeight="1">
      <c r="M90" s="119"/>
      <c r="N90" s="119"/>
      <c r="X90" s="27"/>
    </row>
    <row r="91" ht="14.25" customHeight="1">
      <c r="C91" s="19" t="s">
        <v>345</v>
      </c>
      <c r="D91" s="19">
        <v>3.0</v>
      </c>
      <c r="M91" s="119"/>
      <c r="N91" s="119"/>
      <c r="X91" s="27"/>
    </row>
    <row r="92" ht="14.25" customHeight="1">
      <c r="C92" s="19" t="s">
        <v>346</v>
      </c>
      <c r="D92" s="19">
        <v>2.0</v>
      </c>
      <c r="M92" s="119"/>
      <c r="N92" s="119"/>
      <c r="X92" s="27"/>
    </row>
    <row r="93" ht="14.25" customHeight="1">
      <c r="C93" s="19" t="s">
        <v>347</v>
      </c>
      <c r="D93" s="19">
        <v>1.0</v>
      </c>
      <c r="M93" s="119"/>
      <c r="N93" s="119"/>
      <c r="X93" s="27"/>
    </row>
    <row r="94" ht="14.25" customHeight="1">
      <c r="C94" s="19" t="s">
        <v>344</v>
      </c>
      <c r="D94" s="19">
        <v>1.0</v>
      </c>
      <c r="M94" s="119"/>
      <c r="N94" s="119"/>
      <c r="X94" s="27"/>
    </row>
    <row r="95" ht="14.25" customHeight="1">
      <c r="C95" s="19" t="s">
        <v>349</v>
      </c>
      <c r="D95" s="19">
        <f>0.6+MIN(2,COUNTIF('Energy Recharge Calculator'!E7:N7,"Nobody"))*0.1</f>
        <v>0.6</v>
      </c>
      <c r="M95" s="119"/>
      <c r="N95" s="119"/>
      <c r="X95" s="27"/>
    </row>
    <row r="96" ht="14.25" customHeight="1">
      <c r="M96" s="119"/>
      <c r="N96" s="119"/>
      <c r="X96" s="27"/>
    </row>
    <row r="97" ht="14.25" customHeight="1">
      <c r="M97" s="119"/>
      <c r="N97" s="119"/>
      <c r="X97" s="27"/>
    </row>
    <row r="98" ht="14.25" customHeight="1">
      <c r="M98" s="119"/>
      <c r="N98" s="119"/>
      <c r="X98" s="27"/>
    </row>
    <row r="99" ht="14.25" customHeight="1">
      <c r="M99" s="119"/>
      <c r="N99" s="119"/>
      <c r="X99" s="27"/>
    </row>
    <row r="100" ht="14.25" customHeight="1">
      <c r="M100" s="119"/>
      <c r="N100" s="119"/>
      <c r="X100" s="27"/>
    </row>
    <row r="101" ht="14.25" customHeight="1">
      <c r="M101" s="119"/>
      <c r="N101" s="119"/>
      <c r="X101" s="27"/>
    </row>
    <row r="102" ht="14.25" customHeight="1">
      <c r="M102" s="119"/>
      <c r="N102" s="119"/>
      <c r="X102" s="27"/>
    </row>
    <row r="103" ht="14.25" customHeight="1">
      <c r="M103" s="119"/>
      <c r="N103" s="119"/>
      <c r="X103" s="27"/>
    </row>
    <row r="104" ht="14.25" customHeight="1">
      <c r="M104" s="119"/>
      <c r="N104" s="119"/>
      <c r="X104" s="27"/>
    </row>
    <row r="105" ht="14.25" customHeight="1">
      <c r="M105" s="119"/>
      <c r="N105" s="119"/>
      <c r="X105" s="27"/>
    </row>
    <row r="106" ht="14.25" customHeight="1">
      <c r="M106" s="119"/>
      <c r="N106" s="119"/>
      <c r="X106" s="27"/>
    </row>
    <row r="107" ht="14.25" customHeight="1">
      <c r="M107" s="119"/>
      <c r="N107" s="119"/>
      <c r="X107" s="27"/>
    </row>
    <row r="108" ht="14.25" customHeight="1">
      <c r="M108" s="119"/>
      <c r="N108" s="119"/>
      <c r="X108" s="27"/>
    </row>
    <row r="109" ht="14.25" customHeight="1">
      <c r="M109" s="119"/>
      <c r="N109" s="119"/>
      <c r="X109" s="27"/>
    </row>
    <row r="110" ht="14.25" customHeight="1">
      <c r="M110" s="119"/>
      <c r="N110" s="119"/>
      <c r="X110" s="27"/>
    </row>
    <row r="111" ht="14.25" customHeight="1">
      <c r="M111" s="119"/>
      <c r="N111" s="119"/>
      <c r="X111" s="27"/>
    </row>
    <row r="112" ht="14.25" customHeight="1">
      <c r="M112" s="119"/>
      <c r="N112" s="119"/>
      <c r="X112" s="27"/>
    </row>
    <row r="113" ht="14.25" customHeight="1">
      <c r="M113" s="119"/>
      <c r="N113" s="119"/>
      <c r="X113" s="27"/>
    </row>
    <row r="114" ht="14.25" customHeight="1">
      <c r="M114" s="119"/>
      <c r="N114" s="119"/>
      <c r="X114" s="27"/>
    </row>
    <row r="115" ht="14.25" customHeight="1">
      <c r="M115" s="119"/>
      <c r="N115" s="119"/>
      <c r="X115" s="27"/>
    </row>
    <row r="116" ht="14.25" customHeight="1">
      <c r="M116" s="119"/>
      <c r="N116" s="119"/>
      <c r="X116" s="27"/>
    </row>
    <row r="117" ht="14.25" customHeight="1">
      <c r="M117" s="119"/>
      <c r="N117" s="119"/>
      <c r="X117" s="27"/>
    </row>
    <row r="118" ht="14.25" customHeight="1">
      <c r="M118" s="119"/>
      <c r="N118" s="119"/>
      <c r="X118" s="27"/>
    </row>
    <row r="119" ht="14.25" customHeight="1">
      <c r="M119" s="119"/>
      <c r="N119" s="119"/>
      <c r="X119" s="27"/>
    </row>
    <row r="120" ht="14.25" customHeight="1">
      <c r="M120" s="119"/>
      <c r="N120" s="119"/>
      <c r="X120" s="27"/>
    </row>
    <row r="121" ht="14.25" customHeight="1">
      <c r="M121" s="119"/>
      <c r="N121" s="119"/>
      <c r="X121" s="27"/>
    </row>
    <row r="122" ht="14.25" customHeight="1">
      <c r="M122" s="119"/>
      <c r="N122" s="119"/>
      <c r="X122" s="27"/>
    </row>
    <row r="123" ht="14.25" customHeight="1">
      <c r="M123" s="119"/>
      <c r="N123" s="119"/>
      <c r="X123" s="27"/>
    </row>
    <row r="124" ht="14.25" customHeight="1">
      <c r="M124" s="119"/>
      <c r="N124" s="119"/>
      <c r="X124" s="27"/>
    </row>
    <row r="125" ht="14.25" customHeight="1">
      <c r="M125" s="119"/>
      <c r="N125" s="119"/>
      <c r="X125" s="27"/>
    </row>
    <row r="126" ht="14.25" customHeight="1">
      <c r="M126" s="119"/>
      <c r="N126" s="119"/>
      <c r="X126" s="27"/>
    </row>
    <row r="127" ht="14.25" customHeight="1">
      <c r="M127" s="119"/>
      <c r="N127" s="119"/>
      <c r="X127" s="27"/>
    </row>
    <row r="128" ht="14.25" customHeight="1">
      <c r="M128" s="119"/>
      <c r="N128" s="119"/>
      <c r="X128" s="27"/>
    </row>
    <row r="129" ht="14.25" customHeight="1">
      <c r="M129" s="119"/>
      <c r="N129" s="119"/>
      <c r="X129" s="27"/>
    </row>
    <row r="130" ht="14.25" customHeight="1">
      <c r="M130" s="119"/>
      <c r="N130" s="119"/>
      <c r="X130" s="27"/>
    </row>
    <row r="131" ht="14.25" customHeight="1">
      <c r="M131" s="119"/>
      <c r="N131" s="119"/>
      <c r="X131" s="27"/>
    </row>
    <row r="132" ht="14.25" customHeight="1">
      <c r="M132" s="119"/>
      <c r="N132" s="119"/>
      <c r="X132" s="27"/>
    </row>
    <row r="133" ht="14.25" customHeight="1">
      <c r="M133" s="119"/>
      <c r="N133" s="119"/>
      <c r="X133" s="27"/>
    </row>
    <row r="134" ht="14.25" customHeight="1">
      <c r="M134" s="119"/>
      <c r="N134" s="119"/>
      <c r="X134" s="27"/>
    </row>
    <row r="135" ht="14.25" customHeight="1">
      <c r="M135" s="119"/>
      <c r="N135" s="119"/>
      <c r="X135" s="27"/>
    </row>
    <row r="136" ht="14.25" customHeight="1">
      <c r="M136" s="119"/>
      <c r="N136" s="119"/>
      <c r="X136" s="27"/>
    </row>
    <row r="137" ht="14.25" customHeight="1">
      <c r="M137" s="119"/>
      <c r="N137" s="119"/>
      <c r="X137" s="27"/>
    </row>
    <row r="138" ht="14.25" customHeight="1">
      <c r="M138" s="119"/>
      <c r="N138" s="119"/>
      <c r="X138" s="27"/>
    </row>
    <row r="139" ht="14.25" customHeight="1">
      <c r="M139" s="119"/>
      <c r="N139" s="119"/>
      <c r="X139" s="27"/>
    </row>
    <row r="140" ht="14.25" customHeight="1">
      <c r="M140" s="119"/>
      <c r="N140" s="119"/>
      <c r="X140" s="27"/>
    </row>
    <row r="141" ht="14.25" customHeight="1">
      <c r="M141" s="119"/>
      <c r="N141" s="119"/>
      <c r="X141" s="27"/>
    </row>
    <row r="142" ht="14.25" customHeight="1">
      <c r="M142" s="119"/>
      <c r="N142" s="119"/>
      <c r="X142" s="27"/>
    </row>
    <row r="143" ht="14.25" customHeight="1">
      <c r="M143" s="119"/>
      <c r="N143" s="119"/>
      <c r="X143" s="27"/>
    </row>
    <row r="144" ht="14.25" customHeight="1">
      <c r="M144" s="119"/>
      <c r="N144" s="119"/>
      <c r="X144" s="27"/>
    </row>
    <row r="145" ht="14.25" customHeight="1">
      <c r="M145" s="119"/>
      <c r="N145" s="119"/>
      <c r="X145" s="27"/>
    </row>
    <row r="146" ht="14.25" customHeight="1">
      <c r="M146" s="119"/>
      <c r="N146" s="119"/>
      <c r="X146" s="27"/>
    </row>
    <row r="147" ht="14.25" customHeight="1">
      <c r="M147" s="119"/>
      <c r="N147" s="119"/>
      <c r="X147" s="27"/>
    </row>
    <row r="148" ht="14.25" customHeight="1">
      <c r="M148" s="119"/>
      <c r="N148" s="119"/>
      <c r="X148" s="27"/>
    </row>
    <row r="149" ht="14.25" customHeight="1">
      <c r="M149" s="119"/>
      <c r="N149" s="119"/>
      <c r="X149" s="27"/>
    </row>
    <row r="150" ht="14.25" customHeight="1">
      <c r="M150" s="119"/>
      <c r="N150" s="119"/>
      <c r="X150" s="27"/>
    </row>
    <row r="151" ht="14.25" customHeight="1">
      <c r="M151" s="119"/>
      <c r="N151" s="119"/>
      <c r="X151" s="27"/>
    </row>
    <row r="152" ht="14.25" customHeight="1">
      <c r="M152" s="119"/>
      <c r="N152" s="119"/>
      <c r="X152" s="27"/>
    </row>
    <row r="153" ht="14.25" customHeight="1">
      <c r="M153" s="119"/>
      <c r="N153" s="119"/>
      <c r="X153" s="27"/>
    </row>
    <row r="154" ht="14.25" customHeight="1">
      <c r="M154" s="119"/>
      <c r="N154" s="119"/>
      <c r="X154" s="27"/>
    </row>
    <row r="155" ht="14.25" customHeight="1">
      <c r="M155" s="119"/>
      <c r="N155" s="119"/>
      <c r="X155" s="27"/>
    </row>
    <row r="156" ht="14.25" customHeight="1">
      <c r="M156" s="119"/>
      <c r="N156" s="119"/>
      <c r="X156" s="27"/>
    </row>
    <row r="157" ht="14.25" customHeight="1">
      <c r="M157" s="119"/>
      <c r="N157" s="119"/>
      <c r="X157" s="27"/>
    </row>
    <row r="158" ht="14.25" customHeight="1">
      <c r="M158" s="119"/>
      <c r="N158" s="119"/>
      <c r="X158" s="27"/>
    </row>
    <row r="159" ht="14.25" customHeight="1">
      <c r="M159" s="119"/>
      <c r="N159" s="119"/>
      <c r="X159" s="27"/>
    </row>
    <row r="160" ht="14.25" customHeight="1">
      <c r="M160" s="119"/>
      <c r="N160" s="119"/>
      <c r="X160" s="27"/>
    </row>
    <row r="161" ht="14.25" customHeight="1">
      <c r="M161" s="119"/>
      <c r="N161" s="119"/>
      <c r="X161" s="27"/>
    </row>
    <row r="162" ht="14.25" customHeight="1">
      <c r="M162" s="119"/>
      <c r="N162" s="119"/>
      <c r="X162" s="27"/>
    </row>
    <row r="163" ht="14.25" customHeight="1">
      <c r="M163" s="119"/>
      <c r="N163" s="119"/>
      <c r="X163" s="27"/>
    </row>
    <row r="164" ht="14.25" customHeight="1">
      <c r="M164" s="119"/>
      <c r="N164" s="119"/>
      <c r="X164" s="27"/>
    </row>
    <row r="165" ht="14.25" customHeight="1">
      <c r="M165" s="119"/>
      <c r="N165" s="119"/>
      <c r="X165" s="27"/>
    </row>
    <row r="166" ht="14.25" customHeight="1">
      <c r="M166" s="119"/>
      <c r="N166" s="119"/>
      <c r="X166" s="27"/>
    </row>
    <row r="167" ht="14.25" customHeight="1">
      <c r="M167" s="119"/>
      <c r="N167" s="119"/>
      <c r="X167" s="27"/>
    </row>
    <row r="168" ht="14.25" customHeight="1">
      <c r="M168" s="119"/>
      <c r="N168" s="119"/>
      <c r="X168" s="27"/>
    </row>
    <row r="169" ht="14.25" customHeight="1">
      <c r="M169" s="119"/>
      <c r="N169" s="119"/>
      <c r="X169" s="27"/>
    </row>
    <row r="170" ht="14.25" customHeight="1">
      <c r="M170" s="119"/>
      <c r="N170" s="119"/>
      <c r="X170" s="27"/>
    </row>
    <row r="171" ht="14.25" customHeight="1">
      <c r="M171" s="119"/>
      <c r="N171" s="119"/>
      <c r="X171" s="27"/>
    </row>
    <row r="172" ht="14.25" customHeight="1">
      <c r="M172" s="119"/>
      <c r="N172" s="119"/>
      <c r="X172" s="27"/>
    </row>
    <row r="173" ht="14.25" customHeight="1">
      <c r="M173" s="119"/>
      <c r="N173" s="119"/>
      <c r="X173" s="27"/>
    </row>
    <row r="174" ht="14.25" customHeight="1">
      <c r="M174" s="119"/>
      <c r="N174" s="119"/>
      <c r="X174" s="27"/>
    </row>
    <row r="175" ht="14.25" customHeight="1">
      <c r="M175" s="119"/>
      <c r="N175" s="119"/>
      <c r="X175" s="27"/>
    </row>
    <row r="176" ht="14.25" customHeight="1">
      <c r="M176" s="119"/>
      <c r="N176" s="119"/>
      <c r="X176" s="27"/>
    </row>
    <row r="177" ht="14.25" customHeight="1">
      <c r="M177" s="119"/>
      <c r="N177" s="119"/>
      <c r="X177" s="27"/>
    </row>
    <row r="178" ht="14.25" customHeight="1">
      <c r="M178" s="119"/>
      <c r="N178" s="119"/>
      <c r="X178" s="27"/>
    </row>
    <row r="179" ht="14.25" customHeight="1">
      <c r="M179" s="119"/>
      <c r="N179" s="119"/>
      <c r="X179" s="27"/>
    </row>
    <row r="180" ht="14.25" customHeight="1">
      <c r="M180" s="119"/>
      <c r="N180" s="119"/>
      <c r="X180" s="27"/>
    </row>
    <row r="181" ht="14.25" customHeight="1">
      <c r="M181" s="119"/>
      <c r="N181" s="119"/>
      <c r="X181" s="27"/>
    </row>
    <row r="182" ht="14.25" customHeight="1">
      <c r="M182" s="119"/>
      <c r="N182" s="119"/>
      <c r="X182" s="27"/>
    </row>
    <row r="183" ht="14.25" customHeight="1">
      <c r="M183" s="119"/>
      <c r="N183" s="119"/>
      <c r="X183" s="27"/>
    </row>
    <row r="184" ht="14.25" customHeight="1">
      <c r="M184" s="119"/>
      <c r="N184" s="119"/>
      <c r="X184" s="27"/>
    </row>
    <row r="185" ht="14.25" customHeight="1">
      <c r="M185" s="119"/>
      <c r="N185" s="119"/>
      <c r="X185" s="27"/>
    </row>
    <row r="186" ht="14.25" customHeight="1">
      <c r="M186" s="119"/>
      <c r="N186" s="119"/>
      <c r="X186" s="27"/>
    </row>
    <row r="187" ht="14.25" customHeight="1">
      <c r="M187" s="119"/>
      <c r="N187" s="119"/>
      <c r="X187" s="27"/>
    </row>
    <row r="188" ht="14.25" customHeight="1">
      <c r="M188" s="119"/>
      <c r="N188" s="119"/>
      <c r="X188" s="27"/>
    </row>
    <row r="189" ht="14.25" customHeight="1">
      <c r="M189" s="119"/>
      <c r="N189" s="119"/>
      <c r="X189" s="27"/>
    </row>
    <row r="190" ht="14.25" customHeight="1">
      <c r="M190" s="119"/>
      <c r="N190" s="119"/>
      <c r="X190" s="27"/>
    </row>
    <row r="191" ht="14.25" customHeight="1">
      <c r="M191" s="119"/>
      <c r="N191" s="119"/>
      <c r="X191" s="27"/>
    </row>
    <row r="192" ht="14.25" customHeight="1">
      <c r="M192" s="119"/>
      <c r="N192" s="119"/>
      <c r="X192" s="27"/>
    </row>
    <row r="193" ht="14.25" customHeight="1">
      <c r="M193" s="119"/>
      <c r="N193" s="119"/>
      <c r="X193" s="27"/>
    </row>
    <row r="194" ht="14.25" customHeight="1">
      <c r="M194" s="119"/>
      <c r="N194" s="119"/>
      <c r="X194" s="27"/>
    </row>
    <row r="195" ht="14.25" customHeight="1">
      <c r="M195" s="119"/>
      <c r="N195" s="119"/>
      <c r="X195" s="27"/>
    </row>
    <row r="196" ht="14.25" customHeight="1">
      <c r="M196" s="119"/>
      <c r="N196" s="119"/>
      <c r="X196" s="27"/>
    </row>
    <row r="197" ht="14.25" customHeight="1">
      <c r="M197" s="119"/>
      <c r="N197" s="119"/>
      <c r="X197" s="27"/>
    </row>
    <row r="198" ht="14.25" customHeight="1">
      <c r="M198" s="119"/>
      <c r="N198" s="119"/>
      <c r="X198" s="27"/>
    </row>
    <row r="199" ht="14.25" customHeight="1">
      <c r="M199" s="119"/>
      <c r="N199" s="119"/>
      <c r="X199" s="27"/>
    </row>
    <row r="200" ht="14.25" customHeight="1">
      <c r="M200" s="119"/>
      <c r="N200" s="119"/>
      <c r="X200" s="27"/>
    </row>
    <row r="201" ht="14.25" customHeight="1">
      <c r="M201" s="119"/>
      <c r="N201" s="119"/>
      <c r="X201" s="27"/>
    </row>
    <row r="202" ht="14.25" customHeight="1">
      <c r="M202" s="119"/>
      <c r="N202" s="119"/>
      <c r="X202" s="27"/>
    </row>
    <row r="203" ht="14.25" customHeight="1">
      <c r="M203" s="119"/>
      <c r="N203" s="119"/>
      <c r="X203" s="27"/>
    </row>
    <row r="204" ht="14.25" customHeight="1">
      <c r="M204" s="119"/>
      <c r="N204" s="119"/>
      <c r="X204" s="27"/>
    </row>
    <row r="205" ht="14.25" customHeight="1">
      <c r="M205" s="119"/>
      <c r="N205" s="119"/>
      <c r="X205" s="27"/>
    </row>
    <row r="206" ht="14.25" customHeight="1">
      <c r="M206" s="119"/>
      <c r="N206" s="119"/>
      <c r="X206" s="27"/>
    </row>
    <row r="207" ht="14.25" customHeight="1">
      <c r="M207" s="119"/>
      <c r="N207" s="119"/>
      <c r="X207" s="27"/>
    </row>
    <row r="208" ht="14.25" customHeight="1">
      <c r="M208" s="119"/>
      <c r="N208" s="119"/>
      <c r="X208" s="27"/>
    </row>
    <row r="209" ht="14.25" customHeight="1">
      <c r="M209" s="119"/>
      <c r="N209" s="119"/>
      <c r="X209" s="27"/>
    </row>
    <row r="210" ht="14.25" customHeight="1">
      <c r="M210" s="119"/>
      <c r="N210" s="119"/>
      <c r="X210" s="27"/>
    </row>
    <row r="211" ht="14.25" customHeight="1">
      <c r="M211" s="119"/>
      <c r="N211" s="119"/>
      <c r="X211" s="27"/>
    </row>
    <row r="212" ht="14.25" customHeight="1">
      <c r="M212" s="119"/>
      <c r="N212" s="119"/>
      <c r="X212" s="27"/>
    </row>
    <row r="213" ht="14.25" customHeight="1">
      <c r="M213" s="119"/>
      <c r="N213" s="119"/>
      <c r="X213" s="27"/>
    </row>
    <row r="214" ht="14.25" customHeight="1">
      <c r="M214" s="119"/>
      <c r="N214" s="119"/>
      <c r="X214" s="27"/>
    </row>
    <row r="215" ht="14.25" customHeight="1">
      <c r="M215" s="119"/>
      <c r="N215" s="119"/>
      <c r="X215" s="27"/>
    </row>
    <row r="216" ht="14.25" customHeight="1">
      <c r="M216" s="119"/>
      <c r="N216" s="119"/>
      <c r="X216" s="27"/>
    </row>
    <row r="217" ht="14.25" customHeight="1">
      <c r="M217" s="119"/>
      <c r="N217" s="119"/>
      <c r="X217" s="27"/>
    </row>
    <row r="218" ht="14.25" customHeight="1">
      <c r="M218" s="119"/>
      <c r="N218" s="119"/>
      <c r="X218" s="27"/>
    </row>
    <row r="219" ht="14.25" customHeight="1">
      <c r="M219" s="119"/>
      <c r="N219" s="119"/>
      <c r="X219" s="27"/>
    </row>
    <row r="220" ht="14.25" customHeight="1">
      <c r="M220" s="119"/>
      <c r="N220" s="119"/>
      <c r="X220" s="27"/>
    </row>
    <row r="221" ht="14.25" customHeight="1">
      <c r="M221" s="119"/>
      <c r="N221" s="119"/>
      <c r="X221" s="27"/>
    </row>
    <row r="222" ht="14.25" customHeight="1">
      <c r="M222" s="119"/>
      <c r="N222" s="119"/>
      <c r="X222" s="27"/>
    </row>
    <row r="223" ht="14.25" customHeight="1">
      <c r="M223" s="119"/>
      <c r="N223" s="119"/>
      <c r="X223" s="27"/>
    </row>
    <row r="224" ht="14.25" customHeight="1">
      <c r="M224" s="119"/>
      <c r="N224" s="119"/>
      <c r="X224" s="27"/>
    </row>
    <row r="225" ht="14.25" customHeight="1">
      <c r="M225" s="119"/>
      <c r="N225" s="119"/>
      <c r="X225" s="27"/>
    </row>
    <row r="226" ht="14.25" customHeight="1">
      <c r="M226" s="119"/>
      <c r="N226" s="119"/>
      <c r="X226" s="27"/>
    </row>
    <row r="227" ht="14.25" customHeight="1">
      <c r="M227" s="119"/>
      <c r="N227" s="119"/>
      <c r="X227" s="27"/>
    </row>
    <row r="228" ht="14.25" customHeight="1">
      <c r="M228" s="119"/>
      <c r="N228" s="119"/>
      <c r="X228" s="27"/>
    </row>
    <row r="229" ht="14.25" customHeight="1">
      <c r="M229" s="119"/>
      <c r="N229" s="119"/>
      <c r="X229" s="27"/>
    </row>
    <row r="230" ht="14.25" customHeight="1">
      <c r="M230" s="119"/>
      <c r="N230" s="119"/>
      <c r="X230" s="27"/>
    </row>
    <row r="231" ht="14.25" customHeight="1">
      <c r="M231" s="119"/>
      <c r="N231" s="119"/>
      <c r="X231" s="27"/>
    </row>
    <row r="232" ht="14.25" customHeight="1">
      <c r="M232" s="119"/>
      <c r="N232" s="119"/>
      <c r="X232" s="27"/>
    </row>
    <row r="233" ht="14.25" customHeight="1">
      <c r="M233" s="119"/>
      <c r="N233" s="119"/>
      <c r="X233" s="27"/>
    </row>
    <row r="234" ht="14.25" customHeight="1">
      <c r="M234" s="119"/>
      <c r="N234" s="119"/>
      <c r="X234" s="27"/>
    </row>
    <row r="235" ht="14.25" customHeight="1">
      <c r="M235" s="119"/>
      <c r="N235" s="119"/>
      <c r="X235" s="27"/>
    </row>
    <row r="236" ht="14.25" customHeight="1">
      <c r="M236" s="119"/>
      <c r="N236" s="119"/>
      <c r="X236" s="27"/>
    </row>
    <row r="237" ht="14.25" customHeight="1">
      <c r="M237" s="119"/>
      <c r="N237" s="119"/>
      <c r="X237" s="27"/>
    </row>
    <row r="238" ht="14.25" customHeight="1">
      <c r="M238" s="119"/>
      <c r="N238" s="119"/>
      <c r="X238" s="27"/>
    </row>
    <row r="239" ht="14.25" customHeight="1">
      <c r="M239" s="119"/>
      <c r="N239" s="119"/>
      <c r="X239" s="27"/>
    </row>
    <row r="240" ht="14.25" customHeight="1">
      <c r="M240" s="119"/>
      <c r="N240" s="119"/>
      <c r="X240" s="27"/>
    </row>
    <row r="241" ht="14.25" customHeight="1">
      <c r="M241" s="119"/>
      <c r="N241" s="119"/>
      <c r="X241" s="27"/>
    </row>
    <row r="242" ht="14.25" customHeight="1">
      <c r="M242" s="119"/>
      <c r="N242" s="119"/>
      <c r="X242" s="27"/>
    </row>
    <row r="243" ht="14.25" customHeight="1">
      <c r="M243" s="119"/>
      <c r="N243" s="119"/>
      <c r="X243" s="27"/>
    </row>
    <row r="244" ht="14.25" customHeight="1">
      <c r="M244" s="119"/>
      <c r="N244" s="119"/>
      <c r="X244" s="27"/>
    </row>
    <row r="245" ht="14.25" customHeight="1">
      <c r="M245" s="119"/>
      <c r="N245" s="119"/>
      <c r="X245" s="27"/>
    </row>
    <row r="246" ht="14.25" customHeight="1">
      <c r="M246" s="119"/>
      <c r="N246" s="119"/>
      <c r="X246" s="27"/>
    </row>
    <row r="247" ht="14.25" customHeight="1">
      <c r="M247" s="119"/>
      <c r="N247" s="119"/>
      <c r="X247" s="27"/>
    </row>
    <row r="248" ht="14.25" customHeight="1">
      <c r="M248" s="119"/>
      <c r="N248" s="119"/>
      <c r="X248" s="27"/>
    </row>
    <row r="249" ht="14.25" customHeight="1">
      <c r="M249" s="119"/>
      <c r="N249" s="119"/>
      <c r="X249" s="27"/>
    </row>
    <row r="250" ht="14.25" customHeight="1">
      <c r="M250" s="119"/>
      <c r="N250" s="119"/>
      <c r="X250" s="27"/>
    </row>
    <row r="251" ht="14.25" customHeight="1">
      <c r="M251" s="119"/>
      <c r="N251" s="119"/>
      <c r="X251" s="27"/>
    </row>
    <row r="252" ht="14.25" customHeight="1">
      <c r="M252" s="119"/>
      <c r="N252" s="119"/>
      <c r="X252" s="27"/>
    </row>
    <row r="253" ht="14.25" customHeight="1">
      <c r="M253" s="119"/>
      <c r="N253" s="119"/>
      <c r="X253" s="27"/>
    </row>
    <row r="254" ht="14.25" customHeight="1">
      <c r="M254" s="119"/>
      <c r="N254" s="119"/>
      <c r="X254" s="27"/>
    </row>
    <row r="255" ht="14.25" customHeight="1">
      <c r="M255" s="119"/>
      <c r="N255" s="119"/>
      <c r="X255" s="27"/>
    </row>
    <row r="256" ht="14.25" customHeight="1">
      <c r="M256" s="119"/>
      <c r="N256" s="119"/>
      <c r="X256" s="27"/>
    </row>
    <row r="257" ht="14.25" customHeight="1">
      <c r="M257" s="119"/>
      <c r="N257" s="119"/>
      <c r="X257" s="27"/>
    </row>
    <row r="258" ht="14.25" customHeight="1">
      <c r="M258" s="119"/>
      <c r="N258" s="119"/>
      <c r="X258" s="27"/>
    </row>
    <row r="259" ht="14.25" customHeight="1">
      <c r="M259" s="119"/>
      <c r="N259" s="119"/>
      <c r="X259" s="27"/>
    </row>
    <row r="260" ht="14.25" customHeight="1">
      <c r="M260" s="119"/>
      <c r="N260" s="119"/>
      <c r="X260" s="27"/>
    </row>
    <row r="261" ht="14.25" customHeight="1">
      <c r="M261" s="119"/>
      <c r="N261" s="119"/>
      <c r="X261" s="27"/>
    </row>
    <row r="262" ht="14.25" customHeight="1">
      <c r="M262" s="119"/>
      <c r="N262" s="119"/>
      <c r="X262" s="27"/>
    </row>
    <row r="263" ht="14.25" customHeight="1">
      <c r="M263" s="119"/>
      <c r="N263" s="119"/>
      <c r="X263" s="27"/>
    </row>
    <row r="264" ht="14.25" customHeight="1">
      <c r="M264" s="119"/>
      <c r="N264" s="119"/>
      <c r="X264" s="27"/>
    </row>
    <row r="265" ht="14.25" customHeight="1">
      <c r="M265" s="119"/>
      <c r="N265" s="119"/>
      <c r="X265" s="27"/>
    </row>
    <row r="266" ht="14.25" customHeight="1">
      <c r="M266" s="119"/>
      <c r="N266" s="119"/>
      <c r="X266" s="27"/>
    </row>
    <row r="267" ht="14.25" customHeight="1">
      <c r="M267" s="119"/>
      <c r="N267" s="119"/>
      <c r="X267" s="27"/>
    </row>
    <row r="268" ht="14.25" customHeight="1">
      <c r="M268" s="119"/>
      <c r="N268" s="119"/>
      <c r="X268" s="27"/>
    </row>
    <row r="269" ht="14.25" customHeight="1">
      <c r="M269" s="119"/>
      <c r="N269" s="119"/>
      <c r="X269" s="27"/>
    </row>
    <row r="270" ht="14.25" customHeight="1">
      <c r="M270" s="119"/>
      <c r="N270" s="119"/>
      <c r="X270" s="27"/>
    </row>
    <row r="271" ht="14.25" customHeight="1">
      <c r="M271" s="119"/>
      <c r="N271" s="119"/>
      <c r="X271" s="27"/>
    </row>
    <row r="272" ht="14.25" customHeight="1">
      <c r="M272" s="119"/>
      <c r="N272" s="119"/>
      <c r="X272" s="27"/>
    </row>
    <row r="273" ht="14.25" customHeight="1">
      <c r="M273" s="119"/>
      <c r="N273" s="119"/>
      <c r="X273" s="27"/>
    </row>
    <row r="274" ht="14.25" customHeight="1">
      <c r="M274" s="119"/>
      <c r="N274" s="119"/>
      <c r="X274" s="27"/>
    </row>
    <row r="275" ht="14.25" customHeight="1">
      <c r="M275" s="119"/>
      <c r="N275" s="119"/>
      <c r="X275" s="27"/>
    </row>
    <row r="276" ht="14.25" customHeight="1">
      <c r="M276" s="119"/>
      <c r="N276" s="119"/>
      <c r="X276" s="27"/>
    </row>
    <row r="277" ht="14.25" customHeight="1">
      <c r="M277" s="119"/>
      <c r="N277" s="119"/>
      <c r="X277" s="27"/>
    </row>
    <row r="278" ht="14.25" customHeight="1">
      <c r="M278" s="119"/>
      <c r="N278" s="119"/>
      <c r="X278" s="27"/>
    </row>
    <row r="279" ht="14.25" customHeight="1">
      <c r="M279" s="119"/>
      <c r="N279" s="119"/>
      <c r="X279" s="27"/>
    </row>
    <row r="280" ht="14.25" customHeight="1">
      <c r="M280" s="119"/>
      <c r="N280" s="119"/>
      <c r="X280" s="27"/>
    </row>
    <row r="281" ht="14.25" customHeight="1">
      <c r="M281" s="119"/>
      <c r="N281" s="119"/>
      <c r="X281" s="27"/>
    </row>
    <row r="282" ht="14.25" customHeight="1">
      <c r="M282" s="119"/>
      <c r="N282" s="119"/>
      <c r="X282" s="27"/>
    </row>
    <row r="283" ht="14.25" customHeight="1">
      <c r="M283" s="119"/>
      <c r="N283" s="119"/>
      <c r="X283" s="27"/>
    </row>
    <row r="284" ht="14.25" customHeight="1">
      <c r="M284" s="119"/>
      <c r="N284" s="119"/>
      <c r="X284" s="27"/>
    </row>
    <row r="285" ht="14.25" customHeight="1">
      <c r="M285" s="119"/>
      <c r="N285" s="119"/>
      <c r="X285" s="27"/>
    </row>
    <row r="286" ht="14.25" customHeight="1">
      <c r="M286" s="119"/>
      <c r="N286" s="119"/>
      <c r="X286" s="27"/>
    </row>
    <row r="287" ht="14.25" customHeight="1">
      <c r="M287" s="119"/>
      <c r="N287" s="119"/>
      <c r="X287" s="27"/>
    </row>
    <row r="288" ht="14.25" customHeight="1">
      <c r="M288" s="119"/>
      <c r="N288" s="119"/>
      <c r="X288" s="27"/>
    </row>
    <row r="289" ht="14.25" customHeight="1">
      <c r="M289" s="119"/>
      <c r="N289" s="119"/>
      <c r="X289" s="27"/>
    </row>
    <row r="290" ht="14.25" customHeight="1">
      <c r="M290" s="119"/>
      <c r="N290" s="119"/>
      <c r="X290" s="27"/>
    </row>
    <row r="291" ht="14.25" customHeight="1">
      <c r="M291" s="119"/>
      <c r="N291" s="119"/>
      <c r="X291" s="27"/>
    </row>
    <row r="292" ht="14.25" customHeight="1">
      <c r="M292" s="119"/>
      <c r="N292" s="119"/>
      <c r="X292" s="27"/>
    </row>
    <row r="293" ht="14.25" customHeight="1">
      <c r="M293" s="119"/>
      <c r="N293" s="119"/>
      <c r="X293" s="27"/>
    </row>
    <row r="294" ht="14.25" customHeight="1">
      <c r="M294" s="119"/>
      <c r="N294" s="119"/>
      <c r="X294" s="27"/>
    </row>
    <row r="295" ht="14.25" customHeight="1">
      <c r="M295" s="119"/>
      <c r="N295" s="119"/>
      <c r="X295" s="27"/>
    </row>
    <row r="296" ht="14.25" customHeight="1">
      <c r="M296" s="119"/>
      <c r="N296" s="119"/>
      <c r="X296" s="27"/>
    </row>
    <row r="297" ht="14.25" customHeight="1">
      <c r="M297" s="119"/>
      <c r="N297" s="119"/>
      <c r="X297" s="27"/>
    </row>
    <row r="298" ht="14.25" customHeight="1">
      <c r="M298" s="119"/>
      <c r="N298" s="119"/>
      <c r="X298" s="27"/>
    </row>
    <row r="299" ht="14.25" customHeight="1">
      <c r="M299" s="119"/>
      <c r="N299" s="119"/>
      <c r="X299" s="27"/>
    </row>
    <row r="300" ht="14.25" customHeight="1">
      <c r="M300" s="119"/>
      <c r="N300" s="119"/>
      <c r="X300" s="27"/>
    </row>
    <row r="301" ht="14.25" customHeight="1">
      <c r="M301" s="119"/>
      <c r="N301" s="119"/>
      <c r="X301" s="27"/>
    </row>
    <row r="302" ht="14.25" customHeight="1">
      <c r="M302" s="119"/>
      <c r="N302" s="119"/>
      <c r="X302" s="27"/>
    </row>
    <row r="303" ht="14.25" customHeight="1">
      <c r="M303" s="119"/>
      <c r="N303" s="119"/>
      <c r="X303" s="27"/>
    </row>
    <row r="304" ht="14.25" customHeight="1">
      <c r="M304" s="119"/>
      <c r="N304" s="119"/>
      <c r="X304" s="27"/>
    </row>
    <row r="305" ht="14.25" customHeight="1">
      <c r="M305" s="119"/>
      <c r="N305" s="119"/>
      <c r="X305" s="27"/>
    </row>
    <row r="306" ht="14.25" customHeight="1">
      <c r="M306" s="119"/>
      <c r="N306" s="119"/>
      <c r="X306" s="27"/>
    </row>
    <row r="307" ht="14.25" customHeight="1">
      <c r="M307" s="119"/>
      <c r="N307" s="119"/>
      <c r="X307" s="27"/>
    </row>
    <row r="308" ht="14.25" customHeight="1">
      <c r="M308" s="119"/>
      <c r="N308" s="119"/>
      <c r="X308" s="27"/>
    </row>
    <row r="309" ht="14.25" customHeight="1">
      <c r="M309" s="119"/>
      <c r="N309" s="119"/>
      <c r="X309" s="27"/>
    </row>
    <row r="310" ht="14.25" customHeight="1">
      <c r="M310" s="119"/>
      <c r="N310" s="119"/>
      <c r="X310" s="27"/>
    </row>
    <row r="311" ht="14.25" customHeight="1">
      <c r="M311" s="119"/>
      <c r="N311" s="119"/>
      <c r="X311" s="27"/>
    </row>
    <row r="312" ht="14.25" customHeight="1">
      <c r="M312" s="119"/>
      <c r="N312" s="119"/>
      <c r="X312" s="27"/>
    </row>
    <row r="313" ht="14.25" customHeight="1">
      <c r="M313" s="119"/>
      <c r="N313" s="119"/>
      <c r="X313" s="27"/>
    </row>
    <row r="314" ht="14.25" customHeight="1">
      <c r="M314" s="119"/>
      <c r="N314" s="119"/>
      <c r="X314" s="27"/>
    </row>
    <row r="315" ht="14.25" customHeight="1">
      <c r="M315" s="119"/>
      <c r="N315" s="119"/>
      <c r="X315" s="27"/>
    </row>
    <row r="316" ht="14.25" customHeight="1">
      <c r="M316" s="119"/>
      <c r="N316" s="119"/>
      <c r="X316" s="27"/>
    </row>
    <row r="317" ht="14.25" customHeight="1">
      <c r="M317" s="119"/>
      <c r="N317" s="119"/>
      <c r="X317" s="27"/>
    </row>
    <row r="318" ht="14.25" customHeight="1">
      <c r="M318" s="119"/>
      <c r="N318" s="119"/>
      <c r="X318" s="27"/>
    </row>
    <row r="319" ht="14.25" customHeight="1">
      <c r="M319" s="119"/>
      <c r="N319" s="119"/>
      <c r="X319" s="27"/>
    </row>
    <row r="320" ht="14.25" customHeight="1">
      <c r="M320" s="119"/>
      <c r="N320" s="119"/>
      <c r="X320" s="27"/>
    </row>
    <row r="321" ht="14.25" customHeight="1">
      <c r="M321" s="119"/>
      <c r="N321" s="119"/>
      <c r="X321" s="27"/>
    </row>
    <row r="322" ht="14.25" customHeight="1">
      <c r="M322" s="119"/>
      <c r="N322" s="119"/>
      <c r="X322" s="27"/>
    </row>
    <row r="323" ht="14.25" customHeight="1">
      <c r="M323" s="119"/>
      <c r="N323" s="119"/>
      <c r="X323" s="27"/>
    </row>
    <row r="324" ht="14.25" customHeight="1">
      <c r="M324" s="119"/>
      <c r="N324" s="119"/>
      <c r="X324" s="27"/>
    </row>
    <row r="325" ht="14.25" customHeight="1">
      <c r="M325" s="119"/>
      <c r="N325" s="119"/>
      <c r="X325" s="27"/>
    </row>
    <row r="326" ht="14.25" customHeight="1">
      <c r="M326" s="119"/>
      <c r="N326" s="119"/>
      <c r="X326" s="27"/>
    </row>
    <row r="327" ht="14.25" customHeight="1">
      <c r="M327" s="119"/>
      <c r="N327" s="119"/>
      <c r="X327" s="27"/>
    </row>
    <row r="328" ht="14.25" customHeight="1">
      <c r="M328" s="119"/>
      <c r="N328" s="119"/>
      <c r="X328" s="27"/>
    </row>
    <row r="329" ht="14.25" customHeight="1">
      <c r="M329" s="119"/>
      <c r="N329" s="119"/>
      <c r="X329" s="27"/>
    </row>
    <row r="330" ht="14.25" customHeight="1">
      <c r="M330" s="119"/>
      <c r="N330" s="119"/>
      <c r="X330" s="27"/>
    </row>
    <row r="331" ht="14.25" customHeight="1">
      <c r="M331" s="119"/>
      <c r="N331" s="119"/>
      <c r="X331" s="27"/>
    </row>
    <row r="332" ht="14.25" customHeight="1">
      <c r="M332" s="119"/>
      <c r="N332" s="119"/>
      <c r="X332" s="27"/>
    </row>
    <row r="333" ht="14.25" customHeight="1">
      <c r="M333" s="119"/>
      <c r="N333" s="119"/>
      <c r="X333" s="27"/>
    </row>
    <row r="334" ht="14.25" customHeight="1">
      <c r="M334" s="119"/>
      <c r="N334" s="119"/>
      <c r="X334" s="27"/>
    </row>
    <row r="335" ht="14.25" customHeight="1">
      <c r="M335" s="119"/>
      <c r="N335" s="119"/>
      <c r="X335" s="27"/>
    </row>
    <row r="336" ht="14.25" customHeight="1">
      <c r="M336" s="119"/>
      <c r="N336" s="119"/>
      <c r="X336" s="27"/>
    </row>
    <row r="337" ht="14.25" customHeight="1">
      <c r="M337" s="119"/>
      <c r="N337" s="119"/>
      <c r="X337" s="27"/>
    </row>
    <row r="338" ht="14.25" customHeight="1">
      <c r="M338" s="119"/>
      <c r="N338" s="119"/>
      <c r="X338" s="27"/>
    </row>
    <row r="339" ht="14.25" customHeight="1">
      <c r="M339" s="119"/>
      <c r="N339" s="119"/>
      <c r="X339" s="27"/>
    </row>
    <row r="340" ht="14.25" customHeight="1">
      <c r="M340" s="119"/>
      <c r="N340" s="119"/>
      <c r="X340" s="27"/>
    </row>
    <row r="341" ht="14.25" customHeight="1">
      <c r="M341" s="119"/>
      <c r="N341" s="119"/>
      <c r="X341" s="27"/>
    </row>
    <row r="342" ht="14.25" customHeight="1">
      <c r="M342" s="119"/>
      <c r="N342" s="119"/>
      <c r="X342" s="27"/>
    </row>
    <row r="343" ht="14.25" customHeight="1">
      <c r="M343" s="119"/>
      <c r="N343" s="119"/>
      <c r="X343" s="27"/>
    </row>
    <row r="344" ht="14.25" customHeight="1">
      <c r="M344" s="119"/>
      <c r="N344" s="119"/>
      <c r="X344" s="27"/>
    </row>
    <row r="345" ht="14.25" customHeight="1">
      <c r="M345" s="119"/>
      <c r="N345" s="119"/>
      <c r="X345" s="27"/>
    </row>
    <row r="346" ht="14.25" customHeight="1">
      <c r="M346" s="119"/>
      <c r="N346" s="119"/>
      <c r="X346" s="27"/>
    </row>
    <row r="347" ht="14.25" customHeight="1">
      <c r="M347" s="119"/>
      <c r="N347" s="119"/>
      <c r="X347" s="27"/>
    </row>
    <row r="348" ht="14.25" customHeight="1">
      <c r="M348" s="119"/>
      <c r="N348" s="119"/>
      <c r="X348" s="27"/>
    </row>
    <row r="349" ht="14.25" customHeight="1">
      <c r="M349" s="119"/>
      <c r="N349" s="119"/>
      <c r="X349" s="27"/>
    </row>
    <row r="350" ht="14.25" customHeight="1">
      <c r="M350" s="119"/>
      <c r="N350" s="119"/>
      <c r="X350" s="27"/>
    </row>
    <row r="351" ht="14.25" customHeight="1">
      <c r="M351" s="119"/>
      <c r="N351" s="119"/>
      <c r="X351" s="27"/>
    </row>
    <row r="352" ht="14.25" customHeight="1">
      <c r="M352" s="119"/>
      <c r="N352" s="119"/>
      <c r="X352" s="27"/>
    </row>
    <row r="353" ht="14.25" customHeight="1">
      <c r="M353" s="119"/>
      <c r="N353" s="119"/>
      <c r="X353" s="27"/>
    </row>
    <row r="354" ht="14.25" customHeight="1">
      <c r="M354" s="119"/>
      <c r="N354" s="119"/>
      <c r="X354" s="27"/>
    </row>
    <row r="355" ht="14.25" customHeight="1">
      <c r="M355" s="119"/>
      <c r="N355" s="119"/>
      <c r="X355" s="27"/>
    </row>
    <row r="356" ht="14.25" customHeight="1">
      <c r="M356" s="119"/>
      <c r="N356" s="119"/>
      <c r="X356" s="27"/>
    </row>
    <row r="357" ht="14.25" customHeight="1">
      <c r="M357" s="119"/>
      <c r="N357" s="119"/>
      <c r="X357" s="27"/>
    </row>
    <row r="358" ht="14.25" customHeight="1">
      <c r="M358" s="119"/>
      <c r="N358" s="119"/>
      <c r="X358" s="27"/>
    </row>
    <row r="359" ht="14.25" customHeight="1">
      <c r="M359" s="119"/>
      <c r="N359" s="119"/>
      <c r="X359" s="27"/>
    </row>
    <row r="360" ht="14.25" customHeight="1">
      <c r="M360" s="119"/>
      <c r="N360" s="119"/>
      <c r="X360" s="27"/>
    </row>
    <row r="361" ht="14.25" customHeight="1">
      <c r="M361" s="119"/>
      <c r="N361" s="119"/>
      <c r="X361" s="27"/>
    </row>
    <row r="362" ht="14.25" customHeight="1">
      <c r="M362" s="119"/>
      <c r="N362" s="119"/>
      <c r="X362" s="27"/>
    </row>
    <row r="363" ht="14.25" customHeight="1">
      <c r="M363" s="119"/>
      <c r="N363" s="119"/>
      <c r="X363" s="27"/>
    </row>
    <row r="364" ht="14.25" customHeight="1">
      <c r="M364" s="119"/>
      <c r="N364" s="119"/>
      <c r="X364" s="27"/>
    </row>
    <row r="365" ht="14.25" customHeight="1">
      <c r="M365" s="119"/>
      <c r="N365" s="119"/>
      <c r="X365" s="27"/>
    </row>
    <row r="366" ht="14.25" customHeight="1">
      <c r="M366" s="119"/>
      <c r="N366" s="119"/>
      <c r="X366" s="27"/>
    </row>
    <row r="367" ht="14.25" customHeight="1">
      <c r="M367" s="119"/>
      <c r="N367" s="119"/>
      <c r="X367" s="27"/>
    </row>
    <row r="368" ht="14.25" customHeight="1">
      <c r="M368" s="119"/>
      <c r="N368" s="119"/>
      <c r="X368" s="27"/>
    </row>
    <row r="369" ht="14.25" customHeight="1">
      <c r="M369" s="119"/>
      <c r="N369" s="119"/>
      <c r="X369" s="27"/>
    </row>
    <row r="370" ht="14.25" customHeight="1">
      <c r="M370" s="119"/>
      <c r="N370" s="119"/>
      <c r="X370" s="27"/>
    </row>
    <row r="371" ht="14.25" customHeight="1">
      <c r="M371" s="119"/>
      <c r="N371" s="119"/>
      <c r="X371" s="27"/>
    </row>
    <row r="372" ht="14.25" customHeight="1">
      <c r="M372" s="119"/>
      <c r="N372" s="119"/>
      <c r="X372" s="27"/>
    </row>
    <row r="373" ht="14.25" customHeight="1">
      <c r="M373" s="119"/>
      <c r="N373" s="119"/>
      <c r="X373" s="27"/>
    </row>
    <row r="374" ht="14.25" customHeight="1">
      <c r="M374" s="119"/>
      <c r="N374" s="119"/>
      <c r="X374" s="27"/>
    </row>
    <row r="375" ht="14.25" customHeight="1">
      <c r="M375" s="119"/>
      <c r="N375" s="119"/>
      <c r="X375" s="27"/>
    </row>
    <row r="376" ht="14.25" customHeight="1">
      <c r="M376" s="119"/>
      <c r="N376" s="119"/>
      <c r="X376" s="27"/>
    </row>
    <row r="377" ht="14.25" customHeight="1">
      <c r="M377" s="119"/>
      <c r="N377" s="119"/>
      <c r="X377" s="27"/>
    </row>
    <row r="378" ht="14.25" customHeight="1">
      <c r="M378" s="119"/>
      <c r="N378" s="119"/>
      <c r="X378" s="27"/>
    </row>
    <row r="379" ht="14.25" customHeight="1">
      <c r="M379" s="119"/>
      <c r="N379" s="119"/>
      <c r="X379" s="27"/>
    </row>
    <row r="380" ht="14.25" customHeight="1">
      <c r="M380" s="119"/>
      <c r="N380" s="119"/>
      <c r="X380" s="27"/>
    </row>
    <row r="381" ht="14.25" customHeight="1">
      <c r="M381" s="119"/>
      <c r="N381" s="119"/>
      <c r="X381" s="27"/>
    </row>
    <row r="382" ht="14.25" customHeight="1">
      <c r="M382" s="119"/>
      <c r="N382" s="119"/>
      <c r="X382" s="27"/>
    </row>
    <row r="383" ht="14.25" customHeight="1">
      <c r="M383" s="119"/>
      <c r="N383" s="119"/>
      <c r="X383" s="27"/>
    </row>
    <row r="384" ht="14.25" customHeight="1">
      <c r="M384" s="119"/>
      <c r="N384" s="119"/>
      <c r="X384" s="27"/>
    </row>
    <row r="385" ht="14.25" customHeight="1">
      <c r="M385" s="119"/>
      <c r="N385" s="119"/>
      <c r="X385" s="27"/>
    </row>
    <row r="386" ht="14.25" customHeight="1">
      <c r="M386" s="119"/>
      <c r="N386" s="119"/>
      <c r="X386" s="27"/>
    </row>
    <row r="387" ht="14.25" customHeight="1">
      <c r="M387" s="119"/>
      <c r="N387" s="119"/>
      <c r="X387" s="27"/>
    </row>
    <row r="388" ht="14.25" customHeight="1">
      <c r="M388" s="119"/>
      <c r="N388" s="119"/>
      <c r="X388" s="27"/>
    </row>
    <row r="389" ht="14.25" customHeight="1">
      <c r="M389" s="119"/>
      <c r="N389" s="119"/>
      <c r="X389" s="27"/>
    </row>
    <row r="390" ht="14.25" customHeight="1">
      <c r="M390" s="119"/>
      <c r="N390" s="119"/>
      <c r="X390" s="27"/>
    </row>
    <row r="391" ht="14.25" customHeight="1">
      <c r="M391" s="119"/>
      <c r="N391" s="119"/>
      <c r="X391" s="27"/>
    </row>
    <row r="392" ht="14.25" customHeight="1">
      <c r="M392" s="119"/>
      <c r="N392" s="119"/>
      <c r="X392" s="27"/>
    </row>
    <row r="393" ht="14.25" customHeight="1">
      <c r="M393" s="119"/>
      <c r="N393" s="119"/>
      <c r="X393" s="27"/>
    </row>
    <row r="394" ht="14.25" customHeight="1">
      <c r="M394" s="119"/>
      <c r="N394" s="119"/>
      <c r="X394" s="27"/>
    </row>
    <row r="395" ht="14.25" customHeight="1">
      <c r="M395" s="119"/>
      <c r="N395" s="119"/>
      <c r="X395" s="27"/>
    </row>
    <row r="396" ht="14.25" customHeight="1">
      <c r="M396" s="119"/>
      <c r="N396" s="119"/>
      <c r="X396" s="27"/>
    </row>
    <row r="397" ht="14.25" customHeight="1">
      <c r="M397" s="119"/>
      <c r="N397" s="119"/>
      <c r="X397" s="27"/>
    </row>
    <row r="398" ht="14.25" customHeight="1">
      <c r="M398" s="119"/>
      <c r="N398" s="119"/>
      <c r="X398" s="27"/>
    </row>
    <row r="399" ht="14.25" customHeight="1">
      <c r="M399" s="119"/>
      <c r="N399" s="119"/>
      <c r="X399" s="27"/>
    </row>
    <row r="400" ht="14.25" customHeight="1">
      <c r="M400" s="119"/>
      <c r="N400" s="119"/>
      <c r="X400" s="27"/>
    </row>
    <row r="401" ht="14.25" customHeight="1">
      <c r="M401" s="119"/>
      <c r="N401" s="119"/>
      <c r="X401" s="27"/>
    </row>
    <row r="402" ht="14.25" customHeight="1">
      <c r="M402" s="119"/>
      <c r="N402" s="119"/>
      <c r="X402" s="27"/>
    </row>
    <row r="403" ht="14.25" customHeight="1">
      <c r="M403" s="119"/>
      <c r="N403" s="119"/>
      <c r="X403" s="27"/>
    </row>
    <row r="404" ht="14.25" customHeight="1">
      <c r="M404" s="119"/>
      <c r="N404" s="119"/>
      <c r="X404" s="27"/>
    </row>
    <row r="405" ht="14.25" customHeight="1">
      <c r="M405" s="119"/>
      <c r="N405" s="119"/>
      <c r="X405" s="27"/>
    </row>
    <row r="406" ht="14.25" customHeight="1">
      <c r="M406" s="119"/>
      <c r="N406" s="119"/>
      <c r="X406" s="27"/>
    </row>
    <row r="407" ht="14.25" customHeight="1">
      <c r="M407" s="119"/>
      <c r="N407" s="119"/>
      <c r="X407" s="27"/>
    </row>
    <row r="408" ht="14.25" customHeight="1">
      <c r="M408" s="119"/>
      <c r="N408" s="119"/>
      <c r="X408" s="27"/>
    </row>
    <row r="409" ht="14.25" customHeight="1">
      <c r="M409" s="119"/>
      <c r="N409" s="119"/>
      <c r="X409" s="27"/>
    </row>
    <row r="410" ht="14.25" customHeight="1">
      <c r="M410" s="119"/>
      <c r="N410" s="119"/>
      <c r="X410" s="27"/>
    </row>
    <row r="411" ht="14.25" customHeight="1">
      <c r="M411" s="119"/>
      <c r="N411" s="119"/>
      <c r="X411" s="27"/>
    </row>
    <row r="412" ht="14.25" customHeight="1">
      <c r="M412" s="119"/>
      <c r="N412" s="119"/>
      <c r="X412" s="27"/>
    </row>
    <row r="413" ht="14.25" customHeight="1">
      <c r="M413" s="119"/>
      <c r="N413" s="119"/>
      <c r="X413" s="27"/>
    </row>
    <row r="414" ht="14.25" customHeight="1">
      <c r="M414" s="119"/>
      <c r="N414" s="119"/>
      <c r="X414" s="27"/>
    </row>
    <row r="415" ht="14.25" customHeight="1">
      <c r="M415" s="119"/>
      <c r="N415" s="119"/>
      <c r="X415" s="27"/>
    </row>
    <row r="416" ht="14.25" customHeight="1">
      <c r="M416" s="119"/>
      <c r="N416" s="119"/>
      <c r="X416" s="27"/>
    </row>
    <row r="417" ht="14.25" customHeight="1">
      <c r="M417" s="119"/>
      <c r="N417" s="119"/>
      <c r="X417" s="27"/>
    </row>
    <row r="418" ht="14.25" customHeight="1">
      <c r="M418" s="119"/>
      <c r="N418" s="119"/>
      <c r="X418" s="27"/>
    </row>
    <row r="419" ht="14.25" customHeight="1">
      <c r="M419" s="119"/>
      <c r="N419" s="119"/>
      <c r="X419" s="27"/>
    </row>
    <row r="420" ht="14.25" customHeight="1">
      <c r="M420" s="119"/>
      <c r="N420" s="119"/>
      <c r="X420" s="27"/>
    </row>
    <row r="421" ht="14.25" customHeight="1">
      <c r="M421" s="119"/>
      <c r="N421" s="119"/>
      <c r="X421" s="27"/>
    </row>
    <row r="422" ht="14.25" customHeight="1">
      <c r="M422" s="119"/>
      <c r="N422" s="119"/>
      <c r="X422" s="27"/>
    </row>
    <row r="423" ht="14.25" customHeight="1">
      <c r="M423" s="119"/>
      <c r="N423" s="119"/>
      <c r="X423" s="27"/>
    </row>
    <row r="424" ht="14.25" customHeight="1">
      <c r="M424" s="119"/>
      <c r="N424" s="119"/>
      <c r="X424" s="27"/>
    </row>
    <row r="425" ht="14.25" customHeight="1">
      <c r="M425" s="119"/>
      <c r="N425" s="119"/>
      <c r="X425" s="27"/>
    </row>
    <row r="426" ht="14.25" customHeight="1">
      <c r="M426" s="119"/>
      <c r="N426" s="119"/>
      <c r="X426" s="27"/>
    </row>
    <row r="427" ht="14.25" customHeight="1">
      <c r="M427" s="119"/>
      <c r="N427" s="119"/>
      <c r="X427" s="27"/>
    </row>
    <row r="428" ht="14.25" customHeight="1">
      <c r="M428" s="119"/>
      <c r="N428" s="119"/>
      <c r="X428" s="27"/>
    </row>
    <row r="429" ht="14.25" customHeight="1">
      <c r="M429" s="119"/>
      <c r="N429" s="119"/>
      <c r="X429" s="27"/>
    </row>
    <row r="430" ht="14.25" customHeight="1">
      <c r="M430" s="119"/>
      <c r="N430" s="119"/>
      <c r="X430" s="27"/>
    </row>
    <row r="431" ht="14.25" customHeight="1">
      <c r="M431" s="119"/>
      <c r="N431" s="119"/>
      <c r="X431" s="27"/>
    </row>
    <row r="432" ht="14.25" customHeight="1">
      <c r="M432" s="119"/>
      <c r="N432" s="119"/>
      <c r="X432" s="27"/>
    </row>
    <row r="433" ht="14.25" customHeight="1">
      <c r="M433" s="119"/>
      <c r="N433" s="119"/>
      <c r="X433" s="27"/>
    </row>
    <row r="434" ht="14.25" customHeight="1">
      <c r="M434" s="119"/>
      <c r="N434" s="119"/>
      <c r="X434" s="27"/>
    </row>
    <row r="435" ht="14.25" customHeight="1">
      <c r="M435" s="119"/>
      <c r="N435" s="119"/>
      <c r="X435" s="27"/>
    </row>
    <row r="436" ht="14.25" customHeight="1">
      <c r="M436" s="119"/>
      <c r="N436" s="119"/>
      <c r="X436" s="27"/>
    </row>
    <row r="437" ht="14.25" customHeight="1">
      <c r="M437" s="119"/>
      <c r="N437" s="119"/>
      <c r="X437" s="27"/>
    </row>
    <row r="438" ht="14.25" customHeight="1">
      <c r="M438" s="119"/>
      <c r="N438" s="119"/>
      <c r="X438" s="27"/>
    </row>
    <row r="439" ht="14.25" customHeight="1">
      <c r="M439" s="119"/>
      <c r="N439" s="119"/>
      <c r="X439" s="27"/>
    </row>
    <row r="440" ht="14.25" customHeight="1">
      <c r="M440" s="119"/>
      <c r="N440" s="119"/>
      <c r="X440" s="27"/>
    </row>
    <row r="441" ht="14.25" customHeight="1">
      <c r="M441" s="119"/>
      <c r="N441" s="119"/>
      <c r="X441" s="27"/>
    </row>
    <row r="442" ht="14.25" customHeight="1">
      <c r="M442" s="119"/>
      <c r="N442" s="119"/>
      <c r="X442" s="27"/>
    </row>
    <row r="443" ht="14.25" customHeight="1">
      <c r="M443" s="119"/>
      <c r="N443" s="119"/>
      <c r="X443" s="27"/>
    </row>
    <row r="444" ht="14.25" customHeight="1">
      <c r="M444" s="119"/>
      <c r="N444" s="119"/>
      <c r="X444" s="27"/>
    </row>
    <row r="445" ht="14.25" customHeight="1">
      <c r="M445" s="119"/>
      <c r="N445" s="119"/>
      <c r="X445" s="27"/>
    </row>
    <row r="446" ht="14.25" customHeight="1">
      <c r="M446" s="119"/>
      <c r="N446" s="119"/>
      <c r="X446" s="27"/>
    </row>
    <row r="447" ht="14.25" customHeight="1">
      <c r="M447" s="119"/>
      <c r="N447" s="119"/>
      <c r="X447" s="27"/>
    </row>
    <row r="448" ht="14.25" customHeight="1">
      <c r="M448" s="119"/>
      <c r="N448" s="119"/>
      <c r="X448" s="27"/>
    </row>
    <row r="449" ht="14.25" customHeight="1">
      <c r="M449" s="119"/>
      <c r="N449" s="119"/>
      <c r="X449" s="27"/>
    </row>
    <row r="450" ht="14.25" customHeight="1">
      <c r="M450" s="119"/>
      <c r="N450" s="119"/>
      <c r="X450" s="27"/>
    </row>
    <row r="451" ht="14.25" customHeight="1">
      <c r="M451" s="119"/>
      <c r="N451" s="119"/>
      <c r="X451" s="27"/>
    </row>
    <row r="452" ht="14.25" customHeight="1">
      <c r="M452" s="119"/>
      <c r="N452" s="119"/>
      <c r="X452" s="27"/>
    </row>
    <row r="453" ht="14.25" customHeight="1">
      <c r="M453" s="119"/>
      <c r="N453" s="119"/>
      <c r="X453" s="27"/>
    </row>
    <row r="454" ht="14.25" customHeight="1">
      <c r="M454" s="119"/>
      <c r="N454" s="119"/>
      <c r="X454" s="27"/>
    </row>
    <row r="455" ht="14.25" customHeight="1">
      <c r="M455" s="119"/>
      <c r="N455" s="119"/>
      <c r="X455" s="27"/>
    </row>
    <row r="456" ht="14.25" customHeight="1">
      <c r="M456" s="119"/>
      <c r="N456" s="119"/>
      <c r="X456" s="27"/>
    </row>
    <row r="457" ht="14.25" customHeight="1">
      <c r="M457" s="119"/>
      <c r="N457" s="119"/>
      <c r="X457" s="27"/>
    </row>
    <row r="458" ht="14.25" customHeight="1">
      <c r="M458" s="119"/>
      <c r="N458" s="119"/>
      <c r="X458" s="27"/>
    </row>
    <row r="459" ht="14.25" customHeight="1">
      <c r="M459" s="119"/>
      <c r="N459" s="119"/>
      <c r="X459" s="27"/>
    </row>
    <row r="460" ht="14.25" customHeight="1">
      <c r="M460" s="119"/>
      <c r="N460" s="119"/>
      <c r="X460" s="27"/>
    </row>
    <row r="461" ht="14.25" customHeight="1">
      <c r="M461" s="119"/>
      <c r="N461" s="119"/>
      <c r="X461" s="27"/>
    </row>
    <row r="462" ht="14.25" customHeight="1">
      <c r="M462" s="119"/>
      <c r="N462" s="119"/>
      <c r="X462" s="27"/>
    </row>
    <row r="463" ht="14.25" customHeight="1">
      <c r="M463" s="119"/>
      <c r="N463" s="119"/>
      <c r="X463" s="27"/>
    </row>
    <row r="464" ht="14.25" customHeight="1">
      <c r="M464" s="119"/>
      <c r="N464" s="119"/>
      <c r="X464" s="27"/>
    </row>
    <row r="465" ht="14.25" customHeight="1">
      <c r="M465" s="119"/>
      <c r="N465" s="119"/>
      <c r="X465" s="27"/>
    </row>
    <row r="466" ht="14.25" customHeight="1">
      <c r="M466" s="119"/>
      <c r="N466" s="119"/>
      <c r="X466" s="27"/>
    </row>
    <row r="467" ht="14.25" customHeight="1">
      <c r="M467" s="119"/>
      <c r="N467" s="119"/>
      <c r="X467" s="27"/>
    </row>
    <row r="468" ht="14.25" customHeight="1">
      <c r="M468" s="119"/>
      <c r="N468" s="119"/>
      <c r="X468" s="27"/>
    </row>
    <row r="469" ht="14.25" customHeight="1">
      <c r="M469" s="119"/>
      <c r="N469" s="119"/>
      <c r="X469" s="27"/>
    </row>
    <row r="470" ht="14.25" customHeight="1">
      <c r="M470" s="119"/>
      <c r="N470" s="119"/>
      <c r="X470" s="27"/>
    </row>
    <row r="471" ht="14.25" customHeight="1">
      <c r="M471" s="119"/>
      <c r="N471" s="119"/>
      <c r="X471" s="27"/>
    </row>
    <row r="472" ht="14.25" customHeight="1">
      <c r="M472" s="119"/>
      <c r="N472" s="119"/>
      <c r="X472" s="27"/>
    </row>
    <row r="473" ht="14.25" customHeight="1">
      <c r="M473" s="119"/>
      <c r="N473" s="119"/>
      <c r="X473" s="27"/>
    </row>
    <row r="474" ht="14.25" customHeight="1">
      <c r="M474" s="119"/>
      <c r="N474" s="119"/>
      <c r="X474" s="27"/>
    </row>
    <row r="475" ht="14.25" customHeight="1">
      <c r="M475" s="119"/>
      <c r="N475" s="119"/>
      <c r="X475" s="27"/>
    </row>
    <row r="476" ht="14.25" customHeight="1">
      <c r="M476" s="119"/>
      <c r="N476" s="119"/>
      <c r="X476" s="27"/>
    </row>
    <row r="477" ht="14.25" customHeight="1">
      <c r="M477" s="119"/>
      <c r="N477" s="119"/>
      <c r="X477" s="27"/>
    </row>
    <row r="478" ht="14.25" customHeight="1">
      <c r="M478" s="119"/>
      <c r="N478" s="119"/>
      <c r="X478" s="27"/>
    </row>
    <row r="479" ht="14.25" customHeight="1">
      <c r="M479" s="119"/>
      <c r="N479" s="119"/>
      <c r="X479" s="27"/>
    </row>
    <row r="480" ht="14.25" customHeight="1">
      <c r="M480" s="119"/>
      <c r="N480" s="119"/>
      <c r="X480" s="27"/>
    </row>
    <row r="481" ht="14.25" customHeight="1">
      <c r="M481" s="119"/>
      <c r="N481" s="119"/>
      <c r="X481" s="27"/>
    </row>
    <row r="482" ht="14.25" customHeight="1">
      <c r="M482" s="119"/>
      <c r="N482" s="119"/>
      <c r="X482" s="27"/>
    </row>
    <row r="483" ht="14.25" customHeight="1">
      <c r="M483" s="119"/>
      <c r="N483" s="119"/>
      <c r="X483" s="27"/>
    </row>
    <row r="484" ht="14.25" customHeight="1">
      <c r="M484" s="119"/>
      <c r="N484" s="119"/>
      <c r="X484" s="27"/>
    </row>
    <row r="485" ht="14.25" customHeight="1">
      <c r="M485" s="119"/>
      <c r="N485" s="119"/>
      <c r="X485" s="27"/>
    </row>
    <row r="486" ht="14.25" customHeight="1">
      <c r="M486" s="119"/>
      <c r="N486" s="119"/>
      <c r="X486" s="27"/>
    </row>
    <row r="487" ht="14.25" customHeight="1">
      <c r="M487" s="119"/>
      <c r="N487" s="119"/>
      <c r="X487" s="27"/>
    </row>
    <row r="488" ht="14.25" customHeight="1">
      <c r="M488" s="119"/>
      <c r="N488" s="119"/>
      <c r="X488" s="27"/>
    </row>
    <row r="489" ht="14.25" customHeight="1">
      <c r="M489" s="119"/>
      <c r="N489" s="119"/>
      <c r="X489" s="27"/>
    </row>
    <row r="490" ht="14.25" customHeight="1">
      <c r="M490" s="119"/>
      <c r="N490" s="119"/>
      <c r="X490" s="27"/>
    </row>
    <row r="491" ht="14.25" customHeight="1">
      <c r="M491" s="119"/>
      <c r="N491" s="119"/>
      <c r="X491" s="27"/>
    </row>
    <row r="492" ht="14.25" customHeight="1">
      <c r="M492" s="119"/>
      <c r="N492" s="119"/>
      <c r="X492" s="27"/>
    </row>
    <row r="493" ht="14.25" customHeight="1">
      <c r="M493" s="119"/>
      <c r="N493" s="119"/>
      <c r="X493" s="27"/>
    </row>
    <row r="494" ht="14.25" customHeight="1">
      <c r="M494" s="119"/>
      <c r="N494" s="119"/>
      <c r="X494" s="27"/>
    </row>
    <row r="495" ht="14.25" customHeight="1">
      <c r="M495" s="119"/>
      <c r="N495" s="119"/>
      <c r="X495" s="27"/>
    </row>
    <row r="496" ht="14.25" customHeight="1">
      <c r="M496" s="119"/>
      <c r="N496" s="119"/>
      <c r="X496" s="27"/>
    </row>
    <row r="497" ht="14.25" customHeight="1">
      <c r="M497" s="119"/>
      <c r="N497" s="119"/>
      <c r="X497" s="27"/>
    </row>
    <row r="498" ht="14.25" customHeight="1">
      <c r="M498" s="119"/>
      <c r="N498" s="119"/>
      <c r="X498" s="27"/>
    </row>
    <row r="499" ht="14.25" customHeight="1">
      <c r="M499" s="119"/>
      <c r="N499" s="119"/>
      <c r="X499" s="27"/>
    </row>
    <row r="500" ht="14.25" customHeight="1">
      <c r="M500" s="119"/>
      <c r="N500" s="119"/>
      <c r="X500" s="27"/>
    </row>
    <row r="501" ht="14.25" customHeight="1">
      <c r="M501" s="119"/>
      <c r="N501" s="119"/>
      <c r="X501" s="27"/>
    </row>
    <row r="502" ht="14.25" customHeight="1">
      <c r="M502" s="119"/>
      <c r="N502" s="119"/>
      <c r="X502" s="27"/>
    </row>
    <row r="503" ht="14.25" customHeight="1">
      <c r="M503" s="119"/>
      <c r="N503" s="119"/>
      <c r="X503" s="27"/>
    </row>
    <row r="504" ht="14.25" customHeight="1">
      <c r="M504" s="119"/>
      <c r="N504" s="119"/>
      <c r="X504" s="27"/>
    </row>
    <row r="505" ht="14.25" customHeight="1">
      <c r="M505" s="119"/>
      <c r="N505" s="119"/>
      <c r="X505" s="27"/>
    </row>
    <row r="506" ht="14.25" customHeight="1">
      <c r="M506" s="119"/>
      <c r="N506" s="119"/>
      <c r="X506" s="27"/>
    </row>
    <row r="507" ht="14.25" customHeight="1">
      <c r="M507" s="119"/>
      <c r="N507" s="119"/>
      <c r="X507" s="27"/>
    </row>
    <row r="508" ht="14.25" customHeight="1">
      <c r="M508" s="119"/>
      <c r="N508" s="119"/>
      <c r="X508" s="27"/>
    </row>
    <row r="509" ht="14.25" customHeight="1">
      <c r="M509" s="119"/>
      <c r="N509" s="119"/>
      <c r="X509" s="27"/>
    </row>
    <row r="510" ht="14.25" customHeight="1">
      <c r="M510" s="119"/>
      <c r="N510" s="119"/>
      <c r="X510" s="27"/>
    </row>
    <row r="511" ht="14.25" customHeight="1">
      <c r="M511" s="119"/>
      <c r="N511" s="119"/>
      <c r="X511" s="27"/>
    </row>
    <row r="512" ht="14.25" customHeight="1">
      <c r="M512" s="119"/>
      <c r="N512" s="119"/>
      <c r="X512" s="27"/>
    </row>
    <row r="513" ht="14.25" customHeight="1">
      <c r="M513" s="119"/>
      <c r="N513" s="119"/>
      <c r="X513" s="27"/>
    </row>
    <row r="514" ht="14.25" customHeight="1">
      <c r="M514" s="119"/>
      <c r="N514" s="119"/>
      <c r="X514" s="27"/>
    </row>
    <row r="515" ht="14.25" customHeight="1">
      <c r="M515" s="119"/>
      <c r="N515" s="119"/>
      <c r="X515" s="27"/>
    </row>
    <row r="516" ht="14.25" customHeight="1">
      <c r="M516" s="119"/>
      <c r="N516" s="119"/>
      <c r="X516" s="27"/>
    </row>
    <row r="517" ht="14.25" customHeight="1">
      <c r="M517" s="119"/>
      <c r="N517" s="119"/>
      <c r="X517" s="27"/>
    </row>
    <row r="518" ht="14.25" customHeight="1">
      <c r="M518" s="119"/>
      <c r="N518" s="119"/>
      <c r="X518" s="27"/>
    </row>
    <row r="519" ht="14.25" customHeight="1">
      <c r="M519" s="119"/>
      <c r="N519" s="119"/>
      <c r="X519" s="27"/>
    </row>
    <row r="520" ht="14.25" customHeight="1">
      <c r="M520" s="119"/>
      <c r="N520" s="119"/>
      <c r="X520" s="27"/>
    </row>
    <row r="521" ht="14.25" customHeight="1">
      <c r="M521" s="119"/>
      <c r="N521" s="119"/>
      <c r="X521" s="27"/>
    </row>
    <row r="522" ht="14.25" customHeight="1">
      <c r="M522" s="119"/>
      <c r="N522" s="119"/>
      <c r="X522" s="27"/>
    </row>
    <row r="523" ht="14.25" customHeight="1">
      <c r="M523" s="119"/>
      <c r="N523" s="119"/>
      <c r="X523" s="27"/>
    </row>
    <row r="524" ht="14.25" customHeight="1">
      <c r="M524" s="119"/>
      <c r="N524" s="119"/>
      <c r="X524" s="27"/>
    </row>
    <row r="525" ht="14.25" customHeight="1">
      <c r="M525" s="119"/>
      <c r="N525" s="119"/>
      <c r="X525" s="27"/>
    </row>
    <row r="526" ht="14.25" customHeight="1">
      <c r="M526" s="119"/>
      <c r="N526" s="119"/>
      <c r="X526" s="27"/>
    </row>
    <row r="527" ht="14.25" customHeight="1">
      <c r="M527" s="119"/>
      <c r="N527" s="119"/>
      <c r="X527" s="27"/>
    </row>
    <row r="528" ht="14.25" customHeight="1">
      <c r="M528" s="119"/>
      <c r="N528" s="119"/>
      <c r="X528" s="27"/>
    </row>
    <row r="529" ht="14.25" customHeight="1">
      <c r="M529" s="119"/>
      <c r="N529" s="119"/>
      <c r="X529" s="27"/>
    </row>
    <row r="530" ht="14.25" customHeight="1">
      <c r="M530" s="119"/>
      <c r="N530" s="119"/>
      <c r="X530" s="27"/>
    </row>
    <row r="531" ht="14.25" customHeight="1">
      <c r="M531" s="119"/>
      <c r="N531" s="119"/>
      <c r="X531" s="27"/>
    </row>
    <row r="532" ht="14.25" customHeight="1">
      <c r="M532" s="119"/>
      <c r="N532" s="119"/>
      <c r="X532" s="27"/>
    </row>
    <row r="533" ht="14.25" customHeight="1">
      <c r="M533" s="119"/>
      <c r="N533" s="119"/>
      <c r="X533" s="27"/>
    </row>
    <row r="534" ht="14.25" customHeight="1">
      <c r="M534" s="119"/>
      <c r="N534" s="119"/>
      <c r="X534" s="27"/>
    </row>
    <row r="535" ht="14.25" customHeight="1">
      <c r="M535" s="119"/>
      <c r="N535" s="119"/>
      <c r="X535" s="27"/>
    </row>
    <row r="536" ht="14.25" customHeight="1">
      <c r="M536" s="119"/>
      <c r="N536" s="119"/>
      <c r="X536" s="27"/>
    </row>
    <row r="537" ht="14.25" customHeight="1">
      <c r="M537" s="119"/>
      <c r="N537" s="119"/>
      <c r="X537" s="27"/>
    </row>
    <row r="538" ht="14.25" customHeight="1">
      <c r="M538" s="119"/>
      <c r="N538" s="119"/>
      <c r="X538" s="27"/>
    </row>
    <row r="539" ht="14.25" customHeight="1">
      <c r="M539" s="119"/>
      <c r="N539" s="119"/>
      <c r="X539" s="27"/>
    </row>
    <row r="540" ht="14.25" customHeight="1">
      <c r="M540" s="119"/>
      <c r="N540" s="119"/>
      <c r="X540" s="27"/>
    </row>
    <row r="541" ht="14.25" customHeight="1">
      <c r="M541" s="119"/>
      <c r="N541" s="119"/>
      <c r="X541" s="27"/>
    </row>
    <row r="542" ht="14.25" customHeight="1">
      <c r="M542" s="119"/>
      <c r="N542" s="119"/>
      <c r="X542" s="27"/>
    </row>
    <row r="543" ht="14.25" customHeight="1">
      <c r="M543" s="119"/>
      <c r="N543" s="119"/>
      <c r="X543" s="27"/>
    </row>
    <row r="544" ht="14.25" customHeight="1">
      <c r="M544" s="119"/>
      <c r="N544" s="119"/>
      <c r="X544" s="27"/>
    </row>
    <row r="545" ht="14.25" customHeight="1">
      <c r="M545" s="119"/>
      <c r="N545" s="119"/>
      <c r="X545" s="27"/>
    </row>
    <row r="546" ht="14.25" customHeight="1">
      <c r="M546" s="119"/>
      <c r="N546" s="119"/>
      <c r="X546" s="27"/>
    </row>
    <row r="547" ht="14.25" customHeight="1">
      <c r="M547" s="119"/>
      <c r="N547" s="119"/>
      <c r="X547" s="27"/>
    </row>
    <row r="548" ht="14.25" customHeight="1">
      <c r="M548" s="119"/>
      <c r="N548" s="119"/>
      <c r="X548" s="27"/>
    </row>
    <row r="549" ht="14.25" customHeight="1">
      <c r="M549" s="119"/>
      <c r="N549" s="119"/>
      <c r="X549" s="27"/>
    </row>
    <row r="550" ht="14.25" customHeight="1">
      <c r="M550" s="119"/>
      <c r="N550" s="119"/>
      <c r="X550" s="27"/>
    </row>
    <row r="551" ht="14.25" customHeight="1">
      <c r="M551" s="119"/>
      <c r="N551" s="119"/>
      <c r="X551" s="27"/>
    </row>
    <row r="552" ht="14.25" customHeight="1">
      <c r="M552" s="119"/>
      <c r="N552" s="119"/>
      <c r="X552" s="27"/>
    </row>
    <row r="553" ht="14.25" customHeight="1">
      <c r="M553" s="119"/>
      <c r="N553" s="119"/>
      <c r="X553" s="27"/>
    </row>
    <row r="554" ht="14.25" customHeight="1">
      <c r="M554" s="119"/>
      <c r="N554" s="119"/>
      <c r="X554" s="27"/>
    </row>
    <row r="555" ht="14.25" customHeight="1">
      <c r="M555" s="119"/>
      <c r="N555" s="119"/>
      <c r="X555" s="27"/>
    </row>
    <row r="556" ht="14.25" customHeight="1">
      <c r="M556" s="119"/>
      <c r="N556" s="119"/>
      <c r="X556" s="27"/>
    </row>
    <row r="557" ht="14.25" customHeight="1">
      <c r="M557" s="119"/>
      <c r="N557" s="119"/>
      <c r="X557" s="27"/>
    </row>
    <row r="558" ht="14.25" customHeight="1">
      <c r="M558" s="119"/>
      <c r="N558" s="119"/>
      <c r="X558" s="27"/>
    </row>
    <row r="559" ht="14.25" customHeight="1">
      <c r="M559" s="119"/>
      <c r="N559" s="119"/>
      <c r="X559" s="27"/>
    </row>
    <row r="560" ht="14.25" customHeight="1">
      <c r="M560" s="119"/>
      <c r="N560" s="119"/>
      <c r="X560" s="27"/>
    </row>
    <row r="561" ht="14.25" customHeight="1">
      <c r="M561" s="119"/>
      <c r="N561" s="119"/>
      <c r="X561" s="27"/>
    </row>
    <row r="562" ht="14.25" customHeight="1">
      <c r="M562" s="119"/>
      <c r="N562" s="119"/>
      <c r="X562" s="27"/>
    </row>
    <row r="563" ht="14.25" customHeight="1">
      <c r="M563" s="119"/>
      <c r="N563" s="119"/>
      <c r="X563" s="27"/>
    </row>
    <row r="564" ht="14.25" customHeight="1">
      <c r="M564" s="119"/>
      <c r="N564" s="119"/>
      <c r="X564" s="27"/>
    </row>
    <row r="565" ht="14.25" customHeight="1">
      <c r="M565" s="119"/>
      <c r="N565" s="119"/>
      <c r="X565" s="27"/>
    </row>
    <row r="566" ht="14.25" customHeight="1">
      <c r="M566" s="119"/>
      <c r="N566" s="119"/>
      <c r="X566" s="27"/>
    </row>
    <row r="567" ht="14.25" customHeight="1">
      <c r="M567" s="119"/>
      <c r="N567" s="119"/>
      <c r="X567" s="27"/>
    </row>
    <row r="568" ht="14.25" customHeight="1">
      <c r="M568" s="119"/>
      <c r="N568" s="119"/>
      <c r="X568" s="27"/>
    </row>
    <row r="569" ht="14.25" customHeight="1">
      <c r="M569" s="119"/>
      <c r="N569" s="119"/>
      <c r="X569" s="27"/>
    </row>
    <row r="570" ht="14.25" customHeight="1">
      <c r="M570" s="119"/>
      <c r="N570" s="119"/>
      <c r="X570" s="27"/>
    </row>
    <row r="571" ht="14.25" customHeight="1">
      <c r="M571" s="119"/>
      <c r="N571" s="119"/>
      <c r="X571" s="27"/>
    </row>
    <row r="572" ht="14.25" customHeight="1">
      <c r="M572" s="119"/>
      <c r="N572" s="119"/>
      <c r="X572" s="27"/>
    </row>
    <row r="573" ht="14.25" customHeight="1">
      <c r="M573" s="119"/>
      <c r="N573" s="119"/>
      <c r="X573" s="27"/>
    </row>
    <row r="574" ht="14.25" customHeight="1">
      <c r="M574" s="119"/>
      <c r="N574" s="119"/>
      <c r="X574" s="27"/>
    </row>
    <row r="575" ht="14.25" customHeight="1">
      <c r="M575" s="119"/>
      <c r="N575" s="119"/>
      <c r="X575" s="27"/>
    </row>
    <row r="576" ht="14.25" customHeight="1">
      <c r="M576" s="119"/>
      <c r="N576" s="119"/>
      <c r="X576" s="27"/>
    </row>
    <row r="577" ht="14.25" customHeight="1">
      <c r="M577" s="119"/>
      <c r="N577" s="119"/>
      <c r="X577" s="27"/>
    </row>
    <row r="578" ht="14.25" customHeight="1">
      <c r="M578" s="119"/>
      <c r="N578" s="119"/>
      <c r="X578" s="27"/>
    </row>
    <row r="579" ht="14.25" customHeight="1">
      <c r="M579" s="119"/>
      <c r="N579" s="119"/>
      <c r="X579" s="27"/>
    </row>
    <row r="580" ht="14.25" customHeight="1">
      <c r="M580" s="119"/>
      <c r="N580" s="119"/>
      <c r="X580" s="27"/>
    </row>
    <row r="581" ht="14.25" customHeight="1">
      <c r="M581" s="119"/>
      <c r="N581" s="119"/>
      <c r="X581" s="27"/>
    </row>
    <row r="582" ht="14.25" customHeight="1">
      <c r="M582" s="119"/>
      <c r="N582" s="119"/>
      <c r="X582" s="27"/>
    </row>
    <row r="583" ht="14.25" customHeight="1">
      <c r="M583" s="119"/>
      <c r="N583" s="119"/>
      <c r="X583" s="27"/>
    </row>
    <row r="584" ht="14.25" customHeight="1">
      <c r="M584" s="119"/>
      <c r="N584" s="119"/>
      <c r="X584" s="27"/>
    </row>
    <row r="585" ht="14.25" customHeight="1">
      <c r="M585" s="119"/>
      <c r="N585" s="119"/>
      <c r="X585" s="27"/>
    </row>
    <row r="586" ht="14.25" customHeight="1">
      <c r="M586" s="119"/>
      <c r="N586" s="119"/>
      <c r="X586" s="27"/>
    </row>
    <row r="587" ht="14.25" customHeight="1">
      <c r="M587" s="119"/>
      <c r="N587" s="119"/>
      <c r="X587" s="27"/>
    </row>
    <row r="588" ht="14.25" customHeight="1">
      <c r="M588" s="119"/>
      <c r="N588" s="119"/>
      <c r="X588" s="27"/>
    </row>
    <row r="589" ht="14.25" customHeight="1">
      <c r="M589" s="119"/>
      <c r="N589" s="119"/>
      <c r="X589" s="27"/>
    </row>
    <row r="590" ht="14.25" customHeight="1">
      <c r="M590" s="119"/>
      <c r="N590" s="119"/>
      <c r="X590" s="27"/>
    </row>
    <row r="591" ht="14.25" customHeight="1">
      <c r="M591" s="119"/>
      <c r="N591" s="119"/>
      <c r="X591" s="27"/>
    </row>
    <row r="592" ht="14.25" customHeight="1">
      <c r="M592" s="119"/>
      <c r="N592" s="119"/>
      <c r="X592" s="27"/>
    </row>
    <row r="593" ht="14.25" customHeight="1">
      <c r="M593" s="119"/>
      <c r="N593" s="119"/>
      <c r="X593" s="27"/>
    </row>
    <row r="594" ht="14.25" customHeight="1">
      <c r="M594" s="119"/>
      <c r="N594" s="119"/>
      <c r="X594" s="27"/>
    </row>
    <row r="595" ht="14.25" customHeight="1">
      <c r="M595" s="119"/>
      <c r="N595" s="119"/>
      <c r="X595" s="27"/>
    </row>
    <row r="596" ht="14.25" customHeight="1">
      <c r="M596" s="119"/>
      <c r="N596" s="119"/>
      <c r="X596" s="27"/>
    </row>
    <row r="597" ht="14.25" customHeight="1">
      <c r="M597" s="119"/>
      <c r="N597" s="119"/>
      <c r="X597" s="27"/>
    </row>
    <row r="598" ht="14.25" customHeight="1">
      <c r="M598" s="119"/>
      <c r="N598" s="119"/>
      <c r="X598" s="27"/>
    </row>
    <row r="599" ht="14.25" customHeight="1">
      <c r="M599" s="119"/>
      <c r="N599" s="119"/>
      <c r="X599" s="27"/>
    </row>
    <row r="600" ht="14.25" customHeight="1">
      <c r="M600" s="119"/>
      <c r="N600" s="119"/>
      <c r="X600" s="27"/>
    </row>
    <row r="601" ht="14.25" customHeight="1">
      <c r="M601" s="119"/>
      <c r="N601" s="119"/>
      <c r="X601" s="27"/>
    </row>
    <row r="602" ht="14.25" customHeight="1">
      <c r="M602" s="119"/>
      <c r="N602" s="119"/>
      <c r="X602" s="27"/>
    </row>
    <row r="603" ht="14.25" customHeight="1">
      <c r="M603" s="119"/>
      <c r="N603" s="119"/>
      <c r="X603" s="27"/>
    </row>
    <row r="604" ht="14.25" customHeight="1">
      <c r="M604" s="119"/>
      <c r="N604" s="119"/>
      <c r="X604" s="27"/>
    </row>
    <row r="605" ht="14.25" customHeight="1">
      <c r="M605" s="119"/>
      <c r="N605" s="119"/>
      <c r="X605" s="27"/>
    </row>
    <row r="606" ht="14.25" customHeight="1">
      <c r="M606" s="119"/>
      <c r="N606" s="119"/>
      <c r="X606" s="27"/>
    </row>
    <row r="607" ht="14.25" customHeight="1">
      <c r="M607" s="119"/>
      <c r="N607" s="119"/>
      <c r="X607" s="27"/>
    </row>
    <row r="608" ht="14.25" customHeight="1">
      <c r="M608" s="119"/>
      <c r="N608" s="119"/>
      <c r="X608" s="27"/>
    </row>
    <row r="609" ht="14.25" customHeight="1">
      <c r="M609" s="119"/>
      <c r="N609" s="119"/>
      <c r="X609" s="27"/>
    </row>
    <row r="610" ht="14.25" customHeight="1">
      <c r="M610" s="119"/>
      <c r="N610" s="119"/>
      <c r="X610" s="27"/>
    </row>
    <row r="611" ht="14.25" customHeight="1">
      <c r="M611" s="119"/>
      <c r="N611" s="119"/>
      <c r="X611" s="27"/>
    </row>
    <row r="612" ht="14.25" customHeight="1">
      <c r="M612" s="119"/>
      <c r="N612" s="119"/>
      <c r="X612" s="27"/>
    </row>
    <row r="613" ht="14.25" customHeight="1">
      <c r="M613" s="119"/>
      <c r="N613" s="119"/>
      <c r="X613" s="27"/>
    </row>
    <row r="614" ht="14.25" customHeight="1">
      <c r="M614" s="119"/>
      <c r="N614" s="119"/>
      <c r="X614" s="27"/>
    </row>
    <row r="615" ht="14.25" customHeight="1">
      <c r="M615" s="119"/>
      <c r="N615" s="119"/>
      <c r="X615" s="27"/>
    </row>
    <row r="616" ht="14.25" customHeight="1">
      <c r="M616" s="119"/>
      <c r="N616" s="119"/>
      <c r="X616" s="27"/>
    </row>
    <row r="617" ht="14.25" customHeight="1">
      <c r="M617" s="119"/>
      <c r="N617" s="119"/>
      <c r="X617" s="27"/>
    </row>
    <row r="618" ht="14.25" customHeight="1">
      <c r="M618" s="119"/>
      <c r="N618" s="119"/>
      <c r="X618" s="27"/>
    </row>
    <row r="619" ht="14.25" customHeight="1">
      <c r="M619" s="119"/>
      <c r="N619" s="119"/>
      <c r="X619" s="27"/>
    </row>
    <row r="620" ht="14.25" customHeight="1">
      <c r="M620" s="119"/>
      <c r="N620" s="119"/>
      <c r="X620" s="27"/>
    </row>
    <row r="621" ht="14.25" customHeight="1">
      <c r="M621" s="119"/>
      <c r="N621" s="119"/>
      <c r="X621" s="27"/>
    </row>
    <row r="622" ht="14.25" customHeight="1">
      <c r="M622" s="119"/>
      <c r="N622" s="119"/>
      <c r="X622" s="27"/>
    </row>
    <row r="623" ht="14.25" customHeight="1">
      <c r="M623" s="119"/>
      <c r="N623" s="119"/>
      <c r="X623" s="27"/>
    </row>
    <row r="624" ht="14.25" customHeight="1">
      <c r="M624" s="119"/>
      <c r="N624" s="119"/>
      <c r="X624" s="27"/>
    </row>
    <row r="625" ht="14.25" customHeight="1">
      <c r="M625" s="119"/>
      <c r="N625" s="119"/>
      <c r="X625" s="27"/>
    </row>
    <row r="626" ht="14.25" customHeight="1">
      <c r="M626" s="119"/>
      <c r="N626" s="119"/>
      <c r="X626" s="27"/>
    </row>
    <row r="627" ht="14.25" customHeight="1">
      <c r="M627" s="119"/>
      <c r="N627" s="119"/>
      <c r="X627" s="27"/>
    </row>
    <row r="628" ht="14.25" customHeight="1">
      <c r="M628" s="119"/>
      <c r="N628" s="119"/>
      <c r="X628" s="27"/>
    </row>
    <row r="629" ht="14.25" customHeight="1">
      <c r="M629" s="119"/>
      <c r="N629" s="119"/>
      <c r="X629" s="27"/>
    </row>
    <row r="630" ht="14.25" customHeight="1">
      <c r="M630" s="119"/>
      <c r="N630" s="119"/>
      <c r="X630" s="27"/>
    </row>
    <row r="631" ht="14.25" customHeight="1">
      <c r="M631" s="119"/>
      <c r="N631" s="119"/>
      <c r="X631" s="27"/>
    </row>
    <row r="632" ht="14.25" customHeight="1">
      <c r="M632" s="119"/>
      <c r="N632" s="119"/>
      <c r="X632" s="27"/>
    </row>
    <row r="633" ht="14.25" customHeight="1">
      <c r="M633" s="119"/>
      <c r="N633" s="119"/>
      <c r="X633" s="27"/>
    </row>
    <row r="634" ht="14.25" customHeight="1">
      <c r="M634" s="119"/>
      <c r="N634" s="119"/>
      <c r="X634" s="27"/>
    </row>
    <row r="635" ht="14.25" customHeight="1">
      <c r="M635" s="119"/>
      <c r="N635" s="119"/>
      <c r="X635" s="27"/>
    </row>
    <row r="636" ht="14.25" customHeight="1">
      <c r="M636" s="119"/>
      <c r="N636" s="119"/>
      <c r="X636" s="27"/>
    </row>
    <row r="637" ht="14.25" customHeight="1">
      <c r="M637" s="119"/>
      <c r="N637" s="119"/>
      <c r="X637" s="27"/>
    </row>
    <row r="638" ht="14.25" customHeight="1">
      <c r="M638" s="119"/>
      <c r="N638" s="119"/>
      <c r="X638" s="27"/>
    </row>
    <row r="639" ht="14.25" customHeight="1">
      <c r="M639" s="119"/>
      <c r="N639" s="119"/>
      <c r="X639" s="27"/>
    </row>
    <row r="640" ht="14.25" customHeight="1">
      <c r="M640" s="119"/>
      <c r="N640" s="119"/>
      <c r="X640" s="27"/>
    </row>
    <row r="641" ht="14.25" customHeight="1">
      <c r="M641" s="119"/>
      <c r="N641" s="119"/>
      <c r="X641" s="27"/>
    </row>
    <row r="642" ht="14.25" customHeight="1">
      <c r="M642" s="119"/>
      <c r="N642" s="119"/>
      <c r="X642" s="27"/>
    </row>
    <row r="643" ht="14.25" customHeight="1">
      <c r="M643" s="119"/>
      <c r="N643" s="119"/>
      <c r="X643" s="27"/>
    </row>
    <row r="644" ht="14.25" customHeight="1">
      <c r="M644" s="119"/>
      <c r="N644" s="119"/>
      <c r="X644" s="27"/>
    </row>
    <row r="645" ht="14.25" customHeight="1">
      <c r="M645" s="119"/>
      <c r="N645" s="119"/>
      <c r="X645" s="27"/>
    </row>
    <row r="646" ht="14.25" customHeight="1">
      <c r="M646" s="119"/>
      <c r="N646" s="119"/>
      <c r="X646" s="27"/>
    </row>
    <row r="647" ht="14.25" customHeight="1">
      <c r="M647" s="119"/>
      <c r="N647" s="119"/>
      <c r="X647" s="27"/>
    </row>
    <row r="648" ht="14.25" customHeight="1">
      <c r="M648" s="119"/>
      <c r="N648" s="119"/>
      <c r="X648" s="27"/>
    </row>
    <row r="649" ht="14.25" customHeight="1">
      <c r="M649" s="119"/>
      <c r="N649" s="119"/>
      <c r="X649" s="27"/>
    </row>
    <row r="650" ht="14.25" customHeight="1">
      <c r="M650" s="119"/>
      <c r="N650" s="119"/>
      <c r="X650" s="27"/>
    </row>
    <row r="651" ht="14.25" customHeight="1">
      <c r="M651" s="119"/>
      <c r="N651" s="119"/>
      <c r="X651" s="27"/>
    </row>
    <row r="652" ht="14.25" customHeight="1">
      <c r="M652" s="119"/>
      <c r="N652" s="119"/>
      <c r="X652" s="27"/>
    </row>
    <row r="653" ht="14.25" customHeight="1">
      <c r="M653" s="119"/>
      <c r="N653" s="119"/>
      <c r="X653" s="27"/>
    </row>
    <row r="654" ht="14.25" customHeight="1">
      <c r="M654" s="119"/>
      <c r="N654" s="119"/>
      <c r="X654" s="27"/>
    </row>
    <row r="655" ht="14.25" customHeight="1">
      <c r="M655" s="119"/>
      <c r="N655" s="119"/>
      <c r="X655" s="27"/>
    </row>
    <row r="656" ht="14.25" customHeight="1">
      <c r="M656" s="119"/>
      <c r="N656" s="119"/>
      <c r="X656" s="27"/>
    </row>
    <row r="657" ht="14.25" customHeight="1">
      <c r="M657" s="119"/>
      <c r="N657" s="119"/>
      <c r="X657" s="27"/>
    </row>
    <row r="658" ht="14.25" customHeight="1">
      <c r="M658" s="119"/>
      <c r="N658" s="119"/>
      <c r="X658" s="27"/>
    </row>
    <row r="659" ht="14.25" customHeight="1">
      <c r="M659" s="119"/>
      <c r="N659" s="119"/>
      <c r="X659" s="27"/>
    </row>
    <row r="660" ht="14.25" customHeight="1">
      <c r="M660" s="119"/>
      <c r="N660" s="119"/>
      <c r="X660" s="27"/>
    </row>
    <row r="661" ht="14.25" customHeight="1">
      <c r="M661" s="119"/>
      <c r="N661" s="119"/>
      <c r="X661" s="27"/>
    </row>
    <row r="662" ht="14.25" customHeight="1">
      <c r="M662" s="119"/>
      <c r="N662" s="119"/>
      <c r="X662" s="27"/>
    </row>
    <row r="663" ht="14.25" customHeight="1">
      <c r="M663" s="119"/>
      <c r="N663" s="119"/>
      <c r="X663" s="27"/>
    </row>
    <row r="664" ht="14.25" customHeight="1">
      <c r="M664" s="119"/>
      <c r="N664" s="119"/>
      <c r="X664" s="27"/>
    </row>
    <row r="665" ht="14.25" customHeight="1">
      <c r="M665" s="119"/>
      <c r="N665" s="119"/>
      <c r="X665" s="27"/>
    </row>
    <row r="666" ht="14.25" customHeight="1">
      <c r="M666" s="119"/>
      <c r="N666" s="119"/>
      <c r="X666" s="27"/>
    </row>
    <row r="667" ht="14.25" customHeight="1">
      <c r="M667" s="119"/>
      <c r="N667" s="119"/>
      <c r="X667" s="27"/>
    </row>
    <row r="668" ht="14.25" customHeight="1">
      <c r="M668" s="119"/>
      <c r="N668" s="119"/>
      <c r="X668" s="27"/>
    </row>
    <row r="669" ht="14.25" customHeight="1">
      <c r="M669" s="119"/>
      <c r="N669" s="119"/>
      <c r="X669" s="27"/>
    </row>
    <row r="670" ht="14.25" customHeight="1">
      <c r="M670" s="119"/>
      <c r="N670" s="119"/>
      <c r="X670" s="27"/>
    </row>
    <row r="671" ht="14.25" customHeight="1">
      <c r="M671" s="119"/>
      <c r="N671" s="119"/>
      <c r="X671" s="27"/>
    </row>
    <row r="672" ht="14.25" customHeight="1">
      <c r="M672" s="119"/>
      <c r="N672" s="119"/>
      <c r="X672" s="27"/>
    </row>
    <row r="673" ht="14.25" customHeight="1">
      <c r="M673" s="119"/>
      <c r="N673" s="119"/>
      <c r="X673" s="27"/>
    </row>
    <row r="674" ht="14.25" customHeight="1">
      <c r="M674" s="119"/>
      <c r="N674" s="119"/>
      <c r="X674" s="27"/>
    </row>
    <row r="675" ht="14.25" customHeight="1">
      <c r="M675" s="119"/>
      <c r="N675" s="119"/>
      <c r="X675" s="27"/>
    </row>
    <row r="676" ht="14.25" customHeight="1">
      <c r="M676" s="119"/>
      <c r="N676" s="119"/>
      <c r="X676" s="27"/>
    </row>
    <row r="677" ht="14.25" customHeight="1">
      <c r="M677" s="119"/>
      <c r="N677" s="119"/>
      <c r="X677" s="27"/>
    </row>
    <row r="678" ht="14.25" customHeight="1">
      <c r="M678" s="119"/>
      <c r="N678" s="119"/>
      <c r="X678" s="27"/>
    </row>
    <row r="679" ht="14.25" customHeight="1">
      <c r="M679" s="119"/>
      <c r="N679" s="119"/>
      <c r="X679" s="27"/>
    </row>
    <row r="680" ht="14.25" customHeight="1">
      <c r="M680" s="119"/>
      <c r="N680" s="119"/>
      <c r="X680" s="27"/>
    </row>
    <row r="681" ht="14.25" customHeight="1">
      <c r="M681" s="119"/>
      <c r="N681" s="119"/>
      <c r="X681" s="27"/>
    </row>
    <row r="682" ht="14.25" customHeight="1">
      <c r="M682" s="119"/>
      <c r="N682" s="119"/>
      <c r="X682" s="27"/>
    </row>
    <row r="683" ht="14.25" customHeight="1">
      <c r="M683" s="119"/>
      <c r="N683" s="119"/>
      <c r="X683" s="27"/>
    </row>
    <row r="684" ht="14.25" customHeight="1">
      <c r="M684" s="119"/>
      <c r="N684" s="119"/>
      <c r="X684" s="27"/>
    </row>
    <row r="685" ht="14.25" customHeight="1">
      <c r="M685" s="119"/>
      <c r="N685" s="119"/>
      <c r="X685" s="27"/>
    </row>
    <row r="686" ht="14.25" customHeight="1">
      <c r="M686" s="119"/>
      <c r="N686" s="119"/>
      <c r="X686" s="27"/>
    </row>
    <row r="687" ht="14.25" customHeight="1">
      <c r="M687" s="119"/>
      <c r="N687" s="119"/>
      <c r="X687" s="27"/>
    </row>
    <row r="688" ht="14.25" customHeight="1">
      <c r="M688" s="119"/>
      <c r="N688" s="119"/>
      <c r="X688" s="27"/>
    </row>
    <row r="689" ht="14.25" customHeight="1">
      <c r="M689" s="119"/>
      <c r="N689" s="119"/>
      <c r="X689" s="27"/>
    </row>
    <row r="690" ht="14.25" customHeight="1">
      <c r="M690" s="119"/>
      <c r="N690" s="119"/>
      <c r="X690" s="27"/>
    </row>
    <row r="691" ht="14.25" customHeight="1">
      <c r="M691" s="119"/>
      <c r="N691" s="119"/>
      <c r="X691" s="27"/>
    </row>
    <row r="692" ht="14.25" customHeight="1">
      <c r="M692" s="119"/>
      <c r="N692" s="119"/>
      <c r="X692" s="27"/>
    </row>
    <row r="693" ht="14.25" customHeight="1">
      <c r="M693" s="119"/>
      <c r="N693" s="119"/>
      <c r="X693" s="27"/>
    </row>
    <row r="694" ht="14.25" customHeight="1">
      <c r="M694" s="119"/>
      <c r="N694" s="119"/>
      <c r="X694" s="27"/>
    </row>
    <row r="695" ht="14.25" customHeight="1">
      <c r="M695" s="119"/>
      <c r="N695" s="119"/>
      <c r="X695" s="27"/>
    </row>
    <row r="696" ht="14.25" customHeight="1">
      <c r="M696" s="119"/>
      <c r="N696" s="119"/>
      <c r="X696" s="27"/>
    </row>
    <row r="697" ht="14.25" customHeight="1">
      <c r="M697" s="119"/>
      <c r="N697" s="119"/>
      <c r="X697" s="27"/>
    </row>
    <row r="698" ht="14.25" customHeight="1">
      <c r="M698" s="119"/>
      <c r="N698" s="119"/>
      <c r="X698" s="27"/>
    </row>
    <row r="699" ht="14.25" customHeight="1">
      <c r="M699" s="119"/>
      <c r="N699" s="119"/>
      <c r="X699" s="27"/>
    </row>
    <row r="700" ht="14.25" customHeight="1">
      <c r="M700" s="119"/>
      <c r="N700" s="119"/>
      <c r="X700" s="27"/>
    </row>
    <row r="701" ht="14.25" customHeight="1">
      <c r="M701" s="119"/>
      <c r="N701" s="119"/>
      <c r="X701" s="27"/>
    </row>
    <row r="702" ht="14.25" customHeight="1">
      <c r="M702" s="119"/>
      <c r="N702" s="119"/>
      <c r="X702" s="27"/>
    </row>
    <row r="703" ht="14.25" customHeight="1">
      <c r="M703" s="119"/>
      <c r="N703" s="119"/>
      <c r="X703" s="27"/>
    </row>
    <row r="704" ht="14.25" customHeight="1">
      <c r="M704" s="119"/>
      <c r="N704" s="119"/>
      <c r="X704" s="27"/>
    </row>
    <row r="705" ht="14.25" customHeight="1">
      <c r="M705" s="119"/>
      <c r="N705" s="119"/>
      <c r="X705" s="27"/>
    </row>
    <row r="706" ht="14.25" customHeight="1">
      <c r="M706" s="119"/>
      <c r="N706" s="119"/>
      <c r="X706" s="27"/>
    </row>
    <row r="707" ht="14.25" customHeight="1">
      <c r="M707" s="119"/>
      <c r="N707" s="119"/>
      <c r="X707" s="27"/>
    </row>
    <row r="708" ht="14.25" customHeight="1">
      <c r="M708" s="119"/>
      <c r="N708" s="119"/>
      <c r="X708" s="27"/>
    </row>
    <row r="709" ht="14.25" customHeight="1">
      <c r="M709" s="119"/>
      <c r="N709" s="119"/>
      <c r="X709" s="27"/>
    </row>
    <row r="710" ht="14.25" customHeight="1">
      <c r="M710" s="119"/>
      <c r="N710" s="119"/>
      <c r="X710" s="27"/>
    </row>
    <row r="711" ht="14.25" customHeight="1">
      <c r="M711" s="119"/>
      <c r="N711" s="119"/>
      <c r="X711" s="27"/>
    </row>
    <row r="712" ht="14.25" customHeight="1">
      <c r="M712" s="119"/>
      <c r="N712" s="119"/>
      <c r="X712" s="27"/>
    </row>
    <row r="713" ht="14.25" customHeight="1">
      <c r="M713" s="119"/>
      <c r="N713" s="119"/>
      <c r="X713" s="27"/>
    </row>
    <row r="714" ht="14.25" customHeight="1">
      <c r="M714" s="119"/>
      <c r="N714" s="119"/>
      <c r="X714" s="27"/>
    </row>
    <row r="715" ht="14.25" customHeight="1">
      <c r="M715" s="119"/>
      <c r="N715" s="119"/>
      <c r="X715" s="27"/>
    </row>
    <row r="716" ht="14.25" customHeight="1">
      <c r="M716" s="119"/>
      <c r="N716" s="119"/>
      <c r="X716" s="27"/>
    </row>
    <row r="717" ht="14.25" customHeight="1">
      <c r="M717" s="119"/>
      <c r="N717" s="119"/>
      <c r="X717" s="27"/>
    </row>
    <row r="718" ht="14.25" customHeight="1">
      <c r="M718" s="119"/>
      <c r="N718" s="119"/>
      <c r="X718" s="27"/>
    </row>
    <row r="719" ht="14.25" customHeight="1">
      <c r="M719" s="119"/>
      <c r="N719" s="119"/>
      <c r="X719" s="27"/>
    </row>
    <row r="720" ht="14.25" customHeight="1">
      <c r="M720" s="119"/>
      <c r="N720" s="119"/>
      <c r="X720" s="27"/>
    </row>
    <row r="721" ht="14.25" customHeight="1">
      <c r="M721" s="119"/>
      <c r="N721" s="119"/>
      <c r="X721" s="27"/>
    </row>
    <row r="722" ht="14.25" customHeight="1">
      <c r="M722" s="119"/>
      <c r="N722" s="119"/>
      <c r="X722" s="27"/>
    </row>
    <row r="723" ht="14.25" customHeight="1">
      <c r="M723" s="119"/>
      <c r="N723" s="119"/>
      <c r="X723" s="27"/>
    </row>
    <row r="724" ht="14.25" customHeight="1">
      <c r="M724" s="119"/>
      <c r="N724" s="119"/>
      <c r="X724" s="27"/>
    </row>
    <row r="725" ht="14.25" customHeight="1">
      <c r="M725" s="119"/>
      <c r="N725" s="119"/>
      <c r="X725" s="27"/>
    </row>
    <row r="726" ht="14.25" customHeight="1">
      <c r="M726" s="119"/>
      <c r="N726" s="119"/>
      <c r="X726" s="27"/>
    </row>
    <row r="727" ht="14.25" customHeight="1">
      <c r="M727" s="119"/>
      <c r="N727" s="119"/>
      <c r="X727" s="27"/>
    </row>
    <row r="728" ht="14.25" customHeight="1">
      <c r="M728" s="119"/>
      <c r="N728" s="119"/>
      <c r="X728" s="27"/>
    </row>
    <row r="729" ht="14.25" customHeight="1">
      <c r="M729" s="119"/>
      <c r="N729" s="119"/>
      <c r="X729" s="27"/>
    </row>
    <row r="730" ht="14.25" customHeight="1">
      <c r="M730" s="119"/>
      <c r="N730" s="119"/>
      <c r="X730" s="27"/>
    </row>
    <row r="731" ht="14.25" customHeight="1">
      <c r="M731" s="119"/>
      <c r="N731" s="119"/>
      <c r="X731" s="27"/>
    </row>
    <row r="732" ht="14.25" customHeight="1">
      <c r="M732" s="119"/>
      <c r="N732" s="119"/>
      <c r="X732" s="27"/>
    </row>
    <row r="733" ht="14.25" customHeight="1">
      <c r="M733" s="119"/>
      <c r="N733" s="119"/>
      <c r="X733" s="27"/>
    </row>
    <row r="734" ht="14.25" customHeight="1">
      <c r="M734" s="119"/>
      <c r="N734" s="119"/>
      <c r="X734" s="27"/>
    </row>
    <row r="735" ht="14.25" customHeight="1">
      <c r="M735" s="119"/>
      <c r="N735" s="119"/>
      <c r="X735" s="27"/>
    </row>
    <row r="736" ht="14.25" customHeight="1">
      <c r="M736" s="119"/>
      <c r="N736" s="119"/>
      <c r="X736" s="27"/>
    </row>
    <row r="737" ht="14.25" customHeight="1">
      <c r="M737" s="119"/>
      <c r="N737" s="119"/>
      <c r="X737" s="27"/>
    </row>
    <row r="738" ht="14.25" customHeight="1">
      <c r="M738" s="119"/>
      <c r="N738" s="119"/>
      <c r="X738" s="27"/>
    </row>
    <row r="739" ht="14.25" customHeight="1">
      <c r="M739" s="119"/>
      <c r="N739" s="119"/>
      <c r="X739" s="27"/>
    </row>
    <row r="740" ht="14.25" customHeight="1">
      <c r="M740" s="119"/>
      <c r="N740" s="119"/>
      <c r="X740" s="27"/>
    </row>
    <row r="741" ht="14.25" customHeight="1">
      <c r="M741" s="119"/>
      <c r="N741" s="119"/>
      <c r="X741" s="27"/>
    </row>
    <row r="742" ht="14.25" customHeight="1">
      <c r="M742" s="119"/>
      <c r="N742" s="119"/>
      <c r="X742" s="27"/>
    </row>
    <row r="743" ht="14.25" customHeight="1">
      <c r="M743" s="119"/>
      <c r="N743" s="119"/>
      <c r="X743" s="27"/>
    </row>
    <row r="744" ht="14.25" customHeight="1">
      <c r="M744" s="119"/>
      <c r="N744" s="119"/>
      <c r="X744" s="27"/>
    </row>
    <row r="745" ht="14.25" customHeight="1">
      <c r="M745" s="119"/>
      <c r="N745" s="119"/>
      <c r="X745" s="27"/>
    </row>
    <row r="746" ht="14.25" customHeight="1">
      <c r="M746" s="119"/>
      <c r="N746" s="119"/>
      <c r="X746" s="27"/>
    </row>
    <row r="747" ht="14.25" customHeight="1">
      <c r="M747" s="119"/>
      <c r="N747" s="119"/>
      <c r="X747" s="27"/>
    </row>
    <row r="748" ht="14.25" customHeight="1">
      <c r="M748" s="119"/>
      <c r="N748" s="119"/>
      <c r="X748" s="27"/>
    </row>
    <row r="749" ht="14.25" customHeight="1">
      <c r="M749" s="119"/>
      <c r="N749" s="119"/>
      <c r="X749" s="27"/>
    </row>
    <row r="750" ht="14.25" customHeight="1">
      <c r="M750" s="119"/>
      <c r="N750" s="119"/>
      <c r="X750" s="27"/>
    </row>
    <row r="751" ht="14.25" customHeight="1">
      <c r="M751" s="119"/>
      <c r="N751" s="119"/>
      <c r="X751" s="27"/>
    </row>
    <row r="752" ht="14.25" customHeight="1">
      <c r="M752" s="119"/>
      <c r="N752" s="119"/>
      <c r="X752" s="27"/>
    </row>
    <row r="753" ht="14.25" customHeight="1">
      <c r="M753" s="119"/>
      <c r="N753" s="119"/>
      <c r="X753" s="27"/>
    </row>
    <row r="754" ht="14.25" customHeight="1">
      <c r="M754" s="119"/>
      <c r="N754" s="119"/>
      <c r="X754" s="27"/>
    </row>
    <row r="755" ht="14.25" customHeight="1">
      <c r="M755" s="119"/>
      <c r="N755" s="119"/>
      <c r="X755" s="27"/>
    </row>
    <row r="756" ht="14.25" customHeight="1">
      <c r="M756" s="119"/>
      <c r="N756" s="119"/>
      <c r="X756" s="27"/>
    </row>
    <row r="757" ht="14.25" customHeight="1">
      <c r="M757" s="119"/>
      <c r="N757" s="119"/>
      <c r="X757" s="27"/>
    </row>
    <row r="758" ht="14.25" customHeight="1">
      <c r="M758" s="119"/>
      <c r="N758" s="119"/>
      <c r="X758" s="27"/>
    </row>
    <row r="759" ht="14.25" customHeight="1">
      <c r="M759" s="119"/>
      <c r="N759" s="119"/>
      <c r="X759" s="27"/>
    </row>
    <row r="760" ht="14.25" customHeight="1">
      <c r="M760" s="119"/>
      <c r="N760" s="119"/>
      <c r="X760" s="27"/>
    </row>
    <row r="761" ht="14.25" customHeight="1">
      <c r="M761" s="119"/>
      <c r="N761" s="119"/>
      <c r="X761" s="27"/>
    </row>
    <row r="762" ht="14.25" customHeight="1">
      <c r="M762" s="119"/>
      <c r="N762" s="119"/>
      <c r="X762" s="27"/>
    </row>
    <row r="763" ht="14.25" customHeight="1">
      <c r="M763" s="119"/>
      <c r="N763" s="119"/>
      <c r="X763" s="27"/>
    </row>
    <row r="764" ht="14.25" customHeight="1">
      <c r="M764" s="119"/>
      <c r="N764" s="119"/>
      <c r="X764" s="27"/>
    </row>
    <row r="765" ht="14.25" customHeight="1">
      <c r="M765" s="119"/>
      <c r="N765" s="119"/>
      <c r="X765" s="27"/>
    </row>
    <row r="766" ht="14.25" customHeight="1">
      <c r="M766" s="119"/>
      <c r="N766" s="119"/>
      <c r="X766" s="27"/>
    </row>
    <row r="767" ht="14.25" customHeight="1">
      <c r="M767" s="119"/>
      <c r="N767" s="119"/>
      <c r="X767" s="27"/>
    </row>
    <row r="768" ht="14.25" customHeight="1">
      <c r="M768" s="119"/>
      <c r="N768" s="119"/>
      <c r="X768" s="27"/>
    </row>
    <row r="769" ht="14.25" customHeight="1">
      <c r="M769" s="119"/>
      <c r="N769" s="119"/>
      <c r="X769" s="27"/>
    </row>
    <row r="770" ht="14.25" customHeight="1">
      <c r="M770" s="119"/>
      <c r="N770" s="119"/>
      <c r="X770" s="27"/>
    </row>
    <row r="771" ht="14.25" customHeight="1">
      <c r="M771" s="119"/>
      <c r="N771" s="119"/>
      <c r="X771" s="27"/>
    </row>
    <row r="772" ht="14.25" customHeight="1">
      <c r="M772" s="119"/>
      <c r="N772" s="119"/>
      <c r="X772" s="27"/>
    </row>
    <row r="773" ht="14.25" customHeight="1">
      <c r="M773" s="119"/>
      <c r="N773" s="119"/>
      <c r="X773" s="27"/>
    </row>
    <row r="774" ht="14.25" customHeight="1">
      <c r="M774" s="119"/>
      <c r="N774" s="119"/>
      <c r="X774" s="27"/>
    </row>
    <row r="775" ht="14.25" customHeight="1">
      <c r="M775" s="119"/>
      <c r="N775" s="119"/>
      <c r="X775" s="27"/>
    </row>
    <row r="776" ht="14.25" customHeight="1">
      <c r="M776" s="119"/>
      <c r="N776" s="119"/>
      <c r="X776" s="27"/>
    </row>
    <row r="777" ht="14.25" customHeight="1">
      <c r="M777" s="119"/>
      <c r="N777" s="119"/>
      <c r="X777" s="27"/>
    </row>
    <row r="778" ht="14.25" customHeight="1">
      <c r="M778" s="119"/>
      <c r="N778" s="119"/>
      <c r="X778" s="27"/>
    </row>
    <row r="779" ht="14.25" customHeight="1">
      <c r="M779" s="119"/>
      <c r="N779" s="119"/>
      <c r="X779" s="27"/>
    </row>
    <row r="780" ht="14.25" customHeight="1">
      <c r="M780" s="119"/>
      <c r="N780" s="119"/>
      <c r="X780" s="27"/>
    </row>
    <row r="781" ht="14.25" customHeight="1">
      <c r="M781" s="119"/>
      <c r="N781" s="119"/>
      <c r="X781" s="27"/>
    </row>
    <row r="782" ht="14.25" customHeight="1">
      <c r="M782" s="119"/>
      <c r="N782" s="119"/>
      <c r="X782" s="27"/>
    </row>
    <row r="783" ht="14.25" customHeight="1">
      <c r="M783" s="119"/>
      <c r="N783" s="119"/>
      <c r="X783" s="27"/>
    </row>
    <row r="784" ht="14.25" customHeight="1">
      <c r="M784" s="119"/>
      <c r="N784" s="119"/>
      <c r="X784" s="27"/>
    </row>
    <row r="785" ht="14.25" customHeight="1">
      <c r="M785" s="119"/>
      <c r="N785" s="119"/>
      <c r="X785" s="27"/>
    </row>
    <row r="786" ht="14.25" customHeight="1">
      <c r="M786" s="119"/>
      <c r="N786" s="119"/>
      <c r="X786" s="27"/>
    </row>
    <row r="787" ht="14.25" customHeight="1">
      <c r="M787" s="119"/>
      <c r="N787" s="119"/>
      <c r="X787" s="27"/>
    </row>
    <row r="788" ht="14.25" customHeight="1">
      <c r="M788" s="119"/>
      <c r="N788" s="119"/>
      <c r="X788" s="27"/>
    </row>
    <row r="789" ht="14.25" customHeight="1">
      <c r="M789" s="119"/>
      <c r="N789" s="119"/>
      <c r="X789" s="27"/>
    </row>
    <row r="790" ht="14.25" customHeight="1">
      <c r="M790" s="119"/>
      <c r="N790" s="119"/>
      <c r="X790" s="27"/>
    </row>
    <row r="791" ht="14.25" customHeight="1">
      <c r="M791" s="119"/>
      <c r="N791" s="119"/>
      <c r="X791" s="27"/>
    </row>
    <row r="792" ht="14.25" customHeight="1">
      <c r="M792" s="119"/>
      <c r="N792" s="119"/>
      <c r="X792" s="27"/>
    </row>
    <row r="793" ht="14.25" customHeight="1">
      <c r="M793" s="119"/>
      <c r="N793" s="119"/>
      <c r="X793" s="27"/>
    </row>
    <row r="794" ht="14.25" customHeight="1">
      <c r="M794" s="119"/>
      <c r="N794" s="119"/>
      <c r="X794" s="27"/>
    </row>
    <row r="795" ht="14.25" customHeight="1">
      <c r="M795" s="119"/>
      <c r="N795" s="119"/>
      <c r="X795" s="27"/>
    </row>
    <row r="796" ht="14.25" customHeight="1">
      <c r="M796" s="119"/>
      <c r="N796" s="119"/>
      <c r="X796" s="27"/>
    </row>
    <row r="797" ht="14.25" customHeight="1">
      <c r="M797" s="119"/>
      <c r="N797" s="119"/>
      <c r="X797" s="27"/>
    </row>
    <row r="798" ht="14.25" customHeight="1">
      <c r="M798" s="119"/>
      <c r="N798" s="119"/>
      <c r="X798" s="27"/>
    </row>
    <row r="799" ht="14.25" customHeight="1">
      <c r="M799" s="119"/>
      <c r="N799" s="119"/>
      <c r="X799" s="27"/>
    </row>
    <row r="800" ht="14.25" customHeight="1">
      <c r="M800" s="119"/>
      <c r="N800" s="119"/>
      <c r="X800" s="27"/>
    </row>
    <row r="801" ht="14.25" customHeight="1">
      <c r="M801" s="119"/>
      <c r="N801" s="119"/>
      <c r="X801" s="27"/>
    </row>
    <row r="802" ht="14.25" customHeight="1">
      <c r="M802" s="119"/>
      <c r="N802" s="119"/>
      <c r="X802" s="27"/>
    </row>
    <row r="803" ht="14.25" customHeight="1">
      <c r="M803" s="119"/>
      <c r="N803" s="119"/>
      <c r="X803" s="27"/>
    </row>
    <row r="804" ht="14.25" customHeight="1">
      <c r="M804" s="119"/>
      <c r="N804" s="119"/>
      <c r="X804" s="27"/>
    </row>
    <row r="805" ht="14.25" customHeight="1">
      <c r="M805" s="119"/>
      <c r="N805" s="119"/>
      <c r="X805" s="27"/>
    </row>
    <row r="806" ht="14.25" customHeight="1">
      <c r="M806" s="119"/>
      <c r="N806" s="119"/>
      <c r="X806" s="27"/>
    </row>
    <row r="807" ht="14.25" customHeight="1">
      <c r="M807" s="119"/>
      <c r="N807" s="119"/>
      <c r="X807" s="27"/>
    </row>
    <row r="808" ht="14.25" customHeight="1">
      <c r="M808" s="119"/>
      <c r="N808" s="119"/>
      <c r="X808" s="27"/>
    </row>
    <row r="809" ht="14.25" customHeight="1">
      <c r="M809" s="119"/>
      <c r="N809" s="119"/>
      <c r="X809" s="27"/>
    </row>
    <row r="810" ht="14.25" customHeight="1">
      <c r="M810" s="119"/>
      <c r="N810" s="119"/>
      <c r="X810" s="27"/>
    </row>
    <row r="811" ht="14.25" customHeight="1">
      <c r="M811" s="119"/>
      <c r="N811" s="119"/>
      <c r="X811" s="27"/>
    </row>
    <row r="812" ht="14.25" customHeight="1">
      <c r="M812" s="119"/>
      <c r="N812" s="119"/>
      <c r="X812" s="27"/>
    </row>
    <row r="813" ht="14.25" customHeight="1">
      <c r="M813" s="119"/>
      <c r="N813" s="119"/>
      <c r="X813" s="27"/>
    </row>
    <row r="814" ht="14.25" customHeight="1">
      <c r="M814" s="119"/>
      <c r="N814" s="119"/>
      <c r="X814" s="27"/>
    </row>
    <row r="815" ht="14.25" customHeight="1">
      <c r="M815" s="119"/>
      <c r="N815" s="119"/>
      <c r="X815" s="27"/>
    </row>
    <row r="816" ht="14.25" customHeight="1">
      <c r="M816" s="119"/>
      <c r="N816" s="119"/>
      <c r="X816" s="27"/>
    </row>
    <row r="817" ht="14.25" customHeight="1">
      <c r="M817" s="119"/>
      <c r="N817" s="119"/>
      <c r="X817" s="27"/>
    </row>
    <row r="818" ht="14.25" customHeight="1">
      <c r="M818" s="119"/>
      <c r="N818" s="119"/>
      <c r="X818" s="27"/>
    </row>
    <row r="819" ht="14.25" customHeight="1">
      <c r="M819" s="119"/>
      <c r="N819" s="119"/>
      <c r="X819" s="27"/>
    </row>
    <row r="820" ht="14.25" customHeight="1">
      <c r="M820" s="119"/>
      <c r="N820" s="119"/>
      <c r="X820" s="27"/>
    </row>
    <row r="821" ht="14.25" customHeight="1">
      <c r="M821" s="119"/>
      <c r="N821" s="119"/>
      <c r="X821" s="27"/>
    </row>
    <row r="822" ht="14.25" customHeight="1">
      <c r="M822" s="119"/>
      <c r="N822" s="119"/>
      <c r="X822" s="27"/>
    </row>
    <row r="823" ht="14.25" customHeight="1">
      <c r="M823" s="119"/>
      <c r="N823" s="119"/>
      <c r="X823" s="27"/>
    </row>
    <row r="824" ht="14.25" customHeight="1">
      <c r="M824" s="119"/>
      <c r="N824" s="119"/>
      <c r="X824" s="27"/>
    </row>
    <row r="825" ht="14.25" customHeight="1">
      <c r="M825" s="119"/>
      <c r="N825" s="119"/>
      <c r="X825" s="27"/>
    </row>
    <row r="826" ht="14.25" customHeight="1">
      <c r="M826" s="119"/>
      <c r="N826" s="119"/>
      <c r="X826" s="27"/>
    </row>
    <row r="827" ht="14.25" customHeight="1">
      <c r="M827" s="119"/>
      <c r="N827" s="119"/>
      <c r="X827" s="27"/>
    </row>
    <row r="828" ht="14.25" customHeight="1">
      <c r="M828" s="119"/>
      <c r="N828" s="119"/>
      <c r="X828" s="27"/>
    </row>
    <row r="829" ht="14.25" customHeight="1">
      <c r="M829" s="119"/>
      <c r="N829" s="119"/>
      <c r="X829" s="27"/>
    </row>
    <row r="830" ht="14.25" customHeight="1">
      <c r="M830" s="119"/>
      <c r="N830" s="119"/>
      <c r="X830" s="27"/>
    </row>
    <row r="831" ht="14.25" customHeight="1">
      <c r="M831" s="119"/>
      <c r="N831" s="119"/>
      <c r="X831" s="27"/>
    </row>
    <row r="832" ht="14.25" customHeight="1">
      <c r="M832" s="119"/>
      <c r="N832" s="119"/>
      <c r="X832" s="27"/>
    </row>
    <row r="833" ht="14.25" customHeight="1">
      <c r="M833" s="119"/>
      <c r="N833" s="119"/>
      <c r="X833" s="27"/>
    </row>
    <row r="834" ht="14.25" customHeight="1">
      <c r="M834" s="119"/>
      <c r="N834" s="119"/>
      <c r="X834" s="27"/>
    </row>
    <row r="835" ht="14.25" customHeight="1">
      <c r="M835" s="119"/>
      <c r="N835" s="119"/>
      <c r="X835" s="27"/>
    </row>
    <row r="836" ht="14.25" customHeight="1">
      <c r="M836" s="119"/>
      <c r="N836" s="119"/>
      <c r="X836" s="27"/>
    </row>
    <row r="837" ht="14.25" customHeight="1">
      <c r="M837" s="119"/>
      <c r="N837" s="119"/>
      <c r="X837" s="27"/>
    </row>
    <row r="838" ht="14.25" customHeight="1">
      <c r="M838" s="119"/>
      <c r="N838" s="119"/>
      <c r="X838" s="27"/>
    </row>
    <row r="839" ht="14.25" customHeight="1">
      <c r="M839" s="119"/>
      <c r="N839" s="119"/>
      <c r="X839" s="27"/>
    </row>
    <row r="840" ht="14.25" customHeight="1">
      <c r="M840" s="119"/>
      <c r="N840" s="119"/>
      <c r="X840" s="27"/>
    </row>
    <row r="841" ht="14.25" customHeight="1">
      <c r="M841" s="119"/>
      <c r="N841" s="119"/>
      <c r="X841" s="27"/>
    </row>
    <row r="842" ht="14.25" customHeight="1">
      <c r="M842" s="119"/>
      <c r="N842" s="119"/>
      <c r="X842" s="27"/>
    </row>
    <row r="843" ht="14.25" customHeight="1">
      <c r="M843" s="119"/>
      <c r="N843" s="119"/>
      <c r="X843" s="27"/>
    </row>
    <row r="844" ht="14.25" customHeight="1">
      <c r="M844" s="119"/>
      <c r="N844" s="119"/>
      <c r="X844" s="27"/>
    </row>
    <row r="845" ht="14.25" customHeight="1">
      <c r="M845" s="119"/>
      <c r="N845" s="119"/>
      <c r="X845" s="27"/>
    </row>
    <row r="846" ht="14.25" customHeight="1">
      <c r="M846" s="119"/>
      <c r="N846" s="119"/>
      <c r="X846" s="27"/>
    </row>
    <row r="847" ht="14.25" customHeight="1">
      <c r="M847" s="119"/>
      <c r="N847" s="119"/>
      <c r="X847" s="27"/>
    </row>
    <row r="848" ht="14.25" customHeight="1">
      <c r="M848" s="119"/>
      <c r="N848" s="119"/>
      <c r="X848" s="27"/>
    </row>
    <row r="849" ht="14.25" customHeight="1">
      <c r="M849" s="119"/>
      <c r="N849" s="119"/>
      <c r="X849" s="27"/>
    </row>
    <row r="850" ht="14.25" customHeight="1">
      <c r="M850" s="119"/>
      <c r="N850" s="119"/>
      <c r="X850" s="27"/>
    </row>
    <row r="851" ht="14.25" customHeight="1">
      <c r="M851" s="119"/>
      <c r="N851" s="119"/>
      <c r="X851" s="27"/>
    </row>
    <row r="852" ht="14.25" customHeight="1">
      <c r="M852" s="119"/>
      <c r="N852" s="119"/>
      <c r="X852" s="27"/>
    </row>
    <row r="853" ht="14.25" customHeight="1">
      <c r="M853" s="119"/>
      <c r="N853" s="119"/>
      <c r="X853" s="27"/>
    </row>
    <row r="854" ht="14.25" customHeight="1">
      <c r="M854" s="119"/>
      <c r="N854" s="119"/>
      <c r="X854" s="27"/>
    </row>
    <row r="855" ht="14.25" customHeight="1">
      <c r="M855" s="119"/>
      <c r="N855" s="119"/>
      <c r="X855" s="27"/>
    </row>
    <row r="856" ht="14.25" customHeight="1">
      <c r="M856" s="119"/>
      <c r="N856" s="119"/>
      <c r="X856" s="27"/>
    </row>
    <row r="857" ht="14.25" customHeight="1">
      <c r="M857" s="119"/>
      <c r="N857" s="119"/>
      <c r="X857" s="27"/>
    </row>
    <row r="858" ht="14.25" customHeight="1">
      <c r="M858" s="119"/>
      <c r="N858" s="119"/>
      <c r="X858" s="27"/>
    </row>
    <row r="859" ht="14.25" customHeight="1">
      <c r="M859" s="119"/>
      <c r="N859" s="119"/>
      <c r="X859" s="27"/>
    </row>
    <row r="860" ht="14.25" customHeight="1">
      <c r="M860" s="119"/>
      <c r="N860" s="119"/>
      <c r="X860" s="27"/>
    </row>
    <row r="861" ht="14.25" customHeight="1">
      <c r="M861" s="119"/>
      <c r="N861" s="119"/>
      <c r="X861" s="27"/>
    </row>
    <row r="862" ht="14.25" customHeight="1">
      <c r="M862" s="119"/>
      <c r="N862" s="119"/>
      <c r="X862" s="27"/>
    </row>
    <row r="863" ht="14.25" customHeight="1">
      <c r="M863" s="119"/>
      <c r="N863" s="119"/>
      <c r="X863" s="27"/>
    </row>
    <row r="864" ht="14.25" customHeight="1">
      <c r="M864" s="119"/>
      <c r="N864" s="119"/>
      <c r="X864" s="27"/>
    </row>
    <row r="865" ht="14.25" customHeight="1">
      <c r="M865" s="119"/>
      <c r="N865" s="119"/>
      <c r="X865" s="27"/>
    </row>
    <row r="866" ht="14.25" customHeight="1">
      <c r="M866" s="119"/>
      <c r="N866" s="119"/>
      <c r="X866" s="27"/>
    </row>
    <row r="867" ht="14.25" customHeight="1">
      <c r="M867" s="119"/>
      <c r="N867" s="119"/>
      <c r="X867" s="27"/>
    </row>
    <row r="868" ht="14.25" customHeight="1">
      <c r="M868" s="119"/>
      <c r="N868" s="119"/>
      <c r="X868" s="27"/>
    </row>
    <row r="869" ht="14.25" customHeight="1">
      <c r="M869" s="119"/>
      <c r="N869" s="119"/>
      <c r="X869" s="27"/>
    </row>
    <row r="870" ht="14.25" customHeight="1">
      <c r="M870" s="119"/>
      <c r="N870" s="119"/>
      <c r="X870" s="27"/>
    </row>
    <row r="871" ht="14.25" customHeight="1">
      <c r="M871" s="119"/>
      <c r="N871" s="119"/>
      <c r="X871" s="27"/>
    </row>
    <row r="872" ht="14.25" customHeight="1">
      <c r="M872" s="119"/>
      <c r="N872" s="119"/>
      <c r="X872" s="27"/>
    </row>
    <row r="873" ht="14.25" customHeight="1">
      <c r="M873" s="119"/>
      <c r="N873" s="119"/>
      <c r="X873" s="27"/>
    </row>
    <row r="874" ht="14.25" customHeight="1">
      <c r="M874" s="119"/>
      <c r="N874" s="119"/>
      <c r="X874" s="27"/>
    </row>
    <row r="875" ht="14.25" customHeight="1">
      <c r="M875" s="119"/>
      <c r="N875" s="119"/>
      <c r="X875" s="27"/>
    </row>
    <row r="876" ht="14.25" customHeight="1">
      <c r="M876" s="119"/>
      <c r="N876" s="119"/>
      <c r="X876" s="27"/>
    </row>
    <row r="877" ht="14.25" customHeight="1">
      <c r="M877" s="119"/>
      <c r="N877" s="119"/>
      <c r="X877" s="27"/>
    </row>
    <row r="878" ht="14.25" customHeight="1">
      <c r="M878" s="119"/>
      <c r="N878" s="119"/>
      <c r="X878" s="27"/>
    </row>
    <row r="879" ht="14.25" customHeight="1">
      <c r="M879" s="119"/>
      <c r="N879" s="119"/>
      <c r="X879" s="27"/>
    </row>
    <row r="880" ht="14.25" customHeight="1">
      <c r="M880" s="119"/>
      <c r="N880" s="119"/>
      <c r="X880" s="27"/>
    </row>
    <row r="881" ht="14.25" customHeight="1">
      <c r="M881" s="119"/>
      <c r="N881" s="119"/>
      <c r="X881" s="27"/>
    </row>
    <row r="882" ht="14.25" customHeight="1">
      <c r="M882" s="119"/>
      <c r="N882" s="119"/>
      <c r="X882" s="27"/>
    </row>
    <row r="883" ht="14.25" customHeight="1">
      <c r="M883" s="119"/>
      <c r="N883" s="119"/>
      <c r="X883" s="27"/>
    </row>
    <row r="884" ht="14.25" customHeight="1">
      <c r="M884" s="119"/>
      <c r="N884" s="119"/>
      <c r="X884" s="27"/>
    </row>
    <row r="885" ht="14.25" customHeight="1">
      <c r="M885" s="119"/>
      <c r="N885" s="119"/>
      <c r="X885" s="27"/>
    </row>
    <row r="886" ht="14.25" customHeight="1">
      <c r="M886" s="119"/>
      <c r="N886" s="119"/>
      <c r="X886" s="27"/>
    </row>
    <row r="887" ht="14.25" customHeight="1">
      <c r="M887" s="119"/>
      <c r="N887" s="119"/>
      <c r="X887" s="27"/>
    </row>
    <row r="888" ht="14.25" customHeight="1">
      <c r="M888" s="119"/>
      <c r="N888" s="119"/>
      <c r="X888" s="27"/>
    </row>
    <row r="889" ht="14.25" customHeight="1">
      <c r="M889" s="119"/>
      <c r="N889" s="119"/>
      <c r="X889" s="27"/>
    </row>
    <row r="890" ht="14.25" customHeight="1">
      <c r="M890" s="119"/>
      <c r="N890" s="119"/>
      <c r="X890" s="27"/>
    </row>
    <row r="891" ht="14.25" customHeight="1">
      <c r="M891" s="119"/>
      <c r="N891" s="119"/>
      <c r="X891" s="27"/>
    </row>
    <row r="892" ht="14.25" customHeight="1">
      <c r="M892" s="119"/>
      <c r="N892" s="119"/>
      <c r="X892" s="27"/>
    </row>
    <row r="893" ht="14.25" customHeight="1">
      <c r="M893" s="119"/>
      <c r="N893" s="119"/>
      <c r="X893" s="27"/>
    </row>
    <row r="894" ht="14.25" customHeight="1">
      <c r="M894" s="119"/>
      <c r="N894" s="119"/>
      <c r="X894" s="27"/>
    </row>
    <row r="895" ht="14.25" customHeight="1">
      <c r="M895" s="119"/>
      <c r="N895" s="119"/>
      <c r="X895" s="27"/>
    </row>
    <row r="896" ht="14.25" customHeight="1">
      <c r="M896" s="119"/>
      <c r="N896" s="119"/>
      <c r="X896" s="27"/>
    </row>
    <row r="897" ht="14.25" customHeight="1">
      <c r="M897" s="119"/>
      <c r="N897" s="119"/>
      <c r="X897" s="27"/>
    </row>
    <row r="898" ht="14.25" customHeight="1">
      <c r="M898" s="119"/>
      <c r="N898" s="119"/>
      <c r="X898" s="27"/>
    </row>
    <row r="899" ht="14.25" customHeight="1">
      <c r="M899" s="119"/>
      <c r="N899" s="119"/>
      <c r="X899" s="27"/>
    </row>
    <row r="900" ht="14.25" customHeight="1">
      <c r="M900" s="119"/>
      <c r="N900" s="119"/>
      <c r="X900" s="27"/>
    </row>
    <row r="901" ht="14.25" customHeight="1">
      <c r="M901" s="119"/>
      <c r="N901" s="119"/>
      <c r="X901" s="27"/>
    </row>
    <row r="902" ht="14.25" customHeight="1">
      <c r="M902" s="119"/>
      <c r="N902" s="119"/>
      <c r="X902" s="27"/>
    </row>
    <row r="903" ht="14.25" customHeight="1">
      <c r="M903" s="119"/>
      <c r="N903" s="119"/>
      <c r="X903" s="27"/>
    </row>
    <row r="904" ht="14.25" customHeight="1">
      <c r="M904" s="119"/>
      <c r="N904" s="119"/>
      <c r="X904" s="27"/>
    </row>
    <row r="905" ht="14.25" customHeight="1">
      <c r="M905" s="119"/>
      <c r="N905" s="119"/>
      <c r="X905" s="27"/>
    </row>
    <row r="906" ht="14.25" customHeight="1">
      <c r="M906" s="119"/>
      <c r="N906" s="119"/>
      <c r="X906" s="27"/>
    </row>
    <row r="907" ht="14.25" customHeight="1">
      <c r="M907" s="119"/>
      <c r="N907" s="119"/>
      <c r="X907" s="27"/>
    </row>
    <row r="908" ht="14.25" customHeight="1">
      <c r="M908" s="119"/>
      <c r="N908" s="119"/>
      <c r="X908" s="27"/>
    </row>
    <row r="909" ht="14.25" customHeight="1">
      <c r="M909" s="119"/>
      <c r="N909" s="119"/>
      <c r="X909" s="27"/>
    </row>
    <row r="910" ht="14.25" customHeight="1">
      <c r="M910" s="119"/>
      <c r="N910" s="119"/>
      <c r="X910" s="27"/>
    </row>
    <row r="911" ht="14.25" customHeight="1">
      <c r="M911" s="119"/>
      <c r="N911" s="119"/>
      <c r="X911" s="27"/>
    </row>
    <row r="912" ht="14.25" customHeight="1">
      <c r="M912" s="119"/>
      <c r="N912" s="119"/>
      <c r="X912" s="27"/>
    </row>
    <row r="913" ht="14.25" customHeight="1">
      <c r="M913" s="119"/>
      <c r="N913" s="119"/>
      <c r="X913" s="27"/>
    </row>
    <row r="914" ht="14.25" customHeight="1">
      <c r="M914" s="119"/>
      <c r="N914" s="119"/>
      <c r="X914" s="27"/>
    </row>
    <row r="915" ht="14.25" customHeight="1">
      <c r="M915" s="119"/>
      <c r="N915" s="119"/>
      <c r="X915" s="27"/>
    </row>
    <row r="916" ht="14.25" customHeight="1">
      <c r="M916" s="119"/>
      <c r="N916" s="119"/>
      <c r="X916" s="27"/>
    </row>
    <row r="917" ht="14.25" customHeight="1">
      <c r="M917" s="119"/>
      <c r="N917" s="119"/>
      <c r="X917" s="27"/>
    </row>
    <row r="918" ht="14.25" customHeight="1">
      <c r="M918" s="119"/>
      <c r="N918" s="119"/>
      <c r="X918" s="27"/>
    </row>
    <row r="919" ht="14.25" customHeight="1">
      <c r="M919" s="119"/>
      <c r="N919" s="119"/>
      <c r="X919" s="27"/>
    </row>
    <row r="920" ht="14.25" customHeight="1">
      <c r="M920" s="119"/>
      <c r="N920" s="119"/>
      <c r="X920" s="27"/>
    </row>
    <row r="921" ht="14.25" customHeight="1">
      <c r="M921" s="119"/>
      <c r="N921" s="119"/>
      <c r="X921" s="27"/>
    </row>
    <row r="922" ht="14.25" customHeight="1">
      <c r="M922" s="119"/>
      <c r="N922" s="119"/>
      <c r="X922" s="27"/>
    </row>
    <row r="923" ht="14.25" customHeight="1">
      <c r="M923" s="119"/>
      <c r="N923" s="119"/>
      <c r="X923" s="27"/>
    </row>
    <row r="924" ht="14.25" customHeight="1">
      <c r="M924" s="119"/>
      <c r="N924" s="119"/>
      <c r="X924" s="27"/>
    </row>
    <row r="925" ht="14.25" customHeight="1">
      <c r="M925" s="119"/>
      <c r="N925" s="119"/>
      <c r="X925" s="27"/>
    </row>
    <row r="926" ht="14.25" customHeight="1">
      <c r="M926" s="119"/>
      <c r="N926" s="119"/>
      <c r="X926" s="27"/>
    </row>
    <row r="927" ht="14.25" customHeight="1">
      <c r="M927" s="119"/>
      <c r="N927" s="119"/>
      <c r="X927" s="27"/>
    </row>
    <row r="928" ht="14.25" customHeight="1">
      <c r="M928" s="119"/>
      <c r="N928" s="119"/>
      <c r="X928" s="27"/>
    </row>
    <row r="929" ht="14.25" customHeight="1">
      <c r="M929" s="119"/>
      <c r="N929" s="119"/>
      <c r="X929" s="27"/>
    </row>
    <row r="930" ht="14.25" customHeight="1">
      <c r="M930" s="119"/>
      <c r="N930" s="119"/>
      <c r="X930" s="27"/>
    </row>
    <row r="931" ht="14.25" customHeight="1">
      <c r="M931" s="119"/>
      <c r="N931" s="119"/>
      <c r="X931" s="27"/>
    </row>
    <row r="932" ht="14.25" customHeight="1">
      <c r="M932" s="119"/>
      <c r="N932" s="119"/>
      <c r="X932" s="27"/>
    </row>
    <row r="933" ht="14.25" customHeight="1">
      <c r="M933" s="119"/>
      <c r="N933" s="119"/>
      <c r="X933" s="27"/>
    </row>
    <row r="934" ht="14.25" customHeight="1">
      <c r="M934" s="119"/>
      <c r="N934" s="119"/>
      <c r="X934" s="27"/>
    </row>
    <row r="935" ht="14.25" customHeight="1">
      <c r="M935" s="119"/>
      <c r="N935" s="119"/>
      <c r="X935" s="27"/>
    </row>
    <row r="936" ht="14.25" customHeight="1">
      <c r="M936" s="119"/>
      <c r="N936" s="119"/>
      <c r="X936" s="27"/>
    </row>
    <row r="937" ht="14.25" customHeight="1">
      <c r="M937" s="119"/>
      <c r="N937" s="119"/>
      <c r="X937" s="27"/>
    </row>
    <row r="938" ht="14.25" customHeight="1">
      <c r="M938" s="119"/>
      <c r="N938" s="119"/>
      <c r="X938" s="27"/>
    </row>
    <row r="939" ht="14.25" customHeight="1">
      <c r="M939" s="119"/>
      <c r="N939" s="119"/>
      <c r="X939" s="27"/>
    </row>
    <row r="940" ht="14.25" customHeight="1">
      <c r="M940" s="119"/>
      <c r="N940" s="119"/>
      <c r="X940" s="27"/>
    </row>
    <row r="941" ht="14.25" customHeight="1">
      <c r="M941" s="119"/>
      <c r="N941" s="119"/>
      <c r="X941" s="27"/>
    </row>
    <row r="942" ht="14.25" customHeight="1">
      <c r="M942" s="119"/>
      <c r="N942" s="119"/>
      <c r="X942" s="27"/>
    </row>
    <row r="943" ht="14.25" customHeight="1">
      <c r="M943" s="119"/>
      <c r="N943" s="119"/>
      <c r="X943" s="27"/>
    </row>
    <row r="944" ht="14.25" customHeight="1">
      <c r="M944" s="119"/>
      <c r="N944" s="119"/>
      <c r="X944" s="27"/>
    </row>
    <row r="945" ht="14.25" customHeight="1">
      <c r="M945" s="119"/>
      <c r="N945" s="119"/>
      <c r="X945" s="27"/>
    </row>
    <row r="946" ht="14.25" customHeight="1">
      <c r="M946" s="119"/>
      <c r="N946" s="119"/>
      <c r="X946" s="27"/>
    </row>
    <row r="947" ht="14.25" customHeight="1">
      <c r="M947" s="119"/>
      <c r="N947" s="119"/>
      <c r="X947" s="27"/>
    </row>
    <row r="948" ht="14.25" customHeight="1">
      <c r="M948" s="119"/>
      <c r="N948" s="119"/>
      <c r="X948" s="27"/>
    </row>
    <row r="949" ht="14.25" customHeight="1">
      <c r="M949" s="119"/>
      <c r="N949" s="119"/>
      <c r="X949" s="27"/>
    </row>
    <row r="950" ht="14.25" customHeight="1">
      <c r="M950" s="119"/>
      <c r="N950" s="119"/>
      <c r="X950" s="27"/>
    </row>
    <row r="951" ht="14.25" customHeight="1">
      <c r="M951" s="119"/>
      <c r="N951" s="119"/>
      <c r="X951" s="27"/>
    </row>
    <row r="952" ht="14.25" customHeight="1">
      <c r="M952" s="119"/>
      <c r="N952" s="119"/>
      <c r="X952" s="27"/>
    </row>
    <row r="953" ht="14.25" customHeight="1">
      <c r="M953" s="119"/>
      <c r="N953" s="119"/>
      <c r="X953" s="27"/>
    </row>
    <row r="954" ht="14.25" customHeight="1">
      <c r="M954" s="119"/>
      <c r="N954" s="119"/>
      <c r="X954" s="27"/>
    </row>
    <row r="955" ht="14.25" customHeight="1">
      <c r="M955" s="119"/>
      <c r="N955" s="119"/>
      <c r="X955" s="27"/>
    </row>
    <row r="956" ht="14.25" customHeight="1">
      <c r="M956" s="119"/>
      <c r="N956" s="119"/>
      <c r="X956" s="27"/>
    </row>
    <row r="957" ht="14.25" customHeight="1">
      <c r="M957" s="119"/>
      <c r="N957" s="119"/>
      <c r="X957" s="27"/>
    </row>
    <row r="958" ht="14.25" customHeight="1">
      <c r="M958" s="119"/>
      <c r="N958" s="119"/>
      <c r="X958" s="27"/>
    </row>
    <row r="959" ht="14.25" customHeight="1">
      <c r="M959" s="119"/>
      <c r="N959" s="119"/>
      <c r="X959" s="27"/>
    </row>
    <row r="960" ht="14.25" customHeight="1">
      <c r="M960" s="119"/>
      <c r="N960" s="119"/>
      <c r="X960" s="27"/>
    </row>
    <row r="961" ht="14.25" customHeight="1">
      <c r="M961" s="119"/>
      <c r="N961" s="119"/>
      <c r="X961" s="27"/>
    </row>
    <row r="962" ht="14.25" customHeight="1">
      <c r="M962" s="119"/>
      <c r="N962" s="119"/>
      <c r="X962" s="27"/>
    </row>
    <row r="963" ht="14.25" customHeight="1">
      <c r="M963" s="119"/>
      <c r="N963" s="119"/>
      <c r="X963" s="27"/>
    </row>
    <row r="964" ht="14.25" customHeight="1">
      <c r="M964" s="119"/>
      <c r="N964" s="119"/>
      <c r="X964" s="27"/>
    </row>
    <row r="965" ht="14.25" customHeight="1">
      <c r="M965" s="119"/>
      <c r="N965" s="119"/>
      <c r="X965" s="27"/>
    </row>
    <row r="966" ht="14.25" customHeight="1">
      <c r="M966" s="119"/>
      <c r="N966" s="119"/>
      <c r="X966" s="27"/>
    </row>
    <row r="967" ht="14.25" customHeight="1">
      <c r="M967" s="119"/>
      <c r="N967" s="119"/>
      <c r="X967" s="27"/>
    </row>
    <row r="968" ht="14.25" customHeight="1">
      <c r="M968" s="119"/>
      <c r="N968" s="119"/>
      <c r="X968" s="27"/>
    </row>
    <row r="969" ht="14.25" customHeight="1">
      <c r="M969" s="119"/>
      <c r="N969" s="119"/>
      <c r="X969" s="27"/>
    </row>
    <row r="970" ht="14.25" customHeight="1">
      <c r="M970" s="119"/>
      <c r="N970" s="119"/>
      <c r="X970" s="27"/>
    </row>
    <row r="971" ht="14.25" customHeight="1">
      <c r="M971" s="119"/>
      <c r="N971" s="119"/>
      <c r="X971" s="27"/>
    </row>
    <row r="972" ht="14.25" customHeight="1">
      <c r="M972" s="119"/>
      <c r="N972" s="119"/>
      <c r="X972" s="27"/>
    </row>
    <row r="973" ht="14.25" customHeight="1">
      <c r="M973" s="119"/>
      <c r="N973" s="119"/>
      <c r="X973" s="27"/>
    </row>
    <row r="974" ht="14.25" customHeight="1">
      <c r="M974" s="119"/>
      <c r="N974" s="119"/>
      <c r="X974" s="27"/>
    </row>
    <row r="975" ht="14.25" customHeight="1">
      <c r="M975" s="119"/>
      <c r="N975" s="119"/>
      <c r="X975" s="27"/>
    </row>
    <row r="976" ht="14.25" customHeight="1">
      <c r="M976" s="119"/>
      <c r="N976" s="119"/>
      <c r="X976" s="27"/>
    </row>
    <row r="977" ht="14.25" customHeight="1">
      <c r="M977" s="119"/>
      <c r="N977" s="119"/>
      <c r="X977" s="27"/>
    </row>
    <row r="978" ht="14.25" customHeight="1">
      <c r="M978" s="119"/>
      <c r="N978" s="119"/>
      <c r="X978" s="27"/>
    </row>
    <row r="979" ht="14.25" customHeight="1">
      <c r="M979" s="119"/>
      <c r="N979" s="119"/>
      <c r="X979" s="27"/>
    </row>
    <row r="980" ht="14.25" customHeight="1">
      <c r="M980" s="119"/>
      <c r="N980" s="119"/>
      <c r="X980" s="27"/>
    </row>
    <row r="981" ht="14.25" customHeight="1">
      <c r="M981" s="119"/>
      <c r="N981" s="119"/>
      <c r="X981" s="27"/>
    </row>
    <row r="982" ht="14.25" customHeight="1">
      <c r="M982" s="119"/>
      <c r="N982" s="119"/>
      <c r="X982" s="27"/>
    </row>
    <row r="983" ht="14.25" customHeight="1">
      <c r="M983" s="119"/>
      <c r="N983" s="119"/>
      <c r="X983" s="27"/>
    </row>
    <row r="984" ht="14.25" customHeight="1">
      <c r="M984" s="119"/>
      <c r="N984" s="119"/>
      <c r="X984" s="27"/>
    </row>
    <row r="985" ht="14.25" customHeight="1">
      <c r="M985" s="119"/>
      <c r="N985" s="119"/>
      <c r="X985" s="27"/>
    </row>
    <row r="986" ht="14.25" customHeight="1">
      <c r="M986" s="119"/>
      <c r="N986" s="119"/>
      <c r="X986" s="27"/>
    </row>
    <row r="987" ht="14.25" customHeight="1">
      <c r="M987" s="119"/>
      <c r="N987" s="119"/>
      <c r="X987" s="27"/>
    </row>
    <row r="988" ht="14.25" customHeight="1">
      <c r="M988" s="119"/>
      <c r="N988" s="119"/>
      <c r="X988" s="27"/>
    </row>
    <row r="989" ht="14.25" customHeight="1">
      <c r="M989" s="119"/>
      <c r="N989" s="119"/>
      <c r="X989" s="27"/>
    </row>
    <row r="990" ht="14.25" customHeight="1">
      <c r="M990" s="119"/>
      <c r="N990" s="119"/>
      <c r="X990" s="27"/>
    </row>
    <row r="991" ht="14.25" customHeight="1">
      <c r="M991" s="119"/>
      <c r="N991" s="119"/>
      <c r="X991" s="27"/>
    </row>
    <row r="992" ht="14.25" customHeight="1">
      <c r="M992" s="119"/>
      <c r="N992" s="119"/>
      <c r="X992" s="27"/>
    </row>
    <row r="993" ht="14.25" customHeight="1">
      <c r="M993" s="119"/>
      <c r="N993" s="119"/>
      <c r="X993" s="27"/>
    </row>
    <row r="994" ht="14.25" customHeight="1">
      <c r="M994" s="119"/>
      <c r="N994" s="119"/>
      <c r="X994" s="27"/>
    </row>
    <row r="995" ht="14.25" customHeight="1">
      <c r="M995" s="119"/>
      <c r="N995" s="119"/>
      <c r="X995" s="27"/>
    </row>
    <row r="996" ht="14.25" customHeight="1">
      <c r="M996" s="119"/>
      <c r="N996" s="119"/>
      <c r="X996" s="27"/>
    </row>
    <row r="997" ht="14.25" customHeight="1">
      <c r="M997" s="119"/>
      <c r="N997" s="119"/>
      <c r="X997" s="27"/>
    </row>
    <row r="998" ht="14.25" customHeight="1">
      <c r="M998" s="119"/>
      <c r="N998" s="119"/>
      <c r="X998" s="27"/>
    </row>
    <row r="999" ht="14.25" customHeight="1">
      <c r="M999" s="119"/>
      <c r="N999" s="119"/>
      <c r="X999" s="27"/>
    </row>
    <row r="1000" ht="14.25" customHeight="1">
      <c r="M1000" s="119"/>
      <c r="N1000" s="119"/>
      <c r="X1000" s="27"/>
    </row>
  </sheetData>
  <mergeCells count="2">
    <mergeCell ref="B79:B82"/>
    <mergeCell ref="B83:B86"/>
  </mergeCells>
  <printOptions/>
  <pageMargins bottom="0.75" footer="0.0" header="0.0" left="0.7" right="0.7" top="0.75"/>
  <pageSetup paperSize="9"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8.71"/>
    <col customWidth="1" min="3" max="3" width="9.0"/>
    <col customWidth="1" min="4" max="4" width="8.71"/>
    <col customWidth="1" min="5" max="5" width="9.14"/>
    <col customWidth="1" min="6" max="18" width="8.71"/>
    <col customWidth="1" min="19" max="19" width="64.29"/>
    <col customWidth="1" min="20" max="26" width="8.71"/>
  </cols>
  <sheetData>
    <row r="1" ht="14.25" customHeight="1">
      <c r="A1" s="121"/>
      <c r="B1" s="122" t="s">
        <v>352</v>
      </c>
      <c r="C1" s="123"/>
      <c r="D1" s="123"/>
      <c r="E1" s="123"/>
      <c r="F1" s="123"/>
      <c r="G1" s="123"/>
      <c r="H1" s="123"/>
      <c r="I1" s="124"/>
      <c r="J1" s="125" t="s">
        <v>353</v>
      </c>
      <c r="K1" s="123"/>
      <c r="L1" s="123"/>
      <c r="M1" s="123"/>
      <c r="N1" s="123"/>
      <c r="O1" s="123"/>
      <c r="P1" s="123"/>
      <c r="Q1" s="124"/>
      <c r="R1" s="126"/>
      <c r="S1" s="121"/>
    </row>
    <row r="2" ht="14.25" customHeight="1">
      <c r="A2" s="127" t="s">
        <v>354</v>
      </c>
      <c r="B2" s="113" t="s">
        <v>355</v>
      </c>
      <c r="C2" s="113" t="s">
        <v>356</v>
      </c>
      <c r="D2" s="113" t="s">
        <v>357</v>
      </c>
      <c r="E2" s="113" t="s">
        <v>358</v>
      </c>
      <c r="F2" s="113" t="s">
        <v>359</v>
      </c>
      <c r="G2" s="113" t="s">
        <v>360</v>
      </c>
      <c r="H2" s="113" t="s">
        <v>361</v>
      </c>
      <c r="I2" s="113" t="s">
        <v>362</v>
      </c>
      <c r="J2" s="128" t="s">
        <v>44</v>
      </c>
      <c r="K2" s="113" t="s">
        <v>46</v>
      </c>
      <c r="L2" s="113" t="s">
        <v>48</v>
      </c>
      <c r="M2" s="113" t="s">
        <v>51</v>
      </c>
      <c r="N2" s="113" t="s">
        <v>52</v>
      </c>
      <c r="O2" s="113" t="s">
        <v>54</v>
      </c>
      <c r="P2" s="113" t="s">
        <v>56</v>
      </c>
      <c r="Q2" s="113" t="s">
        <v>63</v>
      </c>
      <c r="R2" s="129" t="s">
        <v>278</v>
      </c>
      <c r="S2" s="127" t="s">
        <v>363</v>
      </c>
    </row>
    <row r="3" ht="14.25" customHeight="1">
      <c r="A3" s="130" t="s">
        <v>364</v>
      </c>
      <c r="B3" s="113">
        <v>9.0</v>
      </c>
      <c r="C3" s="113">
        <v>0.0</v>
      </c>
      <c r="D3" s="113">
        <v>0.0</v>
      </c>
      <c r="E3" s="113">
        <v>0.0</v>
      </c>
      <c r="F3" s="113">
        <v>0.0</v>
      </c>
      <c r="G3" s="113">
        <v>0.0</v>
      </c>
      <c r="H3" s="113">
        <v>0.0</v>
      </c>
      <c r="I3" s="113">
        <v>0.0</v>
      </c>
      <c r="J3" s="128"/>
      <c r="K3" s="113">
        <f t="shared" ref="K3:Q3" si="1">$B3*2 + SUM($C3:$I3) + C3*2</f>
        <v>18</v>
      </c>
      <c r="L3" s="113">
        <f t="shared" si="1"/>
        <v>18</v>
      </c>
      <c r="M3" s="113">
        <f t="shared" si="1"/>
        <v>18</v>
      </c>
      <c r="N3" s="113">
        <f t="shared" si="1"/>
        <v>18</v>
      </c>
      <c r="O3" s="113">
        <f t="shared" si="1"/>
        <v>18</v>
      </c>
      <c r="P3" s="113">
        <f t="shared" si="1"/>
        <v>18</v>
      </c>
      <c r="Q3" s="113">
        <f t="shared" si="1"/>
        <v>18</v>
      </c>
      <c r="R3" s="129"/>
      <c r="S3" s="127" t="str">
        <f>"Enemies drop a total of " &amp; TEXTJOIN(", ", TRUE, B13:I13)</f>
        <v>Enemies drop a total of 9 clear particles</v>
      </c>
    </row>
    <row r="4" ht="14.25" customHeight="1">
      <c r="A4" s="130" t="s">
        <v>7</v>
      </c>
      <c r="B4" s="113">
        <v>0.0</v>
      </c>
      <c r="C4" s="113">
        <v>0.0</v>
      </c>
      <c r="D4" s="113">
        <v>0.0</v>
      </c>
      <c r="E4" s="113">
        <v>0.0</v>
      </c>
      <c r="F4" s="113">
        <v>0.0</v>
      </c>
      <c r="G4" s="113">
        <v>0.0</v>
      </c>
      <c r="H4" s="113">
        <v>0.0</v>
      </c>
      <c r="I4" s="113">
        <v>0.0</v>
      </c>
      <c r="J4" s="128"/>
      <c r="K4" s="113">
        <f t="shared" ref="K4:Q4" si="2">$B4*2 + SUM($C4:$I4) + C4*2</f>
        <v>0</v>
      </c>
      <c r="L4" s="113">
        <f t="shared" si="2"/>
        <v>0</v>
      </c>
      <c r="M4" s="113">
        <f t="shared" si="2"/>
        <v>0</v>
      </c>
      <c r="N4" s="113">
        <f t="shared" si="2"/>
        <v>0</v>
      </c>
      <c r="O4" s="113">
        <f t="shared" si="2"/>
        <v>0</v>
      </c>
      <c r="P4" s="113">
        <f t="shared" si="2"/>
        <v>0</v>
      </c>
      <c r="Q4" s="113">
        <f t="shared" si="2"/>
        <v>0</v>
      </c>
      <c r="R4" s="129"/>
      <c r="S4" s="127" t="s">
        <v>365</v>
      </c>
    </row>
    <row r="5" ht="14.25" customHeight="1">
      <c r="A5" s="130" t="s">
        <v>366</v>
      </c>
      <c r="B5" s="113">
        <f>'Energy Recharge Calculator'!E3</f>
        <v>9</v>
      </c>
      <c r="C5" s="113">
        <v>0.0</v>
      </c>
      <c r="D5" s="113">
        <v>0.0</v>
      </c>
      <c r="E5" s="113">
        <v>0.0</v>
      </c>
      <c r="F5" s="113">
        <v>0.0</v>
      </c>
      <c r="G5" s="113">
        <v>0.0</v>
      </c>
      <c r="H5" s="113">
        <v>0.0</v>
      </c>
      <c r="I5" s="113">
        <v>0.0</v>
      </c>
      <c r="J5" s="128"/>
      <c r="K5" s="113">
        <f t="shared" ref="K5:Q5" si="3">$B5*2 + SUM($C5:$I5) + C5*2</f>
        <v>18</v>
      </c>
      <c r="L5" s="113">
        <f t="shared" si="3"/>
        <v>18</v>
      </c>
      <c r="M5" s="113">
        <f t="shared" si="3"/>
        <v>18</v>
      </c>
      <c r="N5" s="113">
        <f t="shared" si="3"/>
        <v>18</v>
      </c>
      <c r="O5" s="113">
        <f t="shared" si="3"/>
        <v>18</v>
      </c>
      <c r="P5" s="113">
        <f t="shared" si="3"/>
        <v>18</v>
      </c>
      <c r="Q5" s="113">
        <f t="shared" si="3"/>
        <v>18</v>
      </c>
      <c r="R5" s="129"/>
      <c r="S5" s="127" t="s">
        <v>367</v>
      </c>
    </row>
    <row r="6" ht="14.25" customHeight="1">
      <c r="A6" s="131" t="s">
        <v>368</v>
      </c>
      <c r="B6" s="113">
        <v>22.0</v>
      </c>
      <c r="C6" s="113"/>
      <c r="D6" s="113">
        <v>18.0</v>
      </c>
      <c r="E6" s="113"/>
      <c r="F6" s="113"/>
      <c r="G6" s="113"/>
      <c r="H6" s="113"/>
      <c r="I6" s="113">
        <v>18.0</v>
      </c>
      <c r="J6" s="128"/>
      <c r="K6" s="113">
        <f t="shared" ref="K6:Q6" si="4">$B6*2 + SUM($C6:$I6) + C6*2</f>
        <v>80</v>
      </c>
      <c r="L6" s="113">
        <f t="shared" si="4"/>
        <v>116</v>
      </c>
      <c r="M6" s="113">
        <f t="shared" si="4"/>
        <v>80</v>
      </c>
      <c r="N6" s="113">
        <f t="shared" si="4"/>
        <v>80</v>
      </c>
      <c r="O6" s="113">
        <f t="shared" si="4"/>
        <v>80</v>
      </c>
      <c r="P6" s="113">
        <f t="shared" si="4"/>
        <v>80</v>
      </c>
      <c r="Q6" s="113">
        <f t="shared" si="4"/>
        <v>116</v>
      </c>
      <c r="R6" s="129"/>
      <c r="S6" s="127" t="str">
        <f t="shared" ref="S6:S11" si="6">"Enemies drop a total of " &amp; TEXTJOIN(", ", TRUE, B16:I16)</f>
        <v>Enemies drop a total of 22 clear particles, 18 cryo particles, 18 pyro particles</v>
      </c>
    </row>
    <row r="7" ht="14.25" customHeight="1">
      <c r="A7" s="132" t="s">
        <v>369</v>
      </c>
      <c r="B7" s="113"/>
      <c r="C7" s="113"/>
      <c r="D7" s="113">
        <f>6+4</f>
        <v>10</v>
      </c>
      <c r="E7" s="113"/>
      <c r="F7" s="113"/>
      <c r="G7" s="113"/>
      <c r="H7" s="113">
        <f>6+8</f>
        <v>14</v>
      </c>
      <c r="I7" s="113"/>
      <c r="J7" s="128"/>
      <c r="K7" s="113">
        <f t="shared" ref="K7:Q7" si="5">$B7*2 + SUM($C7:$I7) + C7*2</f>
        <v>24</v>
      </c>
      <c r="L7" s="113">
        <f t="shared" si="5"/>
        <v>44</v>
      </c>
      <c r="M7" s="113">
        <f t="shared" si="5"/>
        <v>24</v>
      </c>
      <c r="N7" s="113">
        <f t="shared" si="5"/>
        <v>24</v>
      </c>
      <c r="O7" s="113">
        <f t="shared" si="5"/>
        <v>24</v>
      </c>
      <c r="P7" s="113">
        <f t="shared" si="5"/>
        <v>52</v>
      </c>
      <c r="Q7" s="113">
        <f t="shared" si="5"/>
        <v>24</v>
      </c>
      <c r="R7" s="129"/>
      <c r="S7" s="127" t="str">
        <f t="shared" si="6"/>
        <v>Enemies drop a total of 10 cryo particles, 14 hydro particles</v>
      </c>
    </row>
    <row r="8" ht="14.25" customHeight="1">
      <c r="A8" s="131" t="s">
        <v>370</v>
      </c>
      <c r="B8" s="113"/>
      <c r="C8" s="113"/>
      <c r="D8" s="113"/>
      <c r="E8" s="113">
        <v>6.0</v>
      </c>
      <c r="F8" s="113"/>
      <c r="G8" s="113"/>
      <c r="H8" s="113"/>
      <c r="I8" s="113"/>
      <c r="J8" s="128"/>
      <c r="K8" s="113">
        <f t="shared" ref="K8:Q8" si="7">$B8*2 + SUM($C8:$I8) + C8*2</f>
        <v>6</v>
      </c>
      <c r="L8" s="113">
        <f t="shared" si="7"/>
        <v>6</v>
      </c>
      <c r="M8" s="113">
        <f t="shared" si="7"/>
        <v>18</v>
      </c>
      <c r="N8" s="113">
        <f t="shared" si="7"/>
        <v>6</v>
      </c>
      <c r="O8" s="113">
        <f t="shared" si="7"/>
        <v>6</v>
      </c>
      <c r="P8" s="113">
        <f t="shared" si="7"/>
        <v>6</v>
      </c>
      <c r="Q8" s="113">
        <f t="shared" si="7"/>
        <v>6</v>
      </c>
      <c r="R8" s="129"/>
      <c r="S8" s="127" t="str">
        <f t="shared" si="6"/>
        <v>Enemies drop a total of 6 dendro particles</v>
      </c>
    </row>
    <row r="9" ht="14.25" customHeight="1">
      <c r="A9" s="132" t="s">
        <v>371</v>
      </c>
      <c r="B9" s="113"/>
      <c r="C9" s="113"/>
      <c r="D9" s="113"/>
      <c r="E9" s="113"/>
      <c r="F9" s="113">
        <v>9.0</v>
      </c>
      <c r="G9" s="113"/>
      <c r="H9" s="113"/>
      <c r="I9" s="113"/>
      <c r="J9" s="128"/>
      <c r="K9" s="113">
        <f t="shared" ref="K9:Q9" si="8">$B9*2 + SUM($C9:$I9) + C9*2</f>
        <v>9</v>
      </c>
      <c r="L9" s="113">
        <f t="shared" si="8"/>
        <v>9</v>
      </c>
      <c r="M9" s="113">
        <f t="shared" si="8"/>
        <v>9</v>
      </c>
      <c r="N9" s="113">
        <f t="shared" si="8"/>
        <v>27</v>
      </c>
      <c r="O9" s="113">
        <f t="shared" si="8"/>
        <v>9</v>
      </c>
      <c r="P9" s="113">
        <f t="shared" si="8"/>
        <v>9</v>
      </c>
      <c r="Q9" s="113">
        <f t="shared" si="8"/>
        <v>9</v>
      </c>
      <c r="R9" s="129"/>
      <c r="S9" s="127" t="str">
        <f t="shared" si="6"/>
        <v>Enemies drop a total of 9 electro particles</v>
      </c>
    </row>
    <row r="10" ht="14.25" customHeight="1">
      <c r="A10" s="131" t="s">
        <v>372</v>
      </c>
      <c r="B10" s="113"/>
      <c r="C10" s="113"/>
      <c r="D10" s="113"/>
      <c r="E10" s="113">
        <v>14.0</v>
      </c>
      <c r="F10" s="113"/>
      <c r="G10" s="113"/>
      <c r="H10" s="113">
        <v>14.0</v>
      </c>
      <c r="I10" s="113"/>
      <c r="J10" s="128"/>
      <c r="K10" s="113">
        <f t="shared" ref="K10:Q10" si="9">$B10*2 + SUM($C10:$I10) + C10*2</f>
        <v>28</v>
      </c>
      <c r="L10" s="113">
        <f t="shared" si="9"/>
        <v>28</v>
      </c>
      <c r="M10" s="113">
        <f t="shared" si="9"/>
        <v>56</v>
      </c>
      <c r="N10" s="113">
        <f t="shared" si="9"/>
        <v>28</v>
      </c>
      <c r="O10" s="113">
        <f t="shared" si="9"/>
        <v>28</v>
      </c>
      <c r="P10" s="113">
        <f t="shared" si="9"/>
        <v>56</v>
      </c>
      <c r="Q10" s="113">
        <f t="shared" si="9"/>
        <v>28</v>
      </c>
      <c r="R10" s="129"/>
      <c r="S10" s="127" t="str">
        <f t="shared" si="6"/>
        <v>Enemies drop a total of 14 dendro particles, 14 hydro particles</v>
      </c>
    </row>
    <row r="11" ht="14.25" customHeight="1">
      <c r="A11" s="133" t="s">
        <v>373</v>
      </c>
      <c r="B11" s="134">
        <v>9.0</v>
      </c>
      <c r="C11" s="134"/>
      <c r="D11" s="134"/>
      <c r="E11" s="134"/>
      <c r="F11" s="134"/>
      <c r="G11" s="134"/>
      <c r="H11" s="134"/>
      <c r="I11" s="134"/>
      <c r="J11" s="135"/>
      <c r="K11" s="134">
        <f t="shared" ref="K11:Q11" si="10">$B11*2 + SUM($C11:$I11) + C11*2</f>
        <v>18</v>
      </c>
      <c r="L11" s="134">
        <f t="shared" si="10"/>
        <v>18</v>
      </c>
      <c r="M11" s="134">
        <f t="shared" si="10"/>
        <v>18</v>
      </c>
      <c r="N11" s="134">
        <f t="shared" si="10"/>
        <v>18</v>
      </c>
      <c r="O11" s="134">
        <f t="shared" si="10"/>
        <v>18</v>
      </c>
      <c r="P11" s="134">
        <f t="shared" si="10"/>
        <v>18</v>
      </c>
      <c r="Q11" s="134">
        <f t="shared" si="10"/>
        <v>18</v>
      </c>
      <c r="R11" s="136"/>
      <c r="S11" s="137" t="str">
        <f t="shared" si="6"/>
        <v>Enemies drop a total of 9 clear particles</v>
      </c>
    </row>
    <row r="12" ht="14.25" customHeight="1">
      <c r="A12" s="108"/>
    </row>
    <row r="13" ht="14.25" hidden="1" customHeight="1">
      <c r="A13" s="138" t="str">
        <f t="shared" ref="A13:A21" si="12">A3</f>
        <v>Default</v>
      </c>
      <c r="B13" s="19" t="str">
        <f t="shared" ref="B13:I13" si="11">IF(B3&gt;0, B3 &amp; " " &amp; LOWER(J$2) &amp; " particles", "")</f>
        <v>9 clear particles</v>
      </c>
      <c r="C13" s="19" t="str">
        <f t="shared" si="11"/>
        <v/>
      </c>
      <c r="D13" s="19" t="str">
        <f t="shared" si="11"/>
        <v/>
      </c>
      <c r="E13" s="19" t="str">
        <f t="shared" si="11"/>
        <v/>
      </c>
      <c r="F13" s="19" t="str">
        <f t="shared" si="11"/>
        <v/>
      </c>
      <c r="G13" s="19" t="str">
        <f t="shared" si="11"/>
        <v/>
      </c>
      <c r="H13" s="19" t="str">
        <f t="shared" si="11"/>
        <v/>
      </c>
      <c r="I13" s="19" t="str">
        <f t="shared" si="11"/>
        <v/>
      </c>
    </row>
    <row r="14" ht="14.25" hidden="1" customHeight="1">
      <c r="A14" s="138" t="str">
        <f t="shared" si="12"/>
        <v>No Particles</v>
      </c>
      <c r="B14" s="19" t="str">
        <f t="shared" ref="B14:I14" si="13">IF(B4&gt;0, B4 &amp; " " &amp; LOWER(J$2) &amp; " particles", "")</f>
        <v/>
      </c>
      <c r="C14" s="19" t="str">
        <f t="shared" si="13"/>
        <v/>
      </c>
      <c r="D14" s="19" t="str">
        <f t="shared" si="13"/>
        <v/>
      </c>
      <c r="E14" s="19" t="str">
        <f t="shared" si="13"/>
        <v/>
      </c>
      <c r="F14" s="19" t="str">
        <f t="shared" si="13"/>
        <v/>
      </c>
      <c r="G14" s="19" t="str">
        <f t="shared" si="13"/>
        <v/>
      </c>
      <c r="H14" s="19" t="str">
        <f t="shared" si="13"/>
        <v/>
      </c>
      <c r="I14" s="19" t="str">
        <f t="shared" si="13"/>
        <v/>
      </c>
    </row>
    <row r="15" ht="14.25" hidden="1" customHeight="1">
      <c r="A15" s="138" t="str">
        <f t="shared" si="12"/>
        <v>Custom</v>
      </c>
      <c r="B15" s="19" t="str">
        <f t="shared" ref="B15:I15" si="14">IF(B5&gt;0, B5 &amp; " " &amp; LOWER(J$2) &amp; " particles", "")</f>
        <v>9 clear particles</v>
      </c>
      <c r="C15" s="19" t="str">
        <f t="shared" si="14"/>
        <v/>
      </c>
      <c r="D15" s="19" t="str">
        <f t="shared" si="14"/>
        <v/>
      </c>
      <c r="E15" s="19" t="str">
        <f t="shared" si="14"/>
        <v/>
      </c>
      <c r="F15" s="19" t="str">
        <f t="shared" si="14"/>
        <v/>
      </c>
      <c r="G15" s="19" t="str">
        <f t="shared" si="14"/>
        <v/>
      </c>
      <c r="H15" s="19" t="str">
        <f t="shared" si="14"/>
        <v/>
      </c>
      <c r="I15" s="19" t="str">
        <f t="shared" si="14"/>
        <v/>
      </c>
    </row>
    <row r="16" ht="14.25" hidden="1" customHeight="1">
      <c r="A16" s="138" t="str">
        <f t="shared" si="12"/>
        <v>12-1-1</v>
      </c>
      <c r="B16" s="19" t="str">
        <f t="shared" ref="B16:I16" si="15">IF(B6&gt;0, B6 &amp; " " &amp; LOWER(J$2) &amp; " particles", "")</f>
        <v>22 clear particles</v>
      </c>
      <c r="C16" s="19" t="str">
        <f t="shared" si="15"/>
        <v/>
      </c>
      <c r="D16" s="19" t="str">
        <f t="shared" si="15"/>
        <v>18 cryo particles</v>
      </c>
      <c r="E16" s="19" t="str">
        <f t="shared" si="15"/>
        <v/>
      </c>
      <c r="F16" s="19" t="str">
        <f t="shared" si="15"/>
        <v/>
      </c>
      <c r="G16" s="19" t="str">
        <f t="shared" si="15"/>
        <v/>
      </c>
      <c r="H16" s="19" t="str">
        <f t="shared" si="15"/>
        <v/>
      </c>
      <c r="I16" s="19" t="str">
        <f t="shared" si="15"/>
        <v>18 pyro particles</v>
      </c>
    </row>
    <row r="17" ht="14.25" hidden="1" customHeight="1">
      <c r="A17" s="138" t="str">
        <f t="shared" si="12"/>
        <v>12-1-2</v>
      </c>
      <c r="B17" s="19" t="str">
        <f t="shared" ref="B17:I17" si="16">IF(B7&gt;0, B7 &amp; " " &amp; LOWER(J$2) &amp; " particles", "")</f>
        <v/>
      </c>
      <c r="C17" s="19" t="str">
        <f t="shared" si="16"/>
        <v/>
      </c>
      <c r="D17" s="19" t="str">
        <f t="shared" si="16"/>
        <v>10 cryo particles</v>
      </c>
      <c r="E17" s="19" t="str">
        <f t="shared" si="16"/>
        <v/>
      </c>
      <c r="F17" s="19" t="str">
        <f t="shared" si="16"/>
        <v/>
      </c>
      <c r="G17" s="19" t="str">
        <f t="shared" si="16"/>
        <v/>
      </c>
      <c r="H17" s="19" t="str">
        <f t="shared" si="16"/>
        <v>14 hydro particles</v>
      </c>
      <c r="I17" s="19" t="str">
        <f t="shared" si="16"/>
        <v/>
      </c>
    </row>
    <row r="18" ht="14.25" hidden="1" customHeight="1">
      <c r="A18" s="138" t="str">
        <f t="shared" si="12"/>
        <v>12-2-1</v>
      </c>
      <c r="B18" s="19" t="str">
        <f t="shared" ref="B18:I18" si="17">IF(B8&gt;0, B8 &amp; " " &amp; LOWER(J$2) &amp; " particles", "")</f>
        <v/>
      </c>
      <c r="C18" s="19" t="str">
        <f t="shared" si="17"/>
        <v/>
      </c>
      <c r="D18" s="19" t="str">
        <f t="shared" si="17"/>
        <v/>
      </c>
      <c r="E18" s="19" t="str">
        <f t="shared" si="17"/>
        <v>6 dendro particles</v>
      </c>
      <c r="F18" s="19" t="str">
        <f t="shared" si="17"/>
        <v/>
      </c>
      <c r="G18" s="19" t="str">
        <f t="shared" si="17"/>
        <v/>
      </c>
      <c r="H18" s="19" t="str">
        <f t="shared" si="17"/>
        <v/>
      </c>
      <c r="I18" s="19" t="str">
        <f t="shared" si="17"/>
        <v/>
      </c>
    </row>
    <row r="19" ht="14.25" hidden="1" customHeight="1">
      <c r="A19" s="138" t="str">
        <f t="shared" si="12"/>
        <v>12-2-2</v>
      </c>
      <c r="B19" s="19" t="str">
        <f t="shared" ref="B19:I19" si="18">IF(B9&gt;0, B9 &amp; " " &amp; LOWER(J$2) &amp; " particles", "")</f>
        <v/>
      </c>
      <c r="C19" s="19" t="str">
        <f t="shared" si="18"/>
        <v/>
      </c>
      <c r="D19" s="19" t="str">
        <f t="shared" si="18"/>
        <v/>
      </c>
      <c r="E19" s="19" t="str">
        <f t="shared" si="18"/>
        <v/>
      </c>
      <c r="F19" s="19" t="str">
        <f t="shared" si="18"/>
        <v>9 electro particles</v>
      </c>
      <c r="G19" s="19" t="str">
        <f t="shared" si="18"/>
        <v/>
      </c>
      <c r="H19" s="19" t="str">
        <f t="shared" si="18"/>
        <v/>
      </c>
      <c r="I19" s="19" t="str">
        <f t="shared" si="18"/>
        <v/>
      </c>
    </row>
    <row r="20" ht="14.25" hidden="1" customHeight="1">
      <c r="A20" s="138" t="str">
        <f t="shared" si="12"/>
        <v>12-3-1</v>
      </c>
      <c r="B20" s="19" t="str">
        <f t="shared" ref="B20:I20" si="19">IF(B10&gt;0, B10 &amp; " " &amp; LOWER(J$2) &amp; " particles", "")</f>
        <v/>
      </c>
      <c r="C20" s="19" t="str">
        <f t="shared" si="19"/>
        <v/>
      </c>
      <c r="D20" s="19" t="str">
        <f t="shared" si="19"/>
        <v/>
      </c>
      <c r="E20" s="19" t="str">
        <f t="shared" si="19"/>
        <v>14 dendro particles</v>
      </c>
      <c r="F20" s="19" t="str">
        <f t="shared" si="19"/>
        <v/>
      </c>
      <c r="G20" s="19" t="str">
        <f t="shared" si="19"/>
        <v/>
      </c>
      <c r="H20" s="19" t="str">
        <f t="shared" si="19"/>
        <v>14 hydro particles</v>
      </c>
      <c r="I20" s="19" t="str">
        <f t="shared" si="19"/>
        <v/>
      </c>
    </row>
    <row r="21" ht="14.25" hidden="1" customHeight="1">
      <c r="A21" s="138" t="str">
        <f t="shared" si="12"/>
        <v>12-3-2</v>
      </c>
      <c r="B21" s="19" t="str">
        <f t="shared" ref="B21:I21" si="20">IF(B11&gt;0, B11 &amp; " " &amp; LOWER(J$2) &amp; " particles", "")</f>
        <v>9 clear particles</v>
      </c>
      <c r="C21" s="19" t="str">
        <f t="shared" si="20"/>
        <v/>
      </c>
      <c r="D21" s="19" t="str">
        <f t="shared" si="20"/>
        <v/>
      </c>
      <c r="E21" s="19" t="str">
        <f t="shared" si="20"/>
        <v/>
      </c>
      <c r="F21" s="19" t="str">
        <f t="shared" si="20"/>
        <v/>
      </c>
      <c r="G21" s="19" t="str">
        <f t="shared" si="20"/>
        <v/>
      </c>
      <c r="H21" s="19" t="str">
        <f t="shared" si="20"/>
        <v/>
      </c>
      <c r="I21" s="19" t="str">
        <f t="shared" si="20"/>
        <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1:I1"/>
    <mergeCell ref="J1:Q1"/>
  </mergeCells>
  <printOptions/>
  <pageMargins bottom="0.75" footer="0.0" header="0.0" left="0.7" right="0.7" top="0.75"/>
  <pageSetup paperSize="9" orientation="portrait"/>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39" t="s">
        <v>110</v>
      </c>
    </row>
    <row r="2" ht="14.25" customHeight="1">
      <c r="A2" s="19" t="s">
        <v>374</v>
      </c>
    </row>
    <row r="3" ht="14.25" customHeight="1"/>
    <row r="4" ht="14.25" customHeight="1">
      <c r="A4" s="139" t="s">
        <v>375</v>
      </c>
    </row>
    <row r="5" ht="14.25" customHeight="1">
      <c r="A5" s="19" t="s">
        <v>376</v>
      </c>
    </row>
    <row r="6" ht="14.25" customHeight="1"/>
    <row r="7" ht="14.25" customHeight="1">
      <c r="A7" s="139" t="s">
        <v>377</v>
      </c>
    </row>
    <row r="8" ht="14.25" customHeight="1">
      <c r="A8" s="19" t="s">
        <v>378</v>
      </c>
    </row>
    <row r="9" ht="14.25" customHeight="1"/>
    <row r="10" ht="14.25" customHeight="1">
      <c r="A10" s="139" t="s">
        <v>379</v>
      </c>
    </row>
    <row r="11" ht="14.25" customHeight="1">
      <c r="A11" s="19" t="s">
        <v>380</v>
      </c>
    </row>
    <row r="12" ht="14.25" customHeight="1">
      <c r="A12" s="19" t="s">
        <v>381</v>
      </c>
    </row>
    <row r="13" ht="14.25" customHeight="1"/>
    <row r="14" ht="14.25" customHeight="1">
      <c r="A14" s="139" t="s">
        <v>382</v>
      </c>
    </row>
    <row r="15" ht="14.25" customHeight="1">
      <c r="A15" s="19" t="s">
        <v>383</v>
      </c>
    </row>
    <row r="16" ht="14.25" customHeight="1"/>
    <row r="17" ht="14.25" customHeight="1">
      <c r="A17" s="139" t="s">
        <v>384</v>
      </c>
    </row>
    <row r="18" ht="14.25" customHeight="1">
      <c r="A18" s="19" t="s">
        <v>385</v>
      </c>
    </row>
    <row r="19" ht="14.25" customHeight="1"/>
    <row r="20" ht="14.25" customHeight="1">
      <c r="A20" s="139" t="s">
        <v>386</v>
      </c>
    </row>
    <row r="21" ht="14.25" customHeight="1">
      <c r="A21" s="19" t="s">
        <v>387</v>
      </c>
    </row>
    <row r="22" ht="14.25" customHeight="1"/>
    <row r="23" ht="14.25" customHeight="1">
      <c r="A23" s="139" t="s">
        <v>388</v>
      </c>
    </row>
    <row r="24" ht="14.25" customHeight="1">
      <c r="A24" s="19" t="s">
        <v>389</v>
      </c>
    </row>
    <row r="25" ht="14.25" customHeight="1"/>
    <row r="26" ht="14.25" customHeight="1">
      <c r="A26" s="139" t="s">
        <v>390</v>
      </c>
    </row>
    <row r="27" ht="14.25" customHeight="1">
      <c r="A27" s="19" t="s">
        <v>391</v>
      </c>
    </row>
    <row r="28" ht="14.25" customHeight="1">
      <c r="A28" s="19" t="s">
        <v>392</v>
      </c>
    </row>
    <row r="29" ht="14.25" customHeight="1">
      <c r="A29" s="19" t="s">
        <v>393</v>
      </c>
    </row>
    <row r="30" ht="14.25" customHeight="1">
      <c r="A30" s="19" t="s">
        <v>394</v>
      </c>
    </row>
    <row r="31" ht="14.25" customHeight="1"/>
    <row r="32" ht="14.25" customHeight="1">
      <c r="A32" s="139" t="s">
        <v>395</v>
      </c>
    </row>
    <row r="33" ht="14.25" customHeight="1">
      <c r="A33" s="19" t="s">
        <v>396</v>
      </c>
    </row>
    <row r="34" ht="14.25" customHeight="1">
      <c r="A34" s="19" t="s">
        <v>397</v>
      </c>
    </row>
    <row r="35" ht="14.25" customHeight="1">
      <c r="A35" s="19" t="s">
        <v>398</v>
      </c>
    </row>
    <row r="36" ht="14.25" customHeight="1"/>
    <row r="37" ht="14.25" customHeight="1">
      <c r="A37" s="139" t="s">
        <v>399</v>
      </c>
    </row>
    <row r="38" ht="14.25" customHeight="1">
      <c r="A38" s="19" t="s">
        <v>400</v>
      </c>
    </row>
    <row r="39" ht="14.25" customHeight="1">
      <c r="A39" s="19" t="s">
        <v>401</v>
      </c>
    </row>
    <row r="40" ht="14.25" customHeight="1"/>
    <row r="41" ht="14.25" customHeight="1">
      <c r="A41" s="139" t="s">
        <v>402</v>
      </c>
    </row>
    <row r="42" ht="14.25" customHeight="1">
      <c r="A42" s="19" t="s">
        <v>403</v>
      </c>
    </row>
    <row r="43" ht="14.25" customHeight="1"/>
    <row r="44" ht="14.25" customHeight="1">
      <c r="A44" s="139" t="s">
        <v>404</v>
      </c>
    </row>
    <row r="45" ht="14.25" customHeight="1">
      <c r="A45" s="19" t="s">
        <v>405</v>
      </c>
    </row>
    <row r="46" ht="14.25" customHeight="1"/>
    <row r="47" ht="14.25" customHeight="1">
      <c r="A47" s="139" t="s">
        <v>406</v>
      </c>
    </row>
    <row r="48" ht="14.25" customHeight="1">
      <c r="A48" s="19" t="s">
        <v>407</v>
      </c>
    </row>
    <row r="49" ht="14.25" customHeight="1">
      <c r="A49" s="19" t="s">
        <v>408</v>
      </c>
    </row>
    <row r="50" ht="14.25" customHeight="1">
      <c r="A50" s="19" t="s">
        <v>409</v>
      </c>
    </row>
    <row r="51" ht="14.25" customHeight="1"/>
    <row r="52" ht="14.25" customHeight="1">
      <c r="A52" s="139" t="s">
        <v>410</v>
      </c>
    </row>
    <row r="53" ht="14.25" customHeight="1">
      <c r="A53" s="19" t="s">
        <v>411</v>
      </c>
    </row>
    <row r="54" ht="14.25" customHeight="1"/>
    <row r="55" ht="14.25" customHeight="1">
      <c r="A55" s="139" t="s">
        <v>412</v>
      </c>
    </row>
    <row r="56" ht="14.25" customHeight="1">
      <c r="A56" s="19" t="s">
        <v>413</v>
      </c>
    </row>
    <row r="57" ht="14.25" customHeight="1">
      <c r="A57" s="19" t="s">
        <v>414</v>
      </c>
    </row>
    <row r="58" ht="14.25" customHeight="1"/>
    <row r="59" ht="14.25" customHeight="1">
      <c r="A59" s="139" t="s">
        <v>415</v>
      </c>
    </row>
    <row r="60" ht="14.25" customHeight="1">
      <c r="A60" s="19" t="s">
        <v>416</v>
      </c>
    </row>
    <row r="61" ht="14.25" customHeight="1"/>
    <row r="62" ht="14.25" customHeight="1">
      <c r="A62" s="139" t="s">
        <v>417</v>
      </c>
    </row>
    <row r="63" ht="14.25" customHeight="1">
      <c r="A63" s="19" t="s">
        <v>418</v>
      </c>
    </row>
    <row r="64" ht="14.25" customHeight="1"/>
    <row r="65" ht="14.25" customHeight="1">
      <c r="A65" s="139" t="s">
        <v>419</v>
      </c>
    </row>
    <row r="66" ht="14.25" customHeight="1">
      <c r="A66" s="19" t="s">
        <v>420</v>
      </c>
    </row>
    <row r="67" ht="14.25" customHeight="1"/>
    <row r="68" ht="14.25" customHeight="1">
      <c r="A68" s="139" t="s">
        <v>421</v>
      </c>
    </row>
    <row r="69" ht="14.25" customHeight="1">
      <c r="A69" s="19" t="s">
        <v>422</v>
      </c>
    </row>
    <row r="70" ht="14.25" customHeight="1"/>
    <row r="71" ht="14.25" customHeight="1">
      <c r="A71" s="139" t="s">
        <v>423</v>
      </c>
    </row>
    <row r="72" ht="14.25" customHeight="1">
      <c r="A72" s="19" t="s">
        <v>424</v>
      </c>
    </row>
    <row r="73" ht="14.25" customHeight="1">
      <c r="A73" s="19" t="s">
        <v>425</v>
      </c>
    </row>
    <row r="74" ht="14.25" customHeight="1"/>
    <row r="75" ht="14.25" customHeight="1">
      <c r="A75" s="139" t="s">
        <v>426</v>
      </c>
    </row>
    <row r="76" ht="14.25" customHeight="1">
      <c r="A76" s="19" t="s">
        <v>427</v>
      </c>
    </row>
    <row r="77" ht="14.25" customHeight="1"/>
    <row r="78" ht="14.25" customHeight="1">
      <c r="A78" s="139" t="s">
        <v>428</v>
      </c>
    </row>
    <row r="79" ht="14.25" customHeight="1">
      <c r="A79" s="19" t="s">
        <v>429</v>
      </c>
    </row>
    <row r="80" ht="14.25" customHeight="1"/>
    <row r="81" ht="14.25" customHeight="1">
      <c r="A81" s="139" t="s">
        <v>430</v>
      </c>
    </row>
    <row r="82" ht="14.25" customHeight="1">
      <c r="A82" s="19" t="s">
        <v>431</v>
      </c>
    </row>
    <row r="83" ht="14.25" customHeight="1">
      <c r="A83" s="19" t="s">
        <v>432</v>
      </c>
    </row>
    <row r="84" ht="14.25" customHeight="1"/>
    <row r="85" ht="14.25" customHeight="1">
      <c r="A85" s="139" t="s">
        <v>433</v>
      </c>
    </row>
    <row r="86" ht="14.25" customHeight="1">
      <c r="A86" s="19" t="s">
        <v>434</v>
      </c>
    </row>
    <row r="87" ht="14.25" customHeight="1">
      <c r="A87" s="19" t="s">
        <v>435</v>
      </c>
    </row>
    <row r="88" ht="14.25" customHeight="1"/>
    <row r="89" ht="14.25" customHeight="1">
      <c r="A89" s="139" t="s">
        <v>436</v>
      </c>
    </row>
    <row r="90" ht="14.25" customHeight="1">
      <c r="A90" s="19" t="s">
        <v>437</v>
      </c>
    </row>
    <row r="91" ht="14.25" customHeight="1"/>
    <row r="92" ht="14.25" customHeight="1">
      <c r="A92" s="139" t="s">
        <v>438</v>
      </c>
    </row>
    <row r="93" ht="14.25" customHeight="1">
      <c r="A93" s="19" t="s">
        <v>439</v>
      </c>
    </row>
    <row r="94" ht="14.25" customHeight="1"/>
    <row r="95" ht="14.25" customHeight="1">
      <c r="A95" s="139" t="s">
        <v>440</v>
      </c>
    </row>
    <row r="96" ht="14.25" customHeight="1">
      <c r="A96" s="19" t="s">
        <v>441</v>
      </c>
    </row>
    <row r="97" ht="14.25" customHeight="1"/>
    <row r="98" ht="14.25" customHeight="1">
      <c r="A98" s="139" t="s">
        <v>442</v>
      </c>
    </row>
    <row r="99" ht="14.25" customHeight="1">
      <c r="A99" s="19" t="s">
        <v>443</v>
      </c>
    </row>
    <row r="100" ht="14.25" customHeight="1"/>
    <row r="101" ht="14.25" customHeight="1">
      <c r="A101" s="139" t="s">
        <v>444</v>
      </c>
    </row>
    <row r="102" ht="14.25" customHeight="1">
      <c r="A102" s="19" t="s">
        <v>445</v>
      </c>
    </row>
    <row r="103" ht="14.25" customHeight="1"/>
    <row r="104" ht="14.25" customHeight="1">
      <c r="A104" s="139" t="s">
        <v>446</v>
      </c>
    </row>
    <row r="105" ht="14.25" customHeight="1">
      <c r="A105" s="19" t="s">
        <v>447</v>
      </c>
    </row>
    <row r="106" ht="14.25" customHeight="1"/>
    <row r="107" ht="14.25" customHeight="1">
      <c r="A107" s="139" t="s">
        <v>448</v>
      </c>
    </row>
    <row r="108" ht="14.25" customHeight="1">
      <c r="A108" s="19" t="s">
        <v>449</v>
      </c>
    </row>
    <row r="109" ht="14.25" customHeight="1"/>
    <row r="110" ht="14.25" customHeight="1">
      <c r="A110" s="139" t="s">
        <v>450</v>
      </c>
    </row>
    <row r="111" ht="14.25" customHeight="1">
      <c r="A111" s="19" t="s">
        <v>451</v>
      </c>
    </row>
    <row r="112" ht="14.25" customHeight="1">
      <c r="A112" s="19" t="s">
        <v>452</v>
      </c>
    </row>
    <row r="113" ht="14.25" customHeight="1"/>
    <row r="114" ht="14.25" customHeight="1">
      <c r="A114" s="139" t="s">
        <v>453</v>
      </c>
    </row>
    <row r="115" ht="14.25" customHeight="1">
      <c r="A115" s="19" t="s">
        <v>454</v>
      </c>
    </row>
    <row r="116" ht="14.25" customHeight="1"/>
    <row r="117" ht="14.25" customHeight="1">
      <c r="A117" s="139" t="s">
        <v>455</v>
      </c>
    </row>
    <row r="118" ht="14.25" customHeight="1">
      <c r="A118" s="19" t="s">
        <v>456</v>
      </c>
    </row>
    <row r="119" ht="14.25" customHeight="1"/>
    <row r="120" ht="14.25" customHeight="1">
      <c r="A120" s="139" t="s">
        <v>457</v>
      </c>
    </row>
    <row r="121" ht="14.25" customHeight="1">
      <c r="A121" s="19" t="s">
        <v>458</v>
      </c>
    </row>
    <row r="122" ht="14.25" customHeight="1"/>
    <row r="123" ht="14.25" customHeight="1">
      <c r="A123" s="139" t="s">
        <v>459</v>
      </c>
    </row>
    <row r="124" ht="14.25" customHeight="1">
      <c r="A124" s="19" t="s">
        <v>460</v>
      </c>
    </row>
    <row r="125" ht="14.25" customHeight="1"/>
    <row r="126" ht="14.25" customHeight="1">
      <c r="A126" s="139" t="s">
        <v>461</v>
      </c>
    </row>
    <row r="127" ht="14.25" customHeight="1">
      <c r="A127" s="19" t="s">
        <v>462</v>
      </c>
    </row>
    <row r="128" ht="14.25" customHeight="1"/>
    <row r="129" ht="14.25" customHeight="1">
      <c r="A129" s="139" t="s">
        <v>463</v>
      </c>
    </row>
    <row r="130" ht="14.25" customHeight="1">
      <c r="A130" s="19" t="s">
        <v>464</v>
      </c>
    </row>
    <row r="131" ht="14.25" customHeight="1"/>
    <row r="132" ht="14.25" customHeight="1">
      <c r="A132" s="139" t="s">
        <v>465</v>
      </c>
    </row>
    <row r="133" ht="14.25" customHeight="1">
      <c r="A133" s="19" t="s">
        <v>466</v>
      </c>
    </row>
    <row r="134" ht="14.25" customHeight="1"/>
    <row r="135" ht="14.25" customHeight="1">
      <c r="A135" s="139" t="s">
        <v>467</v>
      </c>
    </row>
    <row r="136" ht="14.25" customHeight="1">
      <c r="A136" s="19" t="s">
        <v>468</v>
      </c>
    </row>
    <row r="137" ht="14.25" customHeight="1"/>
    <row r="138" ht="14.25" customHeight="1">
      <c r="A138" s="139" t="s">
        <v>469</v>
      </c>
    </row>
    <row r="139" ht="14.25" customHeight="1">
      <c r="A139" s="19" t="s">
        <v>470</v>
      </c>
    </row>
    <row r="140" ht="14.25" customHeight="1"/>
    <row r="141" ht="14.25" customHeight="1">
      <c r="A141" s="139" t="s">
        <v>471</v>
      </c>
    </row>
    <row r="142" ht="14.25" customHeight="1">
      <c r="A142" s="19" t="s">
        <v>472</v>
      </c>
    </row>
    <row r="143" ht="14.25" customHeight="1"/>
    <row r="144" ht="14.25" customHeight="1">
      <c r="A144" s="139" t="s">
        <v>473</v>
      </c>
    </row>
    <row r="145" ht="14.25" customHeight="1">
      <c r="A145" s="19" t="s">
        <v>474</v>
      </c>
    </row>
    <row r="146" ht="14.25" customHeight="1"/>
    <row r="147" ht="14.25" customHeight="1">
      <c r="A147" s="139" t="s">
        <v>475</v>
      </c>
    </row>
    <row r="148" ht="14.25" customHeight="1">
      <c r="A148" s="19" t="s">
        <v>476</v>
      </c>
    </row>
    <row r="149" ht="14.25" customHeight="1">
      <c r="A149" s="19" t="s">
        <v>477</v>
      </c>
    </row>
    <row r="150" ht="14.25" customHeight="1"/>
    <row r="151" ht="14.25" customHeight="1">
      <c r="A151" s="139" t="s">
        <v>478</v>
      </c>
    </row>
    <row r="152" ht="14.25" customHeight="1">
      <c r="A152" s="19" t="s">
        <v>479</v>
      </c>
    </row>
    <row r="153" ht="14.25" customHeight="1">
      <c r="A153" s="19" t="s">
        <v>480</v>
      </c>
    </row>
    <row r="154" ht="14.25" customHeight="1"/>
    <row r="155" ht="14.25" customHeight="1">
      <c r="A155" s="139" t="s">
        <v>481</v>
      </c>
    </row>
    <row r="156" ht="14.25" customHeight="1">
      <c r="A156" s="19" t="s">
        <v>482</v>
      </c>
    </row>
    <row r="157" ht="14.25" customHeight="1"/>
    <row r="158" ht="14.25" customHeight="1">
      <c r="A158" s="139" t="s">
        <v>483</v>
      </c>
    </row>
    <row r="159" ht="14.25" customHeight="1">
      <c r="A159" s="19" t="s">
        <v>484</v>
      </c>
    </row>
    <row r="160" ht="14.25" customHeight="1"/>
    <row r="161" ht="14.25" customHeight="1">
      <c r="A161" s="139" t="s">
        <v>485</v>
      </c>
    </row>
    <row r="162" ht="14.25" customHeight="1">
      <c r="A162" s="19" t="s">
        <v>486</v>
      </c>
    </row>
    <row r="163" ht="14.25" customHeight="1"/>
    <row r="164" ht="14.25" customHeight="1">
      <c r="A164" s="139" t="s">
        <v>487</v>
      </c>
    </row>
    <row r="165" ht="14.25" customHeight="1">
      <c r="A165" s="19" t="s">
        <v>488</v>
      </c>
    </row>
    <row r="166" ht="14.25" customHeight="1"/>
    <row r="167" ht="14.25" customHeight="1">
      <c r="A167" s="139" t="s">
        <v>489</v>
      </c>
    </row>
    <row r="168" ht="14.25" customHeight="1">
      <c r="A168" s="19" t="s">
        <v>490</v>
      </c>
    </row>
    <row r="169" ht="14.25" customHeight="1">
      <c r="A169" s="19" t="s">
        <v>491</v>
      </c>
    </row>
    <row r="170" ht="14.25" customHeight="1">
      <c r="A170" s="19" t="s">
        <v>492</v>
      </c>
    </row>
    <row r="171" ht="14.25" customHeight="1">
      <c r="A171" s="19" t="s">
        <v>493</v>
      </c>
    </row>
    <row r="172" ht="14.25" customHeight="1"/>
    <row r="173" ht="14.25" customHeight="1">
      <c r="A173" s="139" t="s">
        <v>494</v>
      </c>
    </row>
    <row r="174" ht="14.25" customHeight="1">
      <c r="A174" s="19" t="s">
        <v>495</v>
      </c>
    </row>
    <row r="175" ht="14.25" customHeight="1"/>
    <row r="176" ht="14.25" customHeight="1">
      <c r="A176" s="139" t="s">
        <v>496</v>
      </c>
    </row>
    <row r="177" ht="14.25" customHeight="1">
      <c r="A177" s="19" t="s">
        <v>497</v>
      </c>
    </row>
    <row r="178" ht="14.25" customHeight="1"/>
    <row r="179" ht="14.25" customHeight="1">
      <c r="A179" s="139" t="s">
        <v>498</v>
      </c>
    </row>
    <row r="180" ht="14.25" customHeight="1">
      <c r="A180" s="19" t="s">
        <v>499</v>
      </c>
    </row>
    <row r="181" ht="14.25" customHeight="1"/>
    <row r="182" ht="14.25" customHeight="1">
      <c r="A182" s="139" t="s">
        <v>500</v>
      </c>
    </row>
    <row r="183" ht="14.25" customHeight="1">
      <c r="A183" s="19" t="s">
        <v>501</v>
      </c>
    </row>
    <row r="184" ht="14.25" customHeight="1"/>
    <row r="185" ht="14.25" customHeight="1">
      <c r="A185" s="139" t="s">
        <v>502</v>
      </c>
    </row>
    <row r="186" ht="14.25" customHeight="1">
      <c r="A186" s="19" t="s">
        <v>503</v>
      </c>
    </row>
    <row r="187" ht="14.25" customHeight="1">
      <c r="A187" s="19" t="s">
        <v>504</v>
      </c>
    </row>
    <row r="188" ht="14.25" customHeight="1">
      <c r="A188" s="19" t="s">
        <v>505</v>
      </c>
    </row>
    <row r="189" ht="14.25" customHeight="1">
      <c r="A189" s="19" t="s">
        <v>506</v>
      </c>
    </row>
    <row r="190" ht="14.25" customHeight="1"/>
    <row r="191" ht="14.25" customHeight="1">
      <c r="A191" s="139" t="s">
        <v>507</v>
      </c>
    </row>
    <row r="192" ht="14.25" customHeight="1">
      <c r="A192" s="19" t="s">
        <v>508</v>
      </c>
    </row>
    <row r="193" ht="14.25" customHeight="1">
      <c r="A193" s="19" t="s">
        <v>509</v>
      </c>
    </row>
    <row r="194" ht="14.25" customHeight="1"/>
    <row r="195" ht="14.25" customHeight="1">
      <c r="A195" s="139" t="s">
        <v>510</v>
      </c>
    </row>
    <row r="196" ht="14.25" customHeight="1">
      <c r="A196" s="19" t="s">
        <v>511</v>
      </c>
    </row>
    <row r="197" ht="14.25" customHeight="1">
      <c r="A197" s="19" t="s">
        <v>512</v>
      </c>
    </row>
    <row r="198" ht="14.25" customHeight="1"/>
    <row r="199" ht="14.25" customHeight="1">
      <c r="A199" s="139" t="s">
        <v>513</v>
      </c>
    </row>
    <row r="200" ht="14.25" customHeight="1">
      <c r="A200" s="19" t="s">
        <v>514</v>
      </c>
    </row>
    <row r="201" ht="14.25" customHeight="1"/>
    <row r="202" ht="14.25" customHeight="1">
      <c r="A202" s="139" t="s">
        <v>515</v>
      </c>
    </row>
    <row r="203" ht="14.25" customHeight="1">
      <c r="A203" s="19" t="s">
        <v>516</v>
      </c>
    </row>
    <row r="204" ht="14.25" customHeight="1"/>
    <row r="205" ht="14.25" customHeight="1">
      <c r="A205" s="139" t="s">
        <v>517</v>
      </c>
    </row>
    <row r="206" ht="14.25" customHeight="1">
      <c r="A206" s="19" t="s">
        <v>518</v>
      </c>
    </row>
    <row r="207" ht="14.25" customHeight="1"/>
    <row r="208" ht="14.25" customHeight="1">
      <c r="A208" s="139" t="s">
        <v>519</v>
      </c>
    </row>
    <row r="209" ht="14.25" customHeight="1">
      <c r="A209" s="19" t="s">
        <v>520</v>
      </c>
    </row>
    <row r="210" ht="14.25" customHeight="1"/>
    <row r="211" ht="14.25" customHeight="1">
      <c r="A211" s="139" t="s">
        <v>521</v>
      </c>
    </row>
    <row r="212" ht="14.25" customHeight="1">
      <c r="A212" s="19" t="s">
        <v>522</v>
      </c>
    </row>
    <row r="213" ht="14.25" customHeight="1">
      <c r="A213" s="19" t="s">
        <v>523</v>
      </c>
    </row>
    <row r="214" ht="14.25" customHeight="1"/>
    <row r="215" ht="14.25" customHeight="1">
      <c r="A215" s="139" t="s">
        <v>524</v>
      </c>
    </row>
    <row r="216" ht="14.25" customHeight="1">
      <c r="A216" s="19" t="s">
        <v>525</v>
      </c>
    </row>
    <row r="217" ht="14.25" customHeight="1">
      <c r="A217" s="19" t="s">
        <v>526</v>
      </c>
    </row>
    <row r="218" ht="14.25" customHeight="1">
      <c r="A218" s="19" t="s">
        <v>527</v>
      </c>
    </row>
    <row r="219" ht="14.25" customHeight="1">
      <c r="A219" s="19" t="s">
        <v>528</v>
      </c>
    </row>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hidden="1" min="2" max="2" width="8.71"/>
    <col customWidth="1" min="3" max="6" width="8.71"/>
    <col customWidth="1" min="7" max="7" width="3.14"/>
    <col customWidth="1" min="8" max="8" width="83.14"/>
    <col customWidth="1" min="9" max="26" width="8.71"/>
  </cols>
  <sheetData>
    <row r="1" ht="14.25" customHeight="1">
      <c r="A1" s="140" t="s">
        <v>529</v>
      </c>
      <c r="B1" s="61"/>
      <c r="C1" s="61"/>
      <c r="D1" s="61"/>
      <c r="E1" s="61"/>
      <c r="F1" s="9"/>
    </row>
    <row r="2" ht="14.25" customHeight="1">
      <c r="A2" s="16" t="s">
        <v>530</v>
      </c>
      <c r="B2" s="9"/>
      <c r="C2" s="141" t="s">
        <v>531</v>
      </c>
      <c r="D2" s="141" t="s">
        <v>532</v>
      </c>
      <c r="E2" s="141" t="s">
        <v>533</v>
      </c>
      <c r="F2" s="141" t="s">
        <v>534</v>
      </c>
    </row>
    <row r="3" ht="14.25" customHeight="1">
      <c r="A3" s="142" t="str">
        <f>IF(ISBLANK(Calculations!$B3), Calculations!$A3, CONCATENATE(Calculations!$A3, " (", Calculations!$B3, ")"))</f>
        <v>Albedo</v>
      </c>
      <c r="B3" s="142" t="str">
        <f>Calculations!$C3</f>
        <v>Geo</v>
      </c>
      <c r="C3" s="27">
        <f>Calculations!S3</f>
        <v>3.200682812</v>
      </c>
      <c r="D3" s="27">
        <f>Calculations!T3</f>
        <v>2.3189302</v>
      </c>
      <c r="E3" s="27">
        <f>Calculations!U3</f>
        <v>1.566088954</v>
      </c>
      <c r="F3" s="27">
        <f>Calculations!V3</f>
        <v>1.076086489</v>
      </c>
      <c r="H3" s="19" t="s">
        <v>535</v>
      </c>
    </row>
    <row r="4" ht="14.25" customHeight="1">
      <c r="A4" s="142" t="str">
        <f>IF(ISBLANK(Calculations!$B4), Calculations!$A4, CONCATENATE(Calculations!$A4, " (", Calculations!$B4, ")"))</f>
        <v>Amber</v>
      </c>
      <c r="B4" s="24" t="str">
        <f>Calculations!$C4</f>
        <v>Pyro</v>
      </c>
      <c r="C4" s="27">
        <f>Calculations!S4</f>
        <v>2.274622792</v>
      </c>
      <c r="D4" s="27">
        <f>Calculations!T4</f>
        <v>1.790724049</v>
      </c>
      <c r="E4" s="27">
        <f>Calculations!U4</f>
        <v>1.305937663</v>
      </c>
      <c r="F4" s="27">
        <f>Calculations!V4</f>
        <v>1</v>
      </c>
    </row>
    <row r="5" ht="14.25" customHeight="1">
      <c r="A5" s="142" t="str">
        <f>IF(ISBLANK(Calculations!$B5), Calculations!$A5, CONCATENATE(Calculations!$A5, " (", Calculations!$B5, ")"))</f>
        <v>Barbara</v>
      </c>
      <c r="B5" s="143" t="str">
        <f>Calculations!$C5</f>
        <v>Hydro</v>
      </c>
      <c r="C5" s="27">
        <f>Calculations!S5</f>
        <v>8.769792935</v>
      </c>
      <c r="D5" s="27">
        <f>Calculations!T5</f>
        <v>4.694223497</v>
      </c>
      <c r="E5" s="27">
        <f>Calculations!U5</f>
        <v>2.592165899</v>
      </c>
      <c r="F5" s="27">
        <f>Calculations!V5</f>
        <v>1.592159499</v>
      </c>
      <c r="H5" s="19" t="s">
        <v>535</v>
      </c>
    </row>
    <row r="6" ht="14.25" customHeight="1">
      <c r="A6" s="142" t="str">
        <f>IF(ISBLANK(Calculations!$B6), Calculations!$A6, CONCATENATE(Calculations!$A6, " (", Calculations!$B6, ")"))</f>
        <v>Beidou</v>
      </c>
      <c r="B6" s="144" t="str">
        <f>Calculations!$C6</f>
        <v>Electro</v>
      </c>
      <c r="C6" s="27">
        <f>Calculations!S6</f>
        <v>3.265898576</v>
      </c>
      <c r="D6" s="27">
        <f>Calculations!T6</f>
        <v>2.467950915</v>
      </c>
      <c r="E6" s="27">
        <f>Calculations!U6</f>
        <v>1.730270114</v>
      </c>
      <c r="F6" s="27">
        <f>Calculations!V6</f>
        <v>1.219148763</v>
      </c>
      <c r="H6" s="19" t="s">
        <v>536</v>
      </c>
    </row>
    <row r="7" ht="14.25" customHeight="1">
      <c r="A7" s="142" t="str">
        <f>IF(ISBLANK(Calculations!$B7), Calculations!$A7, CONCATENATE(Calculations!$A7, " (", Calculations!$B7, ")"))</f>
        <v>Bennett (carry)</v>
      </c>
      <c r="B7" s="19" t="str">
        <f>Calculations!$C7</f>
        <v>Pyro</v>
      </c>
      <c r="C7" s="27">
        <f>Calculations!S7</f>
        <v>1.227454056</v>
      </c>
      <c r="D7" s="27">
        <f>Calculations!T7</f>
        <v>1.094457787</v>
      </c>
      <c r="E7" s="27">
        <f>Calculations!U7</f>
        <v>1</v>
      </c>
      <c r="F7" s="27">
        <f>Calculations!V7</f>
        <v>1</v>
      </c>
    </row>
    <row r="8" ht="14.25" customHeight="1">
      <c r="A8" s="142" t="str">
        <f>IF(ISBLANK(Calculations!$B8), Calculations!$A8, CONCATENATE(Calculations!$A8, " (", Calculations!$B8, ")"))</f>
        <v>Bennett (support)</v>
      </c>
      <c r="B8" s="19" t="str">
        <f>Calculations!$C8</f>
        <v>Pyro</v>
      </c>
      <c r="C8" s="27">
        <f>Calculations!S8</f>
        <v>2.909561141</v>
      </c>
      <c r="D8" s="27">
        <f>Calculations!T8</f>
        <v>2.258894397</v>
      </c>
      <c r="E8" s="27">
        <f>Calculations!U8</f>
        <v>1.624842029</v>
      </c>
      <c r="F8" s="27">
        <f>Calculations!V8</f>
        <v>1.165848414</v>
      </c>
    </row>
    <row r="9" ht="14.25" customHeight="1">
      <c r="A9" s="142" t="str">
        <f>IF(ISBLANK(Calculations!$B9), Calculations!$A9, CONCATENATE(Calculations!$A9, " (", Calculations!$B9, ")"))</f>
        <v>Chongyun</v>
      </c>
      <c r="B9" s="19" t="str">
        <f>Calculations!$C9</f>
        <v>Cryo</v>
      </c>
      <c r="C9" s="27">
        <f>Calculations!S9</f>
        <v>2.274622792</v>
      </c>
      <c r="D9" s="27">
        <f>Calculations!T9</f>
        <v>1.790724049</v>
      </c>
      <c r="E9" s="27">
        <f>Calculations!U9</f>
        <v>1.305937663</v>
      </c>
      <c r="F9" s="27">
        <f>Calculations!V9</f>
        <v>1</v>
      </c>
      <c r="H9" s="19" t="s">
        <v>535</v>
      </c>
    </row>
    <row r="10" ht="14.25" customHeight="1">
      <c r="A10" s="142" t="str">
        <f>IF(ISBLANK(Calculations!$B10), Calculations!$A10, CONCATENATE(Calculations!$A10, " (", Calculations!$B10, ")"))</f>
        <v>Diluc</v>
      </c>
      <c r="B10" s="19" t="str">
        <f>Calculations!$C10</f>
        <v>Pyro</v>
      </c>
      <c r="C10" s="27">
        <f>Calculations!S10</f>
        <v>2.200300708</v>
      </c>
      <c r="D10" s="27">
        <f>Calculations!T10</f>
        <v>1.744338169</v>
      </c>
      <c r="E10" s="27">
        <f>Calculations!U10</f>
        <v>1.2810932</v>
      </c>
      <c r="F10" s="27">
        <f>Calculations!V10</f>
        <v>1</v>
      </c>
    </row>
    <row r="11" ht="14.25" customHeight="1">
      <c r="A11" s="142" t="str">
        <f>IF(ISBLANK(Calculations!$B11), Calculations!$A11, CONCATENATE(Calculations!$A11, " (", Calculations!$B11, ")"))</f>
        <v>Diona</v>
      </c>
      <c r="B11" s="19" t="str">
        <f>Calculations!$C11</f>
        <v>Cryo</v>
      </c>
      <c r="C11" s="27">
        <f>Calculations!S11</f>
        <v>3.754301804</v>
      </c>
      <c r="D11" s="27">
        <f>Calculations!T11</f>
        <v>2.737018171</v>
      </c>
      <c r="E11" s="27">
        <f>Calculations!U11</f>
        <v>1.858352261</v>
      </c>
      <c r="F11" s="27">
        <f>Calculations!V11</f>
        <v>1.281375913</v>
      </c>
    </row>
    <row r="12" ht="14.25" customHeight="1">
      <c r="A12" s="142" t="str">
        <f>IF(ISBLANK(Calculations!$B12), Calculations!$A12, CONCATENATE(Calculations!$A12, " (", Calculations!$B12, ")"))</f>
        <v>Fischl</v>
      </c>
      <c r="B12" s="19" t="str">
        <f>Calculations!$C12</f>
        <v>Electro</v>
      </c>
      <c r="C12" s="27">
        <f>Calculations!S12</f>
        <v>2.474637259</v>
      </c>
      <c r="D12" s="27">
        <f>Calculations!T12</f>
        <v>1.757161572</v>
      </c>
      <c r="E12" s="27">
        <f>Calculations!U12</f>
        <v>1.166838955</v>
      </c>
      <c r="F12" s="27">
        <f>Calculations!V12</f>
        <v>1</v>
      </c>
      <c r="H12" s="19" t="s">
        <v>537</v>
      </c>
    </row>
    <row r="13" ht="14.25" customHeight="1">
      <c r="A13" s="142" t="str">
        <f>IF(ISBLANK(Calculations!$B13), Calculations!$A13, CONCATENATE(Calculations!$A13, " (", Calculations!$B13, ")"))</f>
        <v>Ganyu</v>
      </c>
      <c r="B13" s="145" t="str">
        <f>Calculations!$C13</f>
        <v>Cryo</v>
      </c>
      <c r="C13" s="27">
        <f>Calculations!S13</f>
        <v>2.250421954</v>
      </c>
      <c r="D13" s="27">
        <f>Calculations!T13</f>
        <v>1.840396708</v>
      </c>
      <c r="E13" s="27">
        <f>Calculations!U13</f>
        <v>1.396431342</v>
      </c>
      <c r="F13" s="27">
        <f>Calculations!V13</f>
        <v>1.04339358</v>
      </c>
      <c r="H13" s="19" t="s">
        <v>538</v>
      </c>
    </row>
    <row r="14" ht="14.25" customHeight="1">
      <c r="A14" s="142" t="str">
        <f>IF(ISBLANK(Calculations!$B14), Calculations!$A14, CONCATENATE(Calculations!$A14, " (", Calculations!$B14, ")"))</f>
        <v>Hu Tao</v>
      </c>
      <c r="B14" s="145" t="str">
        <f>Calculations!$C14</f>
        <v>Pyro</v>
      </c>
      <c r="C14" s="27">
        <f>Calculations!S14</f>
        <v>2.633696686</v>
      </c>
      <c r="D14" s="27">
        <f>Calculations!T14</f>
        <v>2.089015261</v>
      </c>
      <c r="E14" s="27">
        <f>Calculations!U14</f>
        <v>1.535050316</v>
      </c>
      <c r="F14" s="27">
        <f>Calculations!V14</f>
        <v>1.118888074</v>
      </c>
      <c r="H14" s="19" t="s">
        <v>539</v>
      </c>
    </row>
    <row r="15" ht="14.25" customHeight="1">
      <c r="A15" s="142" t="str">
        <f>IF(ISBLANK(Calculations!$B15), Calculations!$A15, CONCATENATE(Calculations!$A15, " (", Calculations!$B15, ")"))</f>
        <v>Jean (1 E)</v>
      </c>
      <c r="B15" s="146" t="str">
        <f>Calculations!$C15</f>
        <v>Anemo</v>
      </c>
      <c r="C15" s="27">
        <f>Calculations!S15</f>
        <v>3.695387182</v>
      </c>
      <c r="D15" s="27">
        <f>Calculations!T15</f>
        <v>2.535769315</v>
      </c>
      <c r="E15" s="27">
        <f>Calculations!U15</f>
        <v>1.638551475</v>
      </c>
      <c r="F15" s="27">
        <f>Calculations!V15</f>
        <v>1.095086181</v>
      </c>
      <c r="H15" s="19" t="s">
        <v>539</v>
      </c>
    </row>
    <row r="16" ht="14.25" customHeight="1">
      <c r="A16" s="142" t="str">
        <f>IF(ISBLANK(Calculations!$B16), Calculations!$A16, CONCATENATE(Calculations!$A16, " (", Calculations!$B16, ")"))</f>
        <v>Jean (2 E)</v>
      </c>
      <c r="B16" s="19" t="str">
        <f>Calculations!$C16</f>
        <v>Anemo</v>
      </c>
      <c r="C16" s="27">
        <f>Calculations!S16</f>
        <v>2.50827382</v>
      </c>
      <c r="D16" s="27">
        <f>Calculations!T16</f>
        <v>1.914130001</v>
      </c>
      <c r="E16" s="27">
        <f>Calculations!U16</f>
        <v>1.354338114</v>
      </c>
      <c r="F16" s="27">
        <f>Calculations!V16</f>
        <v>1</v>
      </c>
    </row>
    <row r="17" ht="14.25" customHeight="1">
      <c r="A17" s="142" t="str">
        <f>IF(ISBLANK(Calculations!$B17), Calculations!$A17, CONCATENATE(Calculations!$A17, " (", Calculations!$B17, ")"))</f>
        <v>Kaeya (1 E)</v>
      </c>
      <c r="B17" s="19" t="str">
        <f>Calculations!$C17</f>
        <v>Cryo</v>
      </c>
      <c r="C17" s="27">
        <f>Calculations!S17</f>
        <v>4.002223457</v>
      </c>
      <c r="D17" s="27">
        <f>Calculations!T17</f>
        <v>2.86647026</v>
      </c>
      <c r="E17" s="27">
        <f>Calculations!U17</f>
        <v>1.917137075</v>
      </c>
      <c r="F17" s="27">
        <f>Calculations!V17</f>
        <v>1.309052828</v>
      </c>
    </row>
    <row r="18" ht="14.25" customHeight="1">
      <c r="A18" s="142" t="str">
        <f>IF(ISBLANK(Calculations!$B18), Calculations!$A18, CONCATENATE(Calculations!$A18, " (", Calculations!$B18, ")"))</f>
        <v>Kaeya (2 E)</v>
      </c>
      <c r="B18" s="19" t="str">
        <f>Calculations!$C18</f>
        <v>Cryo</v>
      </c>
      <c r="C18" s="27">
        <f>Calculations!S18</f>
        <v>2.592725963</v>
      </c>
      <c r="D18" s="27">
        <f>Calculations!T18</f>
        <v>2.063155482</v>
      </c>
      <c r="E18" s="27">
        <f>Calculations!U18</f>
        <v>1.521041068</v>
      </c>
      <c r="F18" s="27">
        <f>Calculations!V18</f>
        <v>1.111426701</v>
      </c>
    </row>
    <row r="19" ht="14.25" customHeight="1">
      <c r="A19" s="142" t="str">
        <f>IF(ISBLANK(Calculations!$B19), Calculations!$A19, CONCATENATE(Calculations!$A19, " (", Calculations!$B19, ")"))</f>
        <v>Keqing</v>
      </c>
      <c r="B19" s="19" t="str">
        <f>Calculations!$C19</f>
        <v>Electro</v>
      </c>
      <c r="C19" s="27">
        <f>Calculations!S19</f>
        <v>1.842865041</v>
      </c>
      <c r="D19" s="27">
        <f>Calculations!T19</f>
        <v>1.511868165</v>
      </c>
      <c r="E19" s="27">
        <f>Calculations!U19</f>
        <v>1.15110122</v>
      </c>
      <c r="F19" s="27">
        <f>Calculations!V19</f>
        <v>1</v>
      </c>
    </row>
    <row r="20" ht="14.25" customHeight="1">
      <c r="A20" s="142" t="str">
        <f>IF(ISBLANK(Calculations!$B20), Calculations!$A20, CONCATENATE(Calculations!$A20, " (", Calculations!$B20, ")"))</f>
        <v>Klee</v>
      </c>
      <c r="B20" s="19" t="str">
        <f>Calculations!$C20</f>
        <v>Pyro</v>
      </c>
      <c r="C20" s="27">
        <f>Calculations!S20</f>
        <v>2.90392837</v>
      </c>
      <c r="D20" s="27">
        <f>Calculations!T20</f>
        <v>2.255497776</v>
      </c>
      <c r="E20" s="27">
        <f>Calculations!U20</f>
        <v>1.623083859</v>
      </c>
      <c r="F20" s="27">
        <f>Calculations!V20</f>
        <v>1.164942983</v>
      </c>
      <c r="H20" s="19" t="s">
        <v>535</v>
      </c>
    </row>
    <row r="21" ht="14.25" customHeight="1">
      <c r="A21" s="142" t="str">
        <f>IF(ISBLANK(Calculations!$B21), Calculations!$A21, CONCATENATE(Calculations!$A21, " (", Calculations!$B21, ")"))</f>
        <v>Lisa</v>
      </c>
      <c r="B21" s="19" t="str">
        <f>Calculations!$C21</f>
        <v>Electro</v>
      </c>
      <c r="C21" s="27">
        <f>Calculations!S21</f>
        <v>3.265898576</v>
      </c>
      <c r="D21" s="27">
        <f>Calculations!T21</f>
        <v>2.467950915</v>
      </c>
      <c r="E21" s="27">
        <f>Calculations!U21</f>
        <v>1.730270114</v>
      </c>
      <c r="F21" s="27">
        <f>Calculations!V21</f>
        <v>1.219148763</v>
      </c>
    </row>
    <row r="22" ht="14.25" customHeight="1">
      <c r="A22" s="142" t="str">
        <f>IF(ISBLANK(Calculations!$B22), Calculations!$A22, CONCATENATE(Calculations!$A22, " (", Calculations!$B22, ")"))</f>
        <v>Mona</v>
      </c>
      <c r="B22" s="19" t="str">
        <f>Calculations!$C22</f>
        <v>Hydro</v>
      </c>
      <c r="C22" s="27">
        <f>Calculations!S22</f>
        <v>3.535303938</v>
      </c>
      <c r="D22" s="27">
        <f>Calculations!T22</f>
        <v>2.618753183</v>
      </c>
      <c r="E22" s="27">
        <f>Calculations!U22</f>
        <v>1.803065211</v>
      </c>
      <c r="F22" s="27">
        <f>Calculations!V22</f>
        <v>1.254845096</v>
      </c>
    </row>
    <row r="23" ht="14.25" customHeight="1">
      <c r="A23" s="142" t="str">
        <f>IF(ISBLANK(Calculations!$B23), Calculations!$A23, CONCATENATE(Calculations!$A23, " (", Calculations!$B23, ")"))</f>
        <v>Ningguang (carry)</v>
      </c>
      <c r="B23" s="19" t="str">
        <f>Calculations!$C23</f>
        <v>Geo</v>
      </c>
      <c r="C23" s="27">
        <f>Calculations!S23</f>
        <v>2.366117202</v>
      </c>
      <c r="D23" s="27">
        <f>Calculations!T23</f>
        <v>1.846949455</v>
      </c>
      <c r="E23" s="27">
        <f>Calculations!U23</f>
        <v>1.335588995</v>
      </c>
      <c r="F23" s="27">
        <f>Calculations!V23</f>
        <v>1</v>
      </c>
      <c r="H23" s="19" t="s">
        <v>540</v>
      </c>
    </row>
    <row r="24" ht="14.25" customHeight="1">
      <c r="A24" s="142" t="str">
        <f>IF(ISBLANK(Calculations!$B24), Calculations!$A24, CONCATENATE(Calculations!$A24, " (", Calculations!$B24, ")"))</f>
        <v>Ningguang (support)</v>
      </c>
      <c r="B24" s="19" t="str">
        <f>Calculations!$C24</f>
        <v>Geo</v>
      </c>
      <c r="C24" s="27">
        <f>Calculations!S24</f>
        <v>2.516145265</v>
      </c>
      <c r="D24" s="27">
        <f>Calculations!T24</f>
        <v>1.937108543</v>
      </c>
      <c r="E24" s="27">
        <f>Calculations!U24</f>
        <v>1.38210633</v>
      </c>
      <c r="F24" s="27">
        <f>Calculations!V24</f>
        <v>1</v>
      </c>
    </row>
    <row r="25" ht="14.25" customHeight="1">
      <c r="A25" s="142" t="str">
        <f>IF(ISBLANK(Calculations!$B25), Calculations!$A25, CONCATENATE(Calculations!$A25, " (", Calculations!$B25, ")"))</f>
        <v>Noelle</v>
      </c>
      <c r="B25" s="19" t="str">
        <f>Calculations!$C25</f>
        <v>Geo</v>
      </c>
      <c r="C25" s="27">
        <f>Calculations!S25</f>
        <v>6.927073312</v>
      </c>
      <c r="D25" s="27">
        <f>Calculations!T25</f>
        <v>4.109119963</v>
      </c>
      <c r="E25" s="27">
        <f>Calculations!U25</f>
        <v>2.403204272</v>
      </c>
      <c r="F25" s="27">
        <f>Calculations!V25</f>
        <v>1.518807905</v>
      </c>
      <c r="H25" s="19" t="s">
        <v>540</v>
      </c>
    </row>
    <row r="26" ht="14.25" customHeight="1">
      <c r="A26" s="142" t="str">
        <f>IF(ISBLANK(Calculations!$B26), Calculations!$A26, CONCATENATE(Calculations!$A26, " (", Calculations!$B26, ")"))</f>
        <v>Qiqi</v>
      </c>
      <c r="B26" s="19" t="str">
        <f>Calculations!$C26</f>
        <v>Cryo</v>
      </c>
      <c r="C26" s="27">
        <f>Calculations!S26</f>
        <v>8.769792935</v>
      </c>
      <c r="D26" s="27">
        <f>Calculations!T26</f>
        <v>4.694223497</v>
      </c>
      <c r="E26" s="27">
        <f>Calculations!U26</f>
        <v>2.592165899</v>
      </c>
      <c r="F26" s="27">
        <f>Calculations!V26</f>
        <v>1.592159499</v>
      </c>
      <c r="H26" s="19" t="s">
        <v>535</v>
      </c>
    </row>
    <row r="27" ht="14.25" customHeight="1">
      <c r="A27" s="142" t="str">
        <f>IF(ISBLANK(Calculations!$B27), Calculations!$A27, CONCATENATE(Calculations!$A27, " (", Calculations!$B27, ")"))</f>
        <v>Razor</v>
      </c>
      <c r="B27" s="19" t="str">
        <f>Calculations!$C27</f>
        <v>Electro</v>
      </c>
      <c r="C27" s="27">
        <f>Calculations!S27</f>
        <v>2.673598218</v>
      </c>
      <c r="D27" s="27">
        <f>Calculations!T27</f>
        <v>2.114040754</v>
      </c>
      <c r="E27" s="27">
        <f>Calculations!U27</f>
        <v>1.548520303</v>
      </c>
      <c r="F27" s="27">
        <f>Calculations!V27</f>
        <v>1.1260275</v>
      </c>
      <c r="H27" s="19" t="s">
        <v>541</v>
      </c>
    </row>
    <row r="28" ht="14.25" customHeight="1">
      <c r="A28" s="142" t="str">
        <f>IF(ISBLANK(Calculations!$B28), Calculations!$A28, CONCATENATE(Calculations!$A28, " (", Calculations!$B28, ")"))</f>
        <v>Sucrose</v>
      </c>
      <c r="B28" s="19" t="str">
        <f>Calculations!$C28</f>
        <v>Anemo</v>
      </c>
      <c r="C28" s="27">
        <f>Calculations!S28</f>
        <v>3.21170488</v>
      </c>
      <c r="D28" s="27">
        <f>Calculations!T28</f>
        <v>2.436878088</v>
      </c>
      <c r="E28" s="27">
        <f>Calculations!U28</f>
        <v>1.714939024</v>
      </c>
      <c r="F28" s="27">
        <f>Calculations!V28</f>
        <v>1.211517493</v>
      </c>
      <c r="H28" s="19" t="s">
        <v>539</v>
      </c>
    </row>
    <row r="29" ht="14.25" customHeight="1">
      <c r="A29" s="142" t="str">
        <f>IF(ISBLANK(Calculations!$B29), Calculations!$A29, CONCATENATE(Calculations!$A29, " (", Calculations!$B29, ")"))</f>
        <v>Tartaglia (ranged burst)</v>
      </c>
      <c r="B29" s="19" t="str">
        <f>Calculations!$C29</f>
        <v>Hydro</v>
      </c>
      <c r="C29" s="27">
        <f>Calculations!S29</f>
        <v>1</v>
      </c>
      <c r="D29" s="27">
        <f>Calculations!T29</f>
        <v>1</v>
      </c>
      <c r="E29" s="27">
        <f>Calculations!U29</f>
        <v>1</v>
      </c>
      <c r="F29" s="27">
        <f>Calculations!V29</f>
        <v>1</v>
      </c>
      <c r="H29" s="19" t="s">
        <v>542</v>
      </c>
    </row>
    <row r="30" ht="14.25" customHeight="1">
      <c r="A30" s="142" t="str">
        <f>IF(ISBLANK(Calculations!$B30), Calculations!$A30, CONCATENATE(Calculations!$A30, " (", Calculations!$B30, ")"))</f>
        <v>Tartaglia (melee burst)</v>
      </c>
      <c r="B30" s="19" t="str">
        <f>Calculations!$C30</f>
        <v>Hydro</v>
      </c>
      <c r="C30" s="27">
        <f>Calculations!S30</f>
        <v>1.360492801</v>
      </c>
      <c r="D30" s="27">
        <f>Calculations!T30</f>
        <v>1.199000833</v>
      </c>
      <c r="E30" s="27">
        <f>Calculations!U30</f>
        <v>1</v>
      </c>
      <c r="F30" s="27">
        <f>Calculations!V30</f>
        <v>1</v>
      </c>
    </row>
    <row r="31" ht="14.25" customHeight="1">
      <c r="A31" s="142" t="str">
        <f>IF(ISBLANK(Calculations!$B31), Calculations!$A31, CONCATENATE(Calculations!$A31, " (", Calculations!$B31, ")"))</f>
        <v>Traveler (Anemo)</v>
      </c>
      <c r="B31" s="19" t="str">
        <f>Calculations!$C31</f>
        <v>Anemo</v>
      </c>
      <c r="C31" s="27">
        <f>Calculations!S31</f>
        <v>3.535303938</v>
      </c>
      <c r="D31" s="27">
        <f>Calculations!T31</f>
        <v>2.618753183</v>
      </c>
      <c r="E31" s="27">
        <f>Calculations!U31</f>
        <v>1.803065211</v>
      </c>
      <c r="F31" s="27">
        <f>Calculations!V31</f>
        <v>1.254845096</v>
      </c>
    </row>
    <row r="32" ht="14.25" customHeight="1">
      <c r="A32" s="142" t="str">
        <f>IF(ISBLANK(Calculations!$B32), Calculations!$A32, CONCATENATE(Calculations!$A32, " (", Calculations!$B32, ")"))</f>
        <v>Traveler (Geo) (1 E)</v>
      </c>
      <c r="B32" s="19" t="str">
        <f>Calculations!$C32</f>
        <v>Geo</v>
      </c>
      <c r="C32" s="27">
        <f>Calculations!S32</f>
        <v>2.921983052</v>
      </c>
      <c r="D32" s="27">
        <f>Calculations!T32</f>
        <v>2.169040561</v>
      </c>
      <c r="E32" s="27">
        <f>Calculations!U32</f>
        <v>1.496259352</v>
      </c>
      <c r="F32" s="27">
        <f>Calculations!V32</f>
        <v>1.042651393</v>
      </c>
      <c r="H32" s="19" t="s">
        <v>543</v>
      </c>
    </row>
    <row r="33" ht="14.25" customHeight="1">
      <c r="A33" s="142" t="str">
        <f>IF(ISBLANK(Calculations!$B33), Calculations!$A33, CONCATENATE(Calculations!$A33, " (", Calculations!$B33, ")"))</f>
        <v>Traveler (Geo) (2 E)</v>
      </c>
      <c r="B33" s="19" t="str">
        <f>Calculations!$C33</f>
        <v>Geo</v>
      </c>
      <c r="C33" s="27">
        <f>Calculations!S33</f>
        <v>1.844904987</v>
      </c>
      <c r="D33" s="27">
        <f>Calculations!T33</f>
        <v>1.513240858</v>
      </c>
      <c r="E33" s="27">
        <f>Calculations!U33</f>
        <v>1.15189679</v>
      </c>
      <c r="F33" s="27">
        <f>Calculations!V33</f>
        <v>1</v>
      </c>
    </row>
    <row r="34" ht="14.25" customHeight="1">
      <c r="A34" s="142" t="str">
        <f>IF(ISBLANK(Calculations!$B34), Calculations!$A34, CONCATENATE(Calculations!$A34, " (", Calculations!$B34, ")"))</f>
        <v>Venti (1 E)</v>
      </c>
      <c r="B34" s="19" t="str">
        <f>Calculations!$C34</f>
        <v>Anemo</v>
      </c>
      <c r="C34" s="27">
        <f>Calculations!S34</f>
        <v>2.791274682</v>
      </c>
      <c r="D34" s="27">
        <f>Calculations!T34</f>
        <v>2.039737101</v>
      </c>
      <c r="E34" s="27">
        <f>Calculations!U34</f>
        <v>1.387746711</v>
      </c>
      <c r="F34" s="27">
        <f>Calculations!V34</f>
        <v>1</v>
      </c>
    </row>
    <row r="35" ht="14.25" customHeight="1">
      <c r="A35" s="142" t="str">
        <f>IF(ISBLANK(Calculations!$B35), Calculations!$A35, CONCATENATE(Calculations!$A35, " (", Calculations!$B35, ")"))</f>
        <v>Venti (2 E)</v>
      </c>
      <c r="B35" s="19" t="str">
        <f>Calculations!$C35</f>
        <v>Anemo</v>
      </c>
      <c r="C35" s="27">
        <f>Calculations!S35</f>
        <v>1.791282426</v>
      </c>
      <c r="D35" s="27">
        <f>Calculations!T35</f>
        <v>1.448731019</v>
      </c>
      <c r="E35" s="27">
        <f>Calculations!U35</f>
        <v>1.086256839</v>
      </c>
      <c r="F35" s="27">
        <f>Calculations!V35</f>
        <v>1</v>
      </c>
    </row>
    <row r="36" ht="14.25" customHeight="1">
      <c r="A36" s="142" t="str">
        <f>IF(ISBLANK(Calculations!$B36), Calculations!$A36, CONCATENATE(Calculations!$A36, " (", Calculations!$B36, ")"))</f>
        <v>Xiangling (support)</v>
      </c>
      <c r="B36" s="19" t="str">
        <f>Calculations!$C36</f>
        <v>Pyro</v>
      </c>
      <c r="C36" s="27">
        <f>Calculations!S36</f>
        <v>4.708960105</v>
      </c>
      <c r="D36" s="27">
        <f>Calculations!T36</f>
        <v>3.21170488</v>
      </c>
      <c r="E36" s="27">
        <f>Calculations!U36</f>
        <v>2.065641496</v>
      </c>
      <c r="F36" s="27">
        <f>Calculations!V36</f>
        <v>1.376630925</v>
      </c>
    </row>
    <row r="37" ht="14.25" customHeight="1">
      <c r="A37" s="142" t="str">
        <f>IF(ISBLANK(Calculations!$B37), Calculations!$A37, CONCATENATE(Calculations!$A37, " (", Calculations!$B37, ")"))</f>
        <v>Xiao</v>
      </c>
      <c r="B37" s="19" t="str">
        <f>Calculations!$C37</f>
        <v>Anemo</v>
      </c>
      <c r="C37" s="27">
        <f>Calculations!S37</f>
        <v>2.43647755</v>
      </c>
      <c r="D37" s="27">
        <f>Calculations!T37</f>
        <v>1.95214457</v>
      </c>
      <c r="E37" s="27">
        <f>Calculations!U37</f>
        <v>1.449395395</v>
      </c>
      <c r="F37" s="27">
        <f>Calculations!V37</f>
        <v>1.064774815</v>
      </c>
    </row>
    <row r="38" ht="14.25" customHeight="1">
      <c r="A38" s="142" t="str">
        <f>IF(ISBLANK(Calculations!$B38), Calculations!$A38, CONCATENATE(Calculations!$A38, " (", Calculations!$B38, ")"))</f>
        <v>Xingqiu</v>
      </c>
      <c r="B38" s="19" t="str">
        <f>Calculations!$C38</f>
        <v>Hydro</v>
      </c>
      <c r="C38" s="27">
        <f>Calculations!S38</f>
        <v>3.290977237</v>
      </c>
      <c r="D38" s="27">
        <f>Calculations!T38</f>
        <v>2.482245053</v>
      </c>
      <c r="E38" s="27">
        <f>Calculations!U38</f>
        <v>1.737284046</v>
      </c>
      <c r="F38" s="27">
        <f>Calculations!V38</f>
        <v>1.222626746</v>
      </c>
      <c r="H38" s="19" t="s">
        <v>544</v>
      </c>
    </row>
    <row r="39" ht="14.25" customHeight="1">
      <c r="A39" s="142" t="str">
        <f>IF(ISBLANK(Calculations!$B39), Calculations!$A39, CONCATENATE(Calculations!$A39, " (", Calculations!$B39, ")"))</f>
        <v>Xingqiu (Sac trigger)</v>
      </c>
      <c r="B39" s="19" t="str">
        <f>Calculations!$C39</f>
        <v>Hydro</v>
      </c>
      <c r="C39" s="27">
        <f>Calculations!S39</f>
        <v>2.035163096</v>
      </c>
      <c r="D39" s="27">
        <f>Calculations!T39</f>
        <v>1.693878511</v>
      </c>
      <c r="E39" s="27">
        <f>Calculations!U39</f>
        <v>1.31042516</v>
      </c>
      <c r="F39" s="27">
        <f>Calculations!V39</f>
        <v>1</v>
      </c>
    </row>
    <row r="40" ht="14.25" customHeight="1">
      <c r="A40" s="142" t="str">
        <f>IF(ISBLANK(Calculations!$B40), Calculations!$A40, CONCATENATE(Calculations!$A40, " (", Calculations!$B40, ")"))</f>
        <v>Xinyan</v>
      </c>
      <c r="B40" s="19" t="str">
        <f>Calculations!$C40</f>
        <v>Pyro</v>
      </c>
      <c r="C40" s="27">
        <f>Calculations!S40</f>
        <v>3.160944771</v>
      </c>
      <c r="D40" s="27">
        <f>Calculations!T40</f>
        <v>2.407543637</v>
      </c>
      <c r="E40" s="27">
        <f>Calculations!U40</f>
        <v>1.700358965</v>
      </c>
      <c r="F40" s="27">
        <f>Calculations!V40</f>
        <v>1.204222808</v>
      </c>
    </row>
    <row r="41" ht="14.25" customHeight="1">
      <c r="A41" s="142" t="str">
        <f>IF(ISBLANK(Calculations!$B41), Calculations!$A41, CONCATENATE(Calculations!$A41, " (", Calculations!$B41, ")"))</f>
        <v>Zhongli</v>
      </c>
      <c r="B41" s="19" t="str">
        <f>Calculations!$C41</f>
        <v>Geo</v>
      </c>
      <c r="C41" s="27">
        <f>Calculations!S41</f>
        <v>3.525678693</v>
      </c>
      <c r="D41" s="27">
        <f>Calculations!T41</f>
        <v>2.484883625</v>
      </c>
      <c r="E41" s="27">
        <f>Calculations!U41</f>
        <v>1.640061229</v>
      </c>
      <c r="F41" s="27">
        <f>Calculations!V41</f>
        <v>1.110502391</v>
      </c>
      <c r="H41" s="19" t="s">
        <v>543</v>
      </c>
    </row>
    <row r="42" ht="14.25" customHeight="1"/>
    <row r="43" ht="14.25" customHeight="1">
      <c r="A43" s="147" t="s">
        <v>545</v>
      </c>
    </row>
    <row r="44" ht="14.25" customHeight="1">
      <c r="A44" s="6" t="s">
        <v>546</v>
      </c>
    </row>
    <row r="45" ht="14.25" customHeight="1">
      <c r="A45" s="6" t="s">
        <v>547</v>
      </c>
    </row>
    <row r="46" ht="14.25" customHeight="1">
      <c r="A46" s="6" t="s">
        <v>548</v>
      </c>
    </row>
    <row r="47" ht="14.25" customHeight="1">
      <c r="A47" s="6" t="s">
        <v>549</v>
      </c>
    </row>
    <row r="48" ht="14.25" customHeight="1">
      <c r="A48" s="6" t="s">
        <v>550</v>
      </c>
    </row>
    <row r="49" ht="14.25" customHeight="1"/>
    <row r="50" ht="14.25" customHeight="1">
      <c r="A50" s="147" t="s">
        <v>551</v>
      </c>
    </row>
    <row r="51" ht="14.25" customHeight="1">
      <c r="A51" s="6" t="s">
        <v>552</v>
      </c>
    </row>
    <row r="52" ht="14.25" customHeight="1">
      <c r="A52" s="6" t="s">
        <v>553</v>
      </c>
    </row>
    <row r="53" ht="14.25" customHeight="1">
      <c r="A53" s="6" t="s">
        <v>554</v>
      </c>
    </row>
    <row r="54" ht="14.25" customHeight="1">
      <c r="A54" s="6" t="s">
        <v>555</v>
      </c>
    </row>
    <row r="55" ht="14.25" customHeight="1">
      <c r="A55" s="6" t="s">
        <v>556</v>
      </c>
    </row>
    <row r="56" ht="14.25" customHeight="1">
      <c r="A56" s="6" t="s">
        <v>557</v>
      </c>
    </row>
    <row r="57" ht="14.25" customHeight="1"/>
    <row r="58" ht="14.25" customHeight="1">
      <c r="A58" s="6" t="s">
        <v>558</v>
      </c>
    </row>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6">
    <mergeCell ref="A1:F1"/>
    <mergeCell ref="A2:B2"/>
    <mergeCell ref="A43:H43"/>
    <mergeCell ref="A44:H44"/>
    <mergeCell ref="A45:H45"/>
    <mergeCell ref="A46:H46"/>
    <mergeCell ref="A47:H47"/>
    <mergeCell ref="A56:H56"/>
    <mergeCell ref="A58:H58"/>
    <mergeCell ref="A48:H48"/>
    <mergeCell ref="A50:H50"/>
    <mergeCell ref="A51:H51"/>
    <mergeCell ref="A52:H52"/>
    <mergeCell ref="A53:H53"/>
    <mergeCell ref="A54:H54"/>
    <mergeCell ref="A55:H55"/>
  </mergeCells>
  <conditionalFormatting sqref="A3:F41">
    <cfRule type="expression" dxfId="10" priority="1">
      <formula>$B3="Anemo"</formula>
    </cfRule>
  </conditionalFormatting>
  <conditionalFormatting sqref="A3:F41">
    <cfRule type="expression" dxfId="11" priority="2">
      <formula>$B3="Electro"</formula>
    </cfRule>
  </conditionalFormatting>
  <conditionalFormatting sqref="A3:F41">
    <cfRule type="expression" dxfId="12" priority="3">
      <formula>$B3="Cryo"</formula>
    </cfRule>
  </conditionalFormatting>
  <conditionalFormatting sqref="A3:F41">
    <cfRule type="expression" dxfId="13" priority="4">
      <formula>$B3="Hydro"</formula>
    </cfRule>
  </conditionalFormatting>
  <conditionalFormatting sqref="A3:F41">
    <cfRule type="expression" dxfId="14" priority="5">
      <formula>$B3="Pyro"</formula>
    </cfRule>
  </conditionalFormatting>
  <conditionalFormatting sqref="A3:F41">
    <cfRule type="expression" dxfId="15" priority="6">
      <formula>$B3="Geo"</formula>
    </cfRule>
  </conditionalFormatting>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3" width="8.71"/>
    <col customWidth="1" min="4" max="6" width="16.0"/>
    <col customWidth="1" min="7" max="7" width="18.29"/>
    <col customWidth="1" min="8" max="9" width="22.14"/>
    <col customWidth="1" min="10" max="11" width="25.43"/>
    <col customWidth="1" min="12" max="26" width="8.71"/>
  </cols>
  <sheetData>
    <row r="1" ht="14.25" customHeight="1">
      <c r="A1" s="113" t="s">
        <v>14</v>
      </c>
      <c r="B1" s="113" t="s">
        <v>19</v>
      </c>
      <c r="C1" s="113" t="s">
        <v>22</v>
      </c>
      <c r="D1" s="113" t="s">
        <v>559</v>
      </c>
      <c r="E1" s="113" t="s">
        <v>20</v>
      </c>
      <c r="F1" s="113" t="s">
        <v>45</v>
      </c>
      <c r="G1" s="113" t="s">
        <v>560</v>
      </c>
      <c r="H1" s="113" t="s">
        <v>561</v>
      </c>
      <c r="I1" s="113" t="s">
        <v>562</v>
      </c>
      <c r="J1" s="113" t="s">
        <v>563</v>
      </c>
      <c r="K1" s="113" t="s">
        <v>564</v>
      </c>
    </row>
    <row r="2" ht="14.25" customHeight="1">
      <c r="A2" s="113" t="str">
        <f>Data!$A2</f>
        <v>Albedo</v>
      </c>
      <c r="B2" s="113">
        <v>1.0</v>
      </c>
      <c r="C2" s="113"/>
      <c r="D2" s="115">
        <f>MIN(1,Data!$O2/Data!$U2)</f>
        <v>1</v>
      </c>
      <c r="E2" s="148">
        <f>Data!$R2</f>
        <v>4</v>
      </c>
      <c r="F2" s="148">
        <f>Data!$U2</f>
        <v>12</v>
      </c>
      <c r="G2" s="148">
        <f>('Self-Funding'!$B2*Data!$F2+'Self-Funding'!$C2*Data!$G2)*3 + ('Self-Funding'!$D2*Data!$L2*Data!$U2)*3*0.6</f>
        <v>6.48</v>
      </c>
      <c r="H2" s="148">
        <f>Data!$V2-Data!$W2</f>
        <v>40</v>
      </c>
      <c r="I2" s="148">
        <f>'Self-Funding'!$H2-1.2*'Self-Funding'!$F2/2.25</f>
        <v>33.6</v>
      </c>
      <c r="J2" s="115">
        <f>MIN(1,'Self-Funding'!$G2/'Self-Funding'!$H2)</f>
        <v>0.162</v>
      </c>
      <c r="K2" s="115">
        <f>MIN(1,'Self-Funding'!$G2/'Self-Funding'!$I2)-'Self-Funding'!$J2</f>
        <v>0.03085714286</v>
      </c>
    </row>
    <row r="3" ht="14.25" customHeight="1">
      <c r="A3" s="113" t="str">
        <f>Data!$A3</f>
        <v>Alhaitham</v>
      </c>
      <c r="B3" s="113">
        <v>1.0</v>
      </c>
      <c r="C3" s="113"/>
      <c r="D3" s="115">
        <f>MIN(1,Data!$O3/Data!$U3)</f>
        <v>0</v>
      </c>
      <c r="E3" s="148">
        <f>Data!$R3</f>
        <v>18</v>
      </c>
      <c r="F3" s="148">
        <f>Data!$U3</f>
        <v>18</v>
      </c>
      <c r="G3" s="148">
        <f>('Self-Funding'!$B3*Data!$F3+'Self-Funding'!$C3*Data!$G3)*3 + ('Self-Funding'!$D3*Data!$L3*Data!$U3)*3*0.6</f>
        <v>18</v>
      </c>
      <c r="H3" s="148">
        <f>Data!$V3-Data!$W3</f>
        <v>70</v>
      </c>
      <c r="I3" s="148">
        <f>'Self-Funding'!$H3</f>
        <v>70</v>
      </c>
      <c r="J3" s="115">
        <f>MIN(1,'Self-Funding'!$G3/'Self-Funding'!$H3)</f>
        <v>0.2571428571</v>
      </c>
      <c r="K3" s="115">
        <f>MIN(1,'Self-Funding'!$G3/'Self-Funding'!$I3)-'Self-Funding'!$J3</f>
        <v>0</v>
      </c>
    </row>
    <row r="4" ht="14.25" customHeight="1">
      <c r="A4" s="113" t="str">
        <f>Data!$A4</f>
        <v>Aloy</v>
      </c>
      <c r="B4" s="113">
        <v>1.0</v>
      </c>
      <c r="C4" s="113"/>
      <c r="D4" s="115">
        <f>MIN(1,Data!$O4/Data!$U4)</f>
        <v>0</v>
      </c>
      <c r="E4" s="148">
        <f>Data!$R4</f>
        <v>20</v>
      </c>
      <c r="F4" s="148">
        <f>Data!$U4</f>
        <v>12</v>
      </c>
      <c r="G4" s="148">
        <f>('Self-Funding'!$B4*Data!$F4+'Self-Funding'!$C4*Data!$G4)*3 + ('Self-Funding'!$D4*Data!$L4*Data!$U4)*3*0.6</f>
        <v>15</v>
      </c>
      <c r="H4" s="148">
        <f>Data!$V4-Data!$W4</f>
        <v>40</v>
      </c>
      <c r="I4" s="148">
        <f>'Self-Funding'!$H4-2</f>
        <v>38</v>
      </c>
      <c r="J4" s="115">
        <f>MIN(1,'Self-Funding'!$G4/'Self-Funding'!$H4)</f>
        <v>0.375</v>
      </c>
      <c r="K4" s="115">
        <f>MIN(1,'Self-Funding'!$G4/'Self-Funding'!$I4)-'Self-Funding'!$J4</f>
        <v>0.01973684211</v>
      </c>
    </row>
    <row r="5" ht="14.25" customHeight="1">
      <c r="A5" s="113" t="str">
        <f>Data!$A5</f>
        <v>Amber</v>
      </c>
      <c r="B5" s="113">
        <v>1.0</v>
      </c>
      <c r="C5" s="113">
        <v>1.0</v>
      </c>
      <c r="D5" s="115">
        <f>MIN(1,Data!$O5/Data!$U5)</f>
        <v>0</v>
      </c>
      <c r="E5" s="148">
        <f>Data!$R5</f>
        <v>15</v>
      </c>
      <c r="F5" s="148">
        <f>Data!$U5</f>
        <v>12</v>
      </c>
      <c r="G5" s="148">
        <f>('Self-Funding'!$B5*Data!$F5+'Self-Funding'!$C5*Data!$G5)*3 + ('Self-Funding'!$D5*Data!$L5*Data!$U5)*3*0.6</f>
        <v>12</v>
      </c>
      <c r="H5" s="148">
        <f>Data!$V5-Data!$W5</f>
        <v>40</v>
      </c>
      <c r="I5" s="148">
        <f>'Self-Funding'!$H5</f>
        <v>40</v>
      </c>
      <c r="J5" s="115">
        <f>MIN(1,'Self-Funding'!$G5/'Self-Funding'!$H5)</f>
        <v>0.3</v>
      </c>
      <c r="K5" s="115">
        <f>MIN(1,'Self-Funding'!$G5/'Self-Funding'!$I5)-'Self-Funding'!$J5</f>
        <v>0</v>
      </c>
    </row>
    <row r="6" ht="14.25" customHeight="1">
      <c r="A6" s="113" t="str">
        <f>Data!$A6</f>
        <v>Ayaka</v>
      </c>
      <c r="B6" s="113">
        <v>2.0</v>
      </c>
      <c r="C6" s="113"/>
      <c r="D6" s="115">
        <f>MIN(1,Data!$O6/Data!$U6)</f>
        <v>0</v>
      </c>
      <c r="E6" s="148">
        <f>Data!$R6</f>
        <v>10</v>
      </c>
      <c r="F6" s="148">
        <f>Data!$U6</f>
        <v>20</v>
      </c>
      <c r="G6" s="148">
        <f>('Self-Funding'!$B6*Data!$F6+'Self-Funding'!$C6*Data!$G6)*3 + ('Self-Funding'!$D6*Data!$L6*Data!$U6)*3*0.6</f>
        <v>27</v>
      </c>
      <c r="H6" s="148">
        <f>Data!$V6-Data!$W6</f>
        <v>80</v>
      </c>
      <c r="I6" s="148">
        <f>'Self-Funding'!$H6</f>
        <v>80</v>
      </c>
      <c r="J6" s="115">
        <f>MIN(1,'Self-Funding'!$G6/'Self-Funding'!$H6)</f>
        <v>0.3375</v>
      </c>
      <c r="K6" s="115">
        <f>MIN(1,'Self-Funding'!$G6/'Self-Funding'!$I6)-'Self-Funding'!$J6</f>
        <v>0</v>
      </c>
    </row>
    <row r="7" ht="14.25" customHeight="1">
      <c r="A7" s="113" t="str">
        <f>Data!$A7</f>
        <v>Ayato</v>
      </c>
      <c r="B7" s="113">
        <v>1.0</v>
      </c>
      <c r="C7" s="113"/>
      <c r="D7" s="115">
        <f>MIN(1,Data!$O7/Data!$U7)</f>
        <v>0</v>
      </c>
      <c r="E7" s="148">
        <f>Data!$R7</f>
        <v>12</v>
      </c>
      <c r="F7" s="148">
        <f>Data!$U7</f>
        <v>20</v>
      </c>
      <c r="G7" s="148">
        <f>('Self-Funding'!$B7*Data!$F7+'Self-Funding'!$C7*Data!$G7)*3 + ('Self-Funding'!$D7*Data!$L7*Data!$U7)*3*0.6</f>
        <v>13.5</v>
      </c>
      <c r="H7" s="148">
        <f>Data!$V7-Data!$W7</f>
        <v>80</v>
      </c>
      <c r="I7" s="148">
        <f>'Self-Funding'!$H7</f>
        <v>80</v>
      </c>
      <c r="J7" s="115">
        <f>MIN(1,'Self-Funding'!$G7/'Self-Funding'!$H7)</f>
        <v>0.16875</v>
      </c>
      <c r="K7" s="115">
        <f>MIN(1,'Self-Funding'!$G7/'Self-Funding'!$I7)-'Self-Funding'!$J7</f>
        <v>0</v>
      </c>
    </row>
    <row r="8" ht="14.25" customHeight="1">
      <c r="A8" s="113" t="str">
        <f>Data!$A8</f>
        <v>Baizhu</v>
      </c>
      <c r="B8" s="113">
        <v>1.0</v>
      </c>
      <c r="C8" s="113"/>
      <c r="D8" s="115">
        <f>MIN(1,Data!$O8/Data!$U8)</f>
        <v>0</v>
      </c>
      <c r="E8" s="148">
        <f>Data!$R8</f>
        <v>10</v>
      </c>
      <c r="F8" s="148">
        <f>Data!$U8</f>
        <v>20</v>
      </c>
      <c r="G8" s="148">
        <f>('Self-Funding'!$B8*Data!$F8+'Self-Funding'!$C8*Data!$G8)*3 + ('Self-Funding'!$D8*Data!$L8*Data!$U8)*3*0.6</f>
        <v>10.5</v>
      </c>
      <c r="H8" s="148">
        <f>Data!$V8-Data!$W8</f>
        <v>80</v>
      </c>
      <c r="I8" s="148">
        <f>'Self-Funding'!$H8</f>
        <v>80</v>
      </c>
      <c r="J8" s="115">
        <f>MIN(1,'Self-Funding'!$G8/'Self-Funding'!$H8)</f>
        <v>0.13125</v>
      </c>
      <c r="K8" s="115">
        <f>MIN(1,'Self-Funding'!$G8/'Self-Funding'!$I8)-'Self-Funding'!$J8</f>
        <v>0</v>
      </c>
    </row>
    <row r="9" ht="14.25" customHeight="1">
      <c r="A9" s="113" t="str">
        <f>Data!$A9</f>
        <v>Barbara</v>
      </c>
      <c r="B9" s="113"/>
      <c r="C9" s="113">
        <v>1.0</v>
      </c>
      <c r="D9" s="115">
        <f>MIN(1,Data!$O9/Data!$U9)</f>
        <v>0</v>
      </c>
      <c r="E9" s="148">
        <f>Data!$R9</f>
        <v>32</v>
      </c>
      <c r="F9" s="148">
        <f>Data!$U9</f>
        <v>20</v>
      </c>
      <c r="G9" s="148">
        <f>('Self-Funding'!$B9*Data!$F9+'Self-Funding'!$C9*Data!$G9)*3 + ('Self-Funding'!$D9*Data!$L9*Data!$U9)*3*0.6</f>
        <v>0</v>
      </c>
      <c r="H9" s="148">
        <f>Data!$V9-Data!$W9</f>
        <v>80</v>
      </c>
      <c r="I9" s="148">
        <f>'Self-Funding'!$H9-15</f>
        <v>65</v>
      </c>
      <c r="J9" s="115">
        <f>MIN(1,'Self-Funding'!$G9/'Self-Funding'!$H9)</f>
        <v>0</v>
      </c>
      <c r="K9" s="115">
        <f>MIN(1,'Self-Funding'!$G9/'Self-Funding'!$I9)-'Self-Funding'!$J9</f>
        <v>0</v>
      </c>
    </row>
    <row r="10" ht="14.25" customHeight="1">
      <c r="A10" s="113" t="str">
        <f>Data!$A10</f>
        <v>Beidou</v>
      </c>
      <c r="B10" s="113">
        <v>2.0</v>
      </c>
      <c r="C10" s="113">
        <v>1.0</v>
      </c>
      <c r="D10" s="115">
        <f>MIN(1,Data!$O10/Data!$U10)</f>
        <v>0</v>
      </c>
      <c r="E10" s="148">
        <f>Data!$R10</f>
        <v>7.5</v>
      </c>
      <c r="F10" s="148">
        <f>Data!$U10</f>
        <v>20</v>
      </c>
      <c r="G10" s="148">
        <f>('Self-Funding'!$B10*Data!$F10+'Self-Funding'!$C10*Data!$G10)*3 + ('Self-Funding'!$D10*Data!$L10*Data!$U10)*3*0.6</f>
        <v>21</v>
      </c>
      <c r="H10" s="148">
        <f>Data!$V10-Data!$W10</f>
        <v>80</v>
      </c>
      <c r="I10" s="148">
        <f>'Self-Funding'!$H10</f>
        <v>80</v>
      </c>
      <c r="J10" s="115">
        <f>MIN(1,'Self-Funding'!$G10/'Self-Funding'!$H10)</f>
        <v>0.2625</v>
      </c>
      <c r="K10" s="115">
        <f>MIN(1,'Self-Funding'!$G10/'Self-Funding'!$I10)-'Self-Funding'!$J10</f>
        <v>0</v>
      </c>
    </row>
    <row r="11" ht="14.25" customHeight="1">
      <c r="A11" s="113" t="str">
        <f>Data!$A11</f>
        <v>Bennett</v>
      </c>
      <c r="B11" s="113">
        <v>1.0</v>
      </c>
      <c r="C11" s="113"/>
      <c r="D11" s="115">
        <v>0.8</v>
      </c>
      <c r="E11" s="148">
        <f>Data!$R11</f>
        <v>4</v>
      </c>
      <c r="F11" s="148">
        <v>25.0</v>
      </c>
      <c r="G11" s="148">
        <f>('Self-Funding'!$B11*Data!$F11+'Self-Funding'!$C11*Data!$G11)*3 + ('Self-Funding'!$D11*Data!$L11*Data!$U11)*3*0.6</f>
        <v>6.75</v>
      </c>
      <c r="H11" s="148">
        <f>Data!$V11-Data!$W11</f>
        <v>60</v>
      </c>
      <c r="I11" s="148">
        <f>'Self-Funding'!$H11</f>
        <v>60</v>
      </c>
      <c r="J11" s="115">
        <f>MIN(1,'Self-Funding'!$G11/'Self-Funding'!$H11)</f>
        <v>0.1125</v>
      </c>
      <c r="K11" s="115">
        <f>MIN(1,'Self-Funding'!$G11/'Self-Funding'!$I11)-'Self-Funding'!$J11</f>
        <v>0</v>
      </c>
    </row>
    <row r="12" ht="14.25" customHeight="1">
      <c r="A12" s="113" t="str">
        <f>Data!$A12</f>
        <v>Candace</v>
      </c>
      <c r="B12" s="113">
        <v>1.0</v>
      </c>
      <c r="C12" s="113"/>
      <c r="D12" s="115">
        <f>MIN(1,Data!$O12/Data!$U12)</f>
        <v>0</v>
      </c>
      <c r="E12" s="148">
        <f>Data!$R12</f>
        <v>6</v>
      </c>
      <c r="F12" s="148">
        <f>Data!$U12</f>
        <v>15</v>
      </c>
      <c r="G12" s="148">
        <f>('Self-Funding'!$B12*Data!$F12+'Self-Funding'!$C12*Data!$G12)*3 + ('Self-Funding'!$D12*Data!$L12*Data!$U12)*3*0.6</f>
        <v>6</v>
      </c>
      <c r="H12" s="148">
        <f>Data!$V12-Data!$W12</f>
        <v>60</v>
      </c>
      <c r="I12" s="148">
        <f>('Self-Funding'!$H12-5*2)*10/15</f>
        <v>33.33333333</v>
      </c>
      <c r="J12" s="115">
        <f>MIN(1,'Self-Funding'!$G12/'Self-Funding'!$H12)</f>
        <v>0.1</v>
      </c>
      <c r="K12" s="115">
        <f>MIN(1,'Self-Funding'!$G12/'Self-Funding'!$I12)-'Self-Funding'!$J12</f>
        <v>0.08</v>
      </c>
    </row>
    <row r="13" ht="14.25" customHeight="1">
      <c r="A13" s="113" t="str">
        <f>Data!$A13</f>
        <v>Childe</v>
      </c>
      <c r="B13" s="113">
        <v>1.0</v>
      </c>
      <c r="C13" s="113"/>
      <c r="D13" s="115">
        <f>MIN(1,Data!$O13/Data!$U13)</f>
        <v>0</v>
      </c>
      <c r="E13" s="148">
        <f>Data!$R13</f>
        <v>13</v>
      </c>
      <c r="F13" s="148">
        <f>Data!$U13</f>
        <v>15</v>
      </c>
      <c r="G13" s="148">
        <f>('Self-Funding'!$B13*Data!$F13+'Self-Funding'!$C13*Data!$G13)*3 + ('Self-Funding'!$D13*Data!$L13*Data!$U13)*3*0.6</f>
        <v>9</v>
      </c>
      <c r="H13" s="148">
        <f>Data!$V13-Data!$W13</f>
        <v>60</v>
      </c>
      <c r="I13" s="148">
        <f>'Self-Funding'!$H13</f>
        <v>60</v>
      </c>
      <c r="J13" s="115">
        <f>MIN(1,'Self-Funding'!$G13/'Self-Funding'!$H13)</f>
        <v>0.15</v>
      </c>
      <c r="K13" s="115">
        <f>MIN(1,'Self-Funding'!$G13/'Self-Funding'!$I13)-'Self-Funding'!$J13</f>
        <v>0</v>
      </c>
    </row>
    <row r="14" ht="14.25" customHeight="1">
      <c r="A14" s="113" t="str">
        <f>Data!$A14</f>
        <v>Chongyun</v>
      </c>
      <c r="B14" s="113">
        <v>2.0</v>
      </c>
      <c r="C14" s="113"/>
      <c r="D14" s="115">
        <f>MIN(1,Data!$O14/Data!$U14)</f>
        <v>0</v>
      </c>
      <c r="E14" s="148">
        <f>Data!$R14</f>
        <v>15</v>
      </c>
      <c r="F14" s="148">
        <f>Data!$U14</f>
        <v>12</v>
      </c>
      <c r="G14" s="148">
        <f>('Self-Funding'!$B14*Data!$F14+'Self-Funding'!$C14*Data!$G14)*3 + ('Self-Funding'!$D14*Data!$L14*Data!$U14)*3*0.6</f>
        <v>24</v>
      </c>
      <c r="H14" s="148">
        <f>Data!$V14-Data!$W14</f>
        <v>40</v>
      </c>
      <c r="I14" s="148">
        <f>'Self-Funding'!$H14</f>
        <v>40</v>
      </c>
      <c r="J14" s="115">
        <f>MIN(1,'Self-Funding'!$G14/'Self-Funding'!$H14)</f>
        <v>0.6</v>
      </c>
      <c r="K14" s="115">
        <f>MIN(1,'Self-Funding'!$G14/'Self-Funding'!$I14)-'Self-Funding'!$J14</f>
        <v>0</v>
      </c>
    </row>
    <row r="15" ht="14.25" customHeight="1">
      <c r="A15" s="113" t="str">
        <f>Data!$A15</f>
        <v>Collei</v>
      </c>
      <c r="B15" s="113">
        <v>2.0</v>
      </c>
      <c r="C15" s="113"/>
      <c r="D15" s="115">
        <f>MIN(1,Data!$O15/Data!$U15)</f>
        <v>0</v>
      </c>
      <c r="E15" s="148">
        <f>Data!$R15</f>
        <v>12</v>
      </c>
      <c r="F15" s="148">
        <f>Data!$U15</f>
        <v>15</v>
      </c>
      <c r="G15" s="148">
        <f>('Self-Funding'!$B15*Data!$F15+'Self-Funding'!$C15*Data!$G15)*3 + ('Self-Funding'!$D15*Data!$L15*Data!$U15)*3*0.6</f>
        <v>18</v>
      </c>
      <c r="H15" s="148">
        <f>Data!$V15-Data!$W15</f>
        <v>60</v>
      </c>
      <c r="I15" s="148">
        <f>'Self-Funding'!$H15-15</f>
        <v>45</v>
      </c>
      <c r="J15" s="115">
        <f>MIN(1,'Self-Funding'!$G15/'Self-Funding'!$H15)</f>
        <v>0.3</v>
      </c>
      <c r="K15" s="115">
        <f>MIN(1,'Self-Funding'!$G15/'Self-Funding'!$I15)-'Self-Funding'!$J15</f>
        <v>0.1</v>
      </c>
    </row>
    <row r="16" ht="14.25" customHeight="1">
      <c r="A16" s="113" t="str">
        <f>Data!$A16</f>
        <v>Cyno</v>
      </c>
      <c r="B16" s="113">
        <v>1.5</v>
      </c>
      <c r="C16" s="113"/>
      <c r="D16" s="115">
        <f>MIN(1,Data!$O16/Data!$U16)</f>
        <v>0</v>
      </c>
      <c r="E16" s="148">
        <f>Data!$R16</f>
        <v>7.5</v>
      </c>
      <c r="F16" s="148">
        <f>Data!$U16</f>
        <v>20</v>
      </c>
      <c r="G16" s="148">
        <f>('Self-Funding'!$B16*Data!$F16+'Self-Funding'!$C16*Data!$G16)*3 + ('Self-Funding'!$D16*Data!$L16*Data!$U16)*3*0.6</f>
        <v>13.5</v>
      </c>
      <c r="H16" s="148">
        <f>Data!$V16-Data!$W16</f>
        <v>80</v>
      </c>
      <c r="I16" s="148">
        <f>'Self-Funding'!$H16</f>
        <v>80</v>
      </c>
      <c r="J16" s="115">
        <f>MIN(1,'Self-Funding'!$G16/'Self-Funding'!$H16)</f>
        <v>0.16875</v>
      </c>
      <c r="K16" s="115">
        <f>MIN(1,'Self-Funding'!$G16/'Self-Funding'!$I16)-'Self-Funding'!$J16</f>
        <v>0</v>
      </c>
    </row>
    <row r="17" ht="14.25" customHeight="1">
      <c r="A17" s="113" t="str">
        <f>Data!$A17</f>
        <v>Dehya</v>
      </c>
      <c r="B17" s="113">
        <v>1.3</v>
      </c>
      <c r="C17" s="113"/>
      <c r="D17" s="115">
        <f>MIN(1,Data!$O17/Data!$U17)</f>
        <v>0.6666666667</v>
      </c>
      <c r="E17" s="148">
        <f>Data!$R17</f>
        <v>20</v>
      </c>
      <c r="F17" s="148">
        <f>Data!$U17</f>
        <v>18</v>
      </c>
      <c r="G17" s="148">
        <f>('Self-Funding'!$B17*Data!$F17+'Self-Funding'!$C17*Data!$G17)*3 + ('Self-Funding'!$D17*Data!$L17*Data!$U17)*3*0.6</f>
        <v>7.128</v>
      </c>
      <c r="H17" s="148">
        <f>Data!$V17-Data!$W17-5*2*0.7</f>
        <v>63</v>
      </c>
      <c r="I17" s="148">
        <f>'Self-Funding'!$H17-3*10/3</f>
        <v>53</v>
      </c>
      <c r="J17" s="115">
        <f>MIN(1,'Self-Funding'!$G17/'Self-Funding'!$H17)</f>
        <v>0.1131428571</v>
      </c>
      <c r="K17" s="115">
        <f>MIN(1,'Self-Funding'!$G17/'Self-Funding'!$I17)-'Self-Funding'!$J17</f>
        <v>0.02134770889</v>
      </c>
    </row>
    <row r="18" ht="14.25" customHeight="1">
      <c r="A18" s="113" t="str">
        <f>Data!$A18</f>
        <v>Diluc</v>
      </c>
      <c r="B18" s="113"/>
      <c r="C18" s="113">
        <v>1.0</v>
      </c>
      <c r="D18" s="115">
        <f>MIN(1,Data!$O18/Data!$U18)</f>
        <v>0</v>
      </c>
      <c r="E18" s="148">
        <f>Data!$R18</f>
        <v>10</v>
      </c>
      <c r="F18" s="148">
        <f>Data!$U18</f>
        <v>12</v>
      </c>
      <c r="G18" s="148">
        <f>('Self-Funding'!$B18*Data!$F18+'Self-Funding'!$C18*Data!$G18)*3 + ('Self-Funding'!$D18*Data!$L18*Data!$U18)*3*0.6</f>
        <v>0</v>
      </c>
      <c r="H18" s="148">
        <f>Data!$V18-Data!$W18</f>
        <v>40</v>
      </c>
      <c r="I18" s="148">
        <f>'Self-Funding'!$H18</f>
        <v>40</v>
      </c>
      <c r="J18" s="115">
        <f>MIN(1,'Self-Funding'!$G18/'Self-Funding'!$H18)</f>
        <v>0</v>
      </c>
      <c r="K18" s="115">
        <f>MIN(1,'Self-Funding'!$G18/'Self-Funding'!$I18)-'Self-Funding'!$J18</f>
        <v>0</v>
      </c>
    </row>
    <row r="19" ht="14.25" customHeight="1">
      <c r="A19" s="113" t="str">
        <f>Data!$A19</f>
        <v>Diona</v>
      </c>
      <c r="B19" s="113">
        <v>1.0</v>
      </c>
      <c r="C19" s="113"/>
      <c r="D19" s="115">
        <f>MIN(1,Data!$O19/Data!$U19)</f>
        <v>0</v>
      </c>
      <c r="E19" s="148">
        <f>Data!$R19</f>
        <v>6</v>
      </c>
      <c r="F19" s="148">
        <f>Data!$U19</f>
        <v>20</v>
      </c>
      <c r="G19" s="148">
        <f>('Self-Funding'!$B19*Data!$F19+'Self-Funding'!$C19*Data!$G19)*3 + ('Self-Funding'!$D19*Data!$L19*Data!$U19)*3*0.6</f>
        <v>4.8</v>
      </c>
      <c r="H19" s="148">
        <f>Data!$V19-Data!$W19</f>
        <v>80</v>
      </c>
      <c r="I19" s="148">
        <f>'Self-Funding'!$H19</f>
        <v>80</v>
      </c>
      <c r="J19" s="115">
        <f>MIN(1,'Self-Funding'!$G19/'Self-Funding'!$H19)</f>
        <v>0.06</v>
      </c>
      <c r="K19" s="115">
        <f>MIN(1,'Self-Funding'!$G19/'Self-Funding'!$I19)-'Self-Funding'!$J19</f>
        <v>0</v>
      </c>
    </row>
    <row r="20" ht="14.25" customHeight="1">
      <c r="A20" s="113" t="str">
        <f>Data!$A20</f>
        <v>Dori</v>
      </c>
      <c r="B20" s="113">
        <v>1.0</v>
      </c>
      <c r="C20" s="113"/>
      <c r="D20" s="115">
        <f>MIN(1,Data!$O20/Data!$U20)</f>
        <v>0</v>
      </c>
      <c r="E20" s="148">
        <f>Data!$R20</f>
        <v>9</v>
      </c>
      <c r="F20" s="148">
        <f>Data!$U20</f>
        <v>20</v>
      </c>
      <c r="G20" s="148">
        <f>('Self-Funding'!$B20*Data!$F20+'Self-Funding'!$C20*Data!$G20)*3 + ('Self-Funding'!$D20*Data!$L20*Data!$U20)*3*0.6</f>
        <v>6</v>
      </c>
      <c r="H20" s="148">
        <f>Data!$V20-Data!$W20</f>
        <v>80</v>
      </c>
      <c r="I20" s="148">
        <f>'Self-Funding'!$H20/2</f>
        <v>40</v>
      </c>
      <c r="J20" s="115">
        <f>MIN(1,'Self-Funding'!$G20/'Self-Funding'!$H20)</f>
        <v>0.075</v>
      </c>
      <c r="K20" s="115">
        <f>MIN(1,'Self-Funding'!$G20/'Self-Funding'!$I20)-'Self-Funding'!$J20</f>
        <v>0.075</v>
      </c>
    </row>
    <row r="21" ht="14.25" customHeight="1">
      <c r="A21" s="113" t="str">
        <f>Data!$A21</f>
        <v>Eula</v>
      </c>
      <c r="B21" s="113">
        <v>1.0</v>
      </c>
      <c r="C21" s="113"/>
      <c r="D21" s="115">
        <f>MIN(1,Data!$O21/Data!$U21)</f>
        <v>0</v>
      </c>
      <c r="E21" s="148">
        <f>Data!$R21</f>
        <v>4</v>
      </c>
      <c r="F21" s="148">
        <f>Data!$U21</f>
        <v>20</v>
      </c>
      <c r="G21" s="148">
        <f>('Self-Funding'!$B21*Data!$F21+'Self-Funding'!$C21*Data!$G21)*3 + ('Self-Funding'!$D21*Data!$L21*Data!$U21)*3*0.6</f>
        <v>4.5</v>
      </c>
      <c r="H21" s="148">
        <f>Data!$V21-Data!$W21</f>
        <v>80</v>
      </c>
      <c r="I21" s="148">
        <f>'Self-Funding'!$H21</f>
        <v>80</v>
      </c>
      <c r="J21" s="115">
        <f>MIN(1,'Self-Funding'!$G21/'Self-Funding'!$H21)</f>
        <v>0.05625</v>
      </c>
      <c r="K21" s="115">
        <f>MIN(1,'Self-Funding'!$G21/'Self-Funding'!$I21)-'Self-Funding'!$J21</f>
        <v>0</v>
      </c>
    </row>
    <row r="22" ht="14.25" customHeight="1">
      <c r="A22" s="113" t="str">
        <f>Data!$A22</f>
        <v>Faruzan</v>
      </c>
      <c r="B22" s="113">
        <v>1.0</v>
      </c>
      <c r="C22" s="113"/>
      <c r="D22" s="115">
        <f>MIN(1,Data!$O22/Data!$U22)</f>
        <v>0</v>
      </c>
      <c r="E22" s="148">
        <f>Data!$R22</f>
        <v>6</v>
      </c>
      <c r="F22" s="148">
        <f>Data!$U22</f>
        <v>20</v>
      </c>
      <c r="G22" s="148">
        <f>('Self-Funding'!$B22*Data!$F22+'Self-Funding'!$C22*Data!$G22)*3 + ('Self-Funding'!$D22*Data!$L22*Data!$U22)*3*0.6</f>
        <v>6</v>
      </c>
      <c r="H22" s="148">
        <f>Data!$V22-Data!$W22</f>
        <v>80</v>
      </c>
      <c r="I22" s="148">
        <f>'Self-Funding'!$H22-2*5</f>
        <v>70</v>
      </c>
      <c r="J22" s="115">
        <f>MIN(1,'Self-Funding'!$G22/'Self-Funding'!$H22)</f>
        <v>0.075</v>
      </c>
      <c r="K22" s="115">
        <f>MIN(1,'Self-Funding'!$G22/'Self-Funding'!$I22)-'Self-Funding'!$J22</f>
        <v>0.01071428571</v>
      </c>
    </row>
    <row r="23" ht="14.25" customHeight="1">
      <c r="A23" s="113" t="str">
        <f>Data!$A23</f>
        <v>Fischl</v>
      </c>
      <c r="B23" s="113">
        <v>2.0</v>
      </c>
      <c r="C23" s="113"/>
      <c r="D23" s="115">
        <f>MIN(1,Data!$O23/Data!$U23)</f>
        <v>0.6666666667</v>
      </c>
      <c r="E23" s="148">
        <f>Data!$R23</f>
        <v>25</v>
      </c>
      <c r="F23" s="148">
        <f>Data!$U23</f>
        <v>15</v>
      </c>
      <c r="G23" s="148">
        <f>('Self-Funding'!$B23*Data!$F23+'Self-Funding'!$C23*Data!$G23)*3 + ('Self-Funding'!$D23*Data!$L23*Data!$U23)*3*0.6</f>
        <v>12.06</v>
      </c>
      <c r="H23" s="148">
        <f>Data!$V23-Data!$W23</f>
        <v>60</v>
      </c>
      <c r="I23" s="148">
        <f>'Self-Funding'!$H23</f>
        <v>60</v>
      </c>
      <c r="J23" s="115">
        <f>MIN(1,'Self-Funding'!$G23/'Self-Funding'!$H23)</f>
        <v>0.201</v>
      </c>
      <c r="K23" s="115">
        <f>MIN(1,'Self-Funding'!$G23/'Self-Funding'!$I23)-'Self-Funding'!$J23</f>
        <v>0</v>
      </c>
    </row>
    <row r="24" ht="14.25" customHeight="1">
      <c r="A24" s="113" t="str">
        <f>Data!$A24</f>
        <v>Ganyu</v>
      </c>
      <c r="B24" s="113">
        <v>2.0</v>
      </c>
      <c r="C24" s="113"/>
      <c r="D24" s="115">
        <f>MIN(1,Data!$O24/Data!$U24)</f>
        <v>0</v>
      </c>
      <c r="E24" s="148">
        <f>Data!$R24</f>
        <v>10</v>
      </c>
      <c r="F24" s="148">
        <f>Data!$U24</f>
        <v>15</v>
      </c>
      <c r="G24" s="148">
        <f>('Self-Funding'!$B24*Data!$F24+'Self-Funding'!$C24*Data!$G24)*3 + ('Self-Funding'!$D24*Data!$L24*Data!$U24)*3*0.6</f>
        <v>24</v>
      </c>
      <c r="H24" s="148">
        <f>Data!$V24-Data!$W24</f>
        <v>60</v>
      </c>
      <c r="I24" s="148">
        <f>'Self-Funding'!$H24</f>
        <v>60</v>
      </c>
      <c r="J24" s="115">
        <f>MIN(1,'Self-Funding'!$G24/'Self-Funding'!$H24)</f>
        <v>0.4</v>
      </c>
      <c r="K24" s="115">
        <f>MIN(1,'Self-Funding'!$G24/'Self-Funding'!$I24)-'Self-Funding'!$J24</f>
        <v>0</v>
      </c>
    </row>
    <row r="25" ht="14.25" customHeight="1">
      <c r="A25" s="113" t="str">
        <f>Data!$A25</f>
        <v>Gorou</v>
      </c>
      <c r="B25" s="113">
        <v>1.0</v>
      </c>
      <c r="C25" s="113"/>
      <c r="D25" s="115">
        <f>MIN(1,Data!$O25/Data!$U25)</f>
        <v>0</v>
      </c>
      <c r="E25" s="148">
        <f>Data!$R25</f>
        <v>10</v>
      </c>
      <c r="F25" s="148">
        <f>Data!$U25</f>
        <v>20</v>
      </c>
      <c r="G25" s="148">
        <f>('Self-Funding'!$B25*Data!$F25+'Self-Funding'!$C25*Data!$G25)*3 + ('Self-Funding'!$D25*Data!$L25*Data!$U25)*3*0.6</f>
        <v>6</v>
      </c>
      <c r="H25" s="148">
        <f>Data!$V25-Data!$W25</f>
        <v>80</v>
      </c>
      <c r="I25" s="148">
        <f>'Self-Funding'!$H25/1.3</f>
        <v>61.53846154</v>
      </c>
      <c r="J25" s="115">
        <f>MIN(1,'Self-Funding'!$G25/'Self-Funding'!$H25)</f>
        <v>0.075</v>
      </c>
      <c r="K25" s="115">
        <f>MIN(1,'Self-Funding'!$G25/'Self-Funding'!$I25)-'Self-Funding'!$J25</f>
        <v>0.0225</v>
      </c>
    </row>
    <row r="26" ht="14.25" customHeight="1">
      <c r="A26" s="113" t="str">
        <f>Data!$A26</f>
        <v>Heizou</v>
      </c>
      <c r="B26" s="113">
        <v>1.5</v>
      </c>
      <c r="C26" s="113"/>
      <c r="D26" s="115">
        <f>MIN(1,Data!$O26/Data!$U26)</f>
        <v>0</v>
      </c>
      <c r="E26" s="148">
        <f>Data!$R26</f>
        <v>10</v>
      </c>
      <c r="F26" s="148">
        <f>Data!$U26</f>
        <v>12</v>
      </c>
      <c r="G26" s="148">
        <f>('Self-Funding'!$B26*Data!$F26+'Self-Funding'!$C26*Data!$G26)*3 + ('Self-Funding'!$D26*Data!$L26*Data!$U26)*3*0.6</f>
        <v>9</v>
      </c>
      <c r="H26" s="148">
        <f>Data!$V26-Data!$W26</f>
        <v>40</v>
      </c>
      <c r="I26" s="148">
        <f>'Self-Funding'!$H26</f>
        <v>40</v>
      </c>
      <c r="J26" s="115">
        <f>MIN(1,'Self-Funding'!$G26/'Self-Funding'!$H26)</f>
        <v>0.225</v>
      </c>
      <c r="K26" s="115">
        <f>MIN(1,'Self-Funding'!$G26/'Self-Funding'!$I26)-'Self-Funding'!$J26</f>
        <v>0</v>
      </c>
    </row>
    <row r="27" ht="14.25" customHeight="1">
      <c r="A27" s="113" t="str">
        <f>Data!$A27</f>
        <v>Hu Tao</v>
      </c>
      <c r="B27" s="113"/>
      <c r="C27" s="113">
        <v>1.0</v>
      </c>
      <c r="D27" s="115">
        <f>MIN(1,Data!$O27/Data!$U27)</f>
        <v>0</v>
      </c>
      <c r="E27" s="148">
        <f>Data!$R27</f>
        <v>16</v>
      </c>
      <c r="F27" s="148">
        <f>Data!$U27</f>
        <v>15</v>
      </c>
      <c r="G27" s="148">
        <f>('Self-Funding'!$B27*Data!$F27+'Self-Funding'!$C27*Data!$G27)*3 + ('Self-Funding'!$D27*Data!$L27*Data!$U27)*3*0.6</f>
        <v>0</v>
      </c>
      <c r="H27" s="148">
        <f>Data!$V27-Data!$W27</f>
        <v>60</v>
      </c>
      <c r="I27" s="148">
        <f>'Self-Funding'!$H27</f>
        <v>60</v>
      </c>
      <c r="J27" s="115">
        <f>MIN(1,'Self-Funding'!$G27/'Self-Funding'!$H27)</f>
        <v>0</v>
      </c>
      <c r="K27" s="115">
        <f>MIN(1,'Self-Funding'!$G27/'Self-Funding'!$I27)-'Self-Funding'!$J27</f>
        <v>0</v>
      </c>
    </row>
    <row r="28" ht="14.25" customHeight="1">
      <c r="A28" s="113" t="str">
        <f>Data!$A28</f>
        <v>Itto</v>
      </c>
      <c r="B28" s="113">
        <v>2.0</v>
      </c>
      <c r="C28" s="113"/>
      <c r="D28" s="115">
        <f>MIN(1,Data!$O28/Data!$U28)</f>
        <v>0</v>
      </c>
      <c r="E28" s="148">
        <f>Data!$R28</f>
        <v>10</v>
      </c>
      <c r="F28" s="148">
        <f>Data!$U28</f>
        <v>18</v>
      </c>
      <c r="G28" s="148">
        <f>('Self-Funding'!$B28*Data!$F28+'Self-Funding'!$C28*Data!$G28)*3 + ('Self-Funding'!$D28*Data!$L28*Data!$U28)*3*0.6</f>
        <v>21</v>
      </c>
      <c r="H28" s="148">
        <f>Data!$V28-Data!$W28</f>
        <v>70</v>
      </c>
      <c r="I28" s="148">
        <f>'Self-Funding'!$H28</f>
        <v>70</v>
      </c>
      <c r="J28" s="115">
        <f>MIN(1,'Self-Funding'!$G28/'Self-Funding'!$H28)</f>
        <v>0.3</v>
      </c>
      <c r="K28" s="115">
        <f>MIN(1,'Self-Funding'!$G28/'Self-Funding'!$I28)-'Self-Funding'!$J28</f>
        <v>0</v>
      </c>
    </row>
    <row r="29" ht="14.25" customHeight="1">
      <c r="A29" s="113" t="str">
        <f>Data!$A29</f>
        <v>Jean</v>
      </c>
      <c r="B29" s="113">
        <v>2.0</v>
      </c>
      <c r="C29" s="113"/>
      <c r="D29" s="115">
        <f>MIN(1,Data!$O29/Data!$U29)</f>
        <v>0</v>
      </c>
      <c r="E29" s="148">
        <f>Data!$R29</f>
        <v>6</v>
      </c>
      <c r="F29" s="148">
        <f>Data!$U29</f>
        <v>20</v>
      </c>
      <c r="G29" s="148">
        <f>('Self-Funding'!$B29*Data!$F29+'Self-Funding'!$C29*Data!$G29)*3 + ('Self-Funding'!$D29*Data!$L29*Data!$U29)*3*0.6</f>
        <v>16.02</v>
      </c>
      <c r="H29" s="148">
        <f>Data!$V29-Data!$W29</f>
        <v>64</v>
      </c>
      <c r="I29" s="148">
        <f>'Self-Funding'!$H29</f>
        <v>64</v>
      </c>
      <c r="J29" s="115">
        <f>MIN(1,'Self-Funding'!$G29/'Self-Funding'!$H29)</f>
        <v>0.2503125</v>
      </c>
      <c r="K29" s="115">
        <f>MIN(1,'Self-Funding'!$G29/'Self-Funding'!$I29)-'Self-Funding'!$J29</f>
        <v>0</v>
      </c>
    </row>
    <row r="30" ht="14.25" customHeight="1">
      <c r="A30" s="113" t="str">
        <f>Data!$A30</f>
        <v>Kaeya</v>
      </c>
      <c r="B30" s="113">
        <v>1.3</v>
      </c>
      <c r="C30" s="113"/>
      <c r="D30" s="115">
        <f>MIN(1,Data!$O30/Data!$U30)*1.3</f>
        <v>0</v>
      </c>
      <c r="E30" s="148">
        <f>Data!$R30</f>
        <v>6</v>
      </c>
      <c r="F30" s="148">
        <f>Data!$U30</f>
        <v>15</v>
      </c>
      <c r="G30" s="148">
        <f>('Self-Funding'!$B30*Data!$F30+'Self-Funding'!$C30*Data!$G30)*3 + ('Self-Funding'!$D30*Data!$L30*Data!$U30)*3*0.6</f>
        <v>10.413</v>
      </c>
      <c r="H30" s="148">
        <f>Data!$V30-Data!$W30</f>
        <v>60</v>
      </c>
      <c r="I30" s="148">
        <f>'Self-Funding'!$H30</f>
        <v>60</v>
      </c>
      <c r="J30" s="115">
        <f>MIN(1,'Self-Funding'!$G30/'Self-Funding'!$H30)</f>
        <v>0.17355</v>
      </c>
      <c r="K30" s="115">
        <f>MIN(1,'Self-Funding'!$G30/'Self-Funding'!$I30)-'Self-Funding'!$J30</f>
        <v>0</v>
      </c>
    </row>
    <row r="31" ht="14.25" customHeight="1">
      <c r="A31" s="113" t="str">
        <f>Data!$A31</f>
        <v>Kaveh</v>
      </c>
      <c r="B31" s="113">
        <v>2.0</v>
      </c>
      <c r="C31" s="113"/>
      <c r="D31" s="115">
        <f>MIN(1,Data!$O31/Data!$U31)</f>
        <v>0</v>
      </c>
      <c r="E31" s="148">
        <f>Data!$R31</f>
        <v>6</v>
      </c>
      <c r="F31" s="148">
        <f>Data!$U31</f>
        <v>20</v>
      </c>
      <c r="G31" s="148">
        <f>('Self-Funding'!$B31*Data!$F31+'Self-Funding'!$C31*Data!$G31)*3 + ('Self-Funding'!$D31*Data!$L31*Data!$U31)*3*0.6</f>
        <v>12</v>
      </c>
      <c r="H31" s="148">
        <f>Data!$V31-Data!$W31</f>
        <v>80</v>
      </c>
      <c r="I31" s="148">
        <f>'Self-Funding'!$H31/1.2</f>
        <v>66.66666667</v>
      </c>
      <c r="J31" s="115">
        <f>MIN(1,'Self-Funding'!$G31/'Self-Funding'!$H31)</f>
        <v>0.15</v>
      </c>
      <c r="K31" s="115">
        <f>MIN(1,'Self-Funding'!$G31/'Self-Funding'!$I31)-'Self-Funding'!$J31</f>
        <v>0.03</v>
      </c>
    </row>
    <row r="32" ht="14.25" customHeight="1">
      <c r="A32" s="113" t="str">
        <f>Data!$A32</f>
        <v>Kazuha</v>
      </c>
      <c r="B32" s="113">
        <v>1.0</v>
      </c>
      <c r="C32" s="113"/>
      <c r="D32" s="115">
        <f>MIN(1,Data!$O32/Data!$U32)</f>
        <v>0</v>
      </c>
      <c r="E32" s="148">
        <f>Data!$R32</f>
        <v>6</v>
      </c>
      <c r="F32" s="148">
        <f>Data!$U32</f>
        <v>15</v>
      </c>
      <c r="G32" s="148">
        <f>('Self-Funding'!$B32*Data!$F32+'Self-Funding'!$C32*Data!$G32)*3 + ('Self-Funding'!$D32*Data!$L32*Data!$U32)*3*0.6</f>
        <v>9</v>
      </c>
      <c r="H32" s="148">
        <f>Data!$V32-Data!$W32</f>
        <v>60</v>
      </c>
      <c r="I32" s="148">
        <f>'Self-Funding'!$H32-12</f>
        <v>48</v>
      </c>
      <c r="J32" s="115">
        <f>MIN(1,'Self-Funding'!$G32/'Self-Funding'!$H32)</f>
        <v>0.15</v>
      </c>
      <c r="K32" s="115">
        <f>MIN(1,'Self-Funding'!$G32/'Self-Funding'!$I32)-'Self-Funding'!$J32</f>
        <v>0.0375</v>
      </c>
    </row>
    <row r="33" ht="14.25" customHeight="1">
      <c r="A33" s="113" t="str">
        <f>Data!$A33</f>
        <v>Keqing</v>
      </c>
      <c r="B33" s="113">
        <v>1.0</v>
      </c>
      <c r="C33" s="113"/>
      <c r="D33" s="115">
        <f>MIN(1,Data!$O33/Data!$U33)</f>
        <v>0</v>
      </c>
      <c r="E33" s="148">
        <f>Data!$R33</f>
        <v>7.5</v>
      </c>
      <c r="F33" s="148">
        <f>Data!$U33</f>
        <v>12</v>
      </c>
      <c r="G33" s="148">
        <f>('Self-Funding'!$B33*Data!$F33+'Self-Funding'!$C33*Data!$G33)*3 + ('Self-Funding'!$D33*Data!$L33*Data!$U33)*3*0.6</f>
        <v>7.5</v>
      </c>
      <c r="H33" s="148">
        <f>Data!$V33-Data!$W33</f>
        <v>40</v>
      </c>
      <c r="I33" s="148">
        <f>'Self-Funding'!$H33</f>
        <v>40</v>
      </c>
      <c r="J33" s="115">
        <f>MIN(1,'Self-Funding'!$G33/'Self-Funding'!$H33)</f>
        <v>0.1875</v>
      </c>
      <c r="K33" s="115">
        <f>MIN(1,'Self-Funding'!$G33/'Self-Funding'!$I33)-'Self-Funding'!$J33</f>
        <v>0</v>
      </c>
    </row>
    <row r="34" ht="14.25" customHeight="1">
      <c r="A34" s="113" t="str">
        <f>Data!$A34</f>
        <v>Kirara</v>
      </c>
      <c r="B34" s="113">
        <v>2.0</v>
      </c>
      <c r="C34" s="113"/>
      <c r="D34" s="115">
        <f>MIN(1,Data!$O34/Data!$U34)</f>
        <v>0</v>
      </c>
      <c r="E34" s="148">
        <f>Data!$R34</f>
        <v>8</v>
      </c>
      <c r="F34" s="148">
        <f>Data!$U34</f>
        <v>15</v>
      </c>
      <c r="G34" s="148">
        <f>('Self-Funding'!$B34*Data!$F34+'Self-Funding'!$C34*Data!$G34)*3 + ('Self-Funding'!$D34*Data!$L34*Data!$U34)*3*0.6</f>
        <v>18</v>
      </c>
      <c r="H34" s="148">
        <f>Data!$V34-Data!$W34</f>
        <v>60</v>
      </c>
      <c r="I34" s="148">
        <f>'Self-Funding'!$H34</f>
        <v>60</v>
      </c>
      <c r="J34" s="115">
        <f>MIN(1,'Self-Funding'!$G34/'Self-Funding'!$H34)</f>
        <v>0.3</v>
      </c>
      <c r="K34" s="115">
        <f>MIN(1,'Self-Funding'!$G34/'Self-Funding'!$I34)-'Self-Funding'!$J34</f>
        <v>0</v>
      </c>
    </row>
    <row r="35" ht="14.25" customHeight="1">
      <c r="A35" s="113" t="str">
        <f>Data!$A35</f>
        <v>Klee</v>
      </c>
      <c r="B35" s="113">
        <v>1.0</v>
      </c>
      <c r="C35" s="113"/>
      <c r="D35" s="115">
        <f>MIN(1,Data!$O35/Data!$U35)</f>
        <v>0</v>
      </c>
      <c r="E35" s="148">
        <f>Data!$R35</f>
        <v>20</v>
      </c>
      <c r="F35" s="148">
        <f>Data!$U35</f>
        <v>15</v>
      </c>
      <c r="G35" s="148">
        <f>('Self-Funding'!$B35*Data!$F35+'Self-Funding'!$C35*Data!$G35)*3 + ('Self-Funding'!$D35*Data!$L35*Data!$U35)*3*0.6</f>
        <v>12</v>
      </c>
      <c r="H35" s="148">
        <f>Data!$V35-Data!$W35</f>
        <v>60</v>
      </c>
      <c r="I35" s="148">
        <f>'Self-Funding'!$H35</f>
        <v>60</v>
      </c>
      <c r="J35" s="115">
        <f>MIN(1,'Self-Funding'!$G35/'Self-Funding'!$H35)</f>
        <v>0.2</v>
      </c>
      <c r="K35" s="115">
        <f>MIN(1,'Self-Funding'!$G35/'Self-Funding'!$I35)-'Self-Funding'!$J35</f>
        <v>0</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8.0"/>
    <col customWidth="1" min="2" max="2" width="9.43"/>
    <col customWidth="1" min="3" max="3" width="9.71"/>
    <col customWidth="1" min="4" max="4" width="11.29"/>
    <col customWidth="1" min="5" max="6" width="8.71"/>
    <col customWidth="1" min="7" max="7" width="11.57"/>
    <col customWidth="1" min="8" max="8" width="8.71"/>
    <col customWidth="1" min="9" max="10" width="13.43"/>
    <col customWidth="1" min="11" max="11" width="10.43"/>
    <col customWidth="1" min="12" max="14" width="16.86"/>
    <col customWidth="1" min="15" max="15" width="18.57"/>
    <col customWidth="1" min="16" max="16" width="22.57"/>
    <col customWidth="1" min="17" max="17" width="19.29"/>
    <col customWidth="1" min="18" max="18" width="23.43"/>
    <col customWidth="1" min="19" max="27" width="14.86"/>
    <col customWidth="1" min="28" max="28" width="14.43"/>
    <col customWidth="1" min="29" max="30" width="8.71"/>
  </cols>
  <sheetData>
    <row r="1" ht="14.25" customHeight="1">
      <c r="D1" s="27"/>
    </row>
    <row r="2" ht="14.25" customHeight="1">
      <c r="A2" s="113" t="s">
        <v>14</v>
      </c>
      <c r="B2" s="113" t="s">
        <v>565</v>
      </c>
      <c r="C2" s="113" t="s">
        <v>53</v>
      </c>
      <c r="D2" s="115" t="s">
        <v>566</v>
      </c>
      <c r="E2" s="113" t="s">
        <v>567</v>
      </c>
      <c r="F2" s="113" t="s">
        <v>568</v>
      </c>
      <c r="G2" s="113" t="s">
        <v>569</v>
      </c>
      <c r="H2" s="113" t="s">
        <v>570</v>
      </c>
      <c r="I2" s="113" t="s">
        <v>571</v>
      </c>
      <c r="J2" s="113" t="s">
        <v>572</v>
      </c>
      <c r="K2" s="113" t="s">
        <v>573</v>
      </c>
      <c r="L2" s="113" t="s">
        <v>574</v>
      </c>
      <c r="M2" s="113" t="s">
        <v>575</v>
      </c>
      <c r="N2" s="113" t="s">
        <v>576</v>
      </c>
      <c r="O2" s="113" t="s">
        <v>577</v>
      </c>
      <c r="P2" s="113" t="s">
        <v>578</v>
      </c>
      <c r="Q2" s="113" t="s">
        <v>579</v>
      </c>
      <c r="R2" s="113" t="s">
        <v>580</v>
      </c>
      <c r="S2" s="113" t="s">
        <v>581</v>
      </c>
      <c r="T2" s="113" t="s">
        <v>582</v>
      </c>
      <c r="U2" s="113" t="s">
        <v>583</v>
      </c>
      <c r="V2" s="113" t="s">
        <v>584</v>
      </c>
      <c r="W2" s="113" t="s">
        <v>585</v>
      </c>
      <c r="X2" s="113" t="s">
        <v>586</v>
      </c>
      <c r="Y2" s="113" t="s">
        <v>587</v>
      </c>
      <c r="Z2" s="113" t="s">
        <v>588</v>
      </c>
      <c r="AA2" s="113" t="s">
        <v>589</v>
      </c>
      <c r="AB2" s="113" t="s">
        <v>590</v>
      </c>
    </row>
    <row r="3" ht="14.25" customHeight="1">
      <c r="A3" s="113" t="s">
        <v>167</v>
      </c>
      <c r="B3" s="113"/>
      <c r="C3" s="113" t="s">
        <v>54</v>
      </c>
      <c r="D3" s="115">
        <v>0.1</v>
      </c>
      <c r="E3" s="113"/>
      <c r="F3" s="113"/>
      <c r="G3" s="113">
        <f t="array" ref="G3">INDEX(Data!$U$2:$U$75,MATCH(Calculations!$A3,Data!$A$2:$A$75,0))</f>
        <v>12</v>
      </c>
      <c r="H3" s="113">
        <f t="array" ref="H3">INDEX(Data!$V$2:$V$75,MATCH(Calculations!$A3,Data!$A$2:$A$75,0))</f>
        <v>40</v>
      </c>
      <c r="I3" s="116">
        <f t="array" ref="I3">INDEX(Data!$F$2:$F$75,MATCH(Calculations!$A3,Data!$A$2:$A$75,0)) * Calculations!$E3 +
 INDEX(Data!$G$2:$G$75,MATCH(Calculations!$A3,Data!$A$2:$A$75,0)) * Calculations!$F3 +
INDEX(Data!$L$2:$L$75,MATCH(Calculations!$A3,Data!$A$2:$A$75,0)) * (0.6 +0.4*Calculations!$D3) * MIN(INDEX(Data!$O$2:$O$75,MATCH(Calculations!$A3,Data!$A$2:$A$75,0)), Calculations!$G3)</f>
        <v>2.304</v>
      </c>
      <c r="J3" s="116">
        <f>Calculations!$I3*OnFieldRight</f>
        <v>6.912</v>
      </c>
      <c r="K3" s="116"/>
      <c r="L3" s="116">
        <f>(Calculations!$D3*OnFieldOrb + (1-Calculations!$D3*OffFieldOrb)) * OrbsPerRun / (90/Calculations!$G3)</f>
        <v>1.157333333</v>
      </c>
      <c r="M3" s="116">
        <f>(Calculations!$D3*OnFieldOrb + (1-Calculations!$D3*OffFieldOrb)) * OrbsPerRun / (150/Calculations!$G3)</f>
        <v>0.6944</v>
      </c>
      <c r="N3" s="116">
        <f>(Calculations!$D3*OnFieldOrb + (1-Calculations!$D3*OffFieldOrb)) * OrbsPerRun / (300/Calculations!$G3)</f>
        <v>0.3472</v>
      </c>
      <c r="O3" s="116">
        <f>LowEPS*Calculations!$G3</f>
        <v>4.428</v>
      </c>
      <c r="P3" s="116">
        <f>MedEPS*Calculations!$G3</f>
        <v>9.18</v>
      </c>
      <c r="Q3" s="116">
        <f>HighEPS*Calculations!$G3</f>
        <v>17.472</v>
      </c>
      <c r="R3" s="116">
        <f>VHighEPS*Calculations!$G3</f>
        <v>29.1024</v>
      </c>
      <c r="S3" s="115">
        <f>MAX(1, (Calculations!$H3-Calculations!$K3) / (Calculations!$J3 + Calculations!$L3 + Calculations!$O3))</f>
        <v>3.200682812</v>
      </c>
      <c r="T3" s="115">
        <f>MAX(1, (Calculations!$H3-Calculations!$K3) / (Calculations!$J3 + Calculations!$L3 + Calculations!$P3))</f>
        <v>2.3189302</v>
      </c>
      <c r="U3" s="115">
        <f>MAX(1, (Calculations!$H3-Calculations!$K3) / (Calculations!$J3 + Calculations!$L3 + Calculations!$Q3))</f>
        <v>1.566088954</v>
      </c>
      <c r="V3" s="115">
        <f>MAX(1, (Calculations!$H3-Calculations!$K3) / (Calculations!$J3 + Calculations!$L3 + Calculations!$R3))</f>
        <v>1.076086489</v>
      </c>
      <c r="W3" s="115">
        <f>MAX(1, (Calculations!$H3-Calculations!$K3) / (Calculations!$J3 + Calculations!$M3 + Calculations!$O3))</f>
        <v>3.323805092</v>
      </c>
      <c r="X3" s="115">
        <f>MAX(1, (Calculations!$H3-Calculations!$K3) / (Calculations!$J3 + Calculations!$M3 + Calculations!$P3))</f>
        <v>2.38288138</v>
      </c>
      <c r="Y3" s="115">
        <f>MAX(1, (Calculations!$H3-Calculations!$K3) / (Calculations!$J3 + Calculations!$M3 + Calculations!$Q3))</f>
        <v>1.594998086</v>
      </c>
      <c r="Z3" s="115">
        <f>MAX(1, (Calculations!$H3-Calculations!$K3) / (Calculations!$J3 + Calculations!$N3 + Calculations!$O3))</f>
        <v>3.422547745</v>
      </c>
      <c r="AA3" s="115">
        <f>MAX(1, (Calculations!$H3-Calculations!$K3) / (Calculations!$J3 + Calculations!$N3 + Calculations!$P3))</f>
        <v>2.433208429</v>
      </c>
      <c r="AB3" s="115">
        <f>MAX(1, (Calculations!$H3-Calculations!$K3) / (Calculations!$J3 + Calculations!$N3 + Calculations!$Q3))</f>
        <v>1.617390179</v>
      </c>
      <c r="AC3" s="27"/>
      <c r="AD3" s="27"/>
    </row>
    <row r="4" ht="14.25" customHeight="1">
      <c r="A4" s="113" t="s">
        <v>171</v>
      </c>
      <c r="B4" s="113"/>
      <c r="C4" s="113" t="s">
        <v>63</v>
      </c>
      <c r="D4" s="115">
        <v>0.1</v>
      </c>
      <c r="E4" s="113">
        <v>1.0</v>
      </c>
      <c r="F4" s="113"/>
      <c r="G4" s="113">
        <f t="array" ref="G4">INDEX(Data!$U$2:$U$75,MATCH(Calculations!$A4,Data!$A$2:$A$75,0))</f>
        <v>12</v>
      </c>
      <c r="H4" s="113">
        <f t="array" ref="H4">INDEX(Data!$V$2:$V$75,MATCH(Calculations!$A4,Data!$A$2:$A$75,0))</f>
        <v>40</v>
      </c>
      <c r="I4" s="116">
        <f t="array" ref="I4">INDEX(Data!$F$2:$F$75,MATCH(Calculations!$A4,Data!$A$2:$A$75,0)) * Calculations!$E4 +
 INDEX(Data!$G$2:$G$75,MATCH(Calculations!$A4,Data!$A$2:$A$75,0)) * Calculations!$F4 +
INDEX(Data!$L$2:$L$75,MATCH(Calculations!$A4,Data!$A$2:$A$75,0)) * (0.6 +0.4*Calculations!$D4) * MIN(INDEX(Data!$O$2:$O$75,MATCH(Calculations!$A4,Data!$A$2:$A$75,0)), Calculations!$G4)</f>
        <v>4</v>
      </c>
      <c r="J4" s="116">
        <f>Calculations!$I4*OnFieldRight</f>
        <v>12</v>
      </c>
      <c r="K4" s="116"/>
      <c r="L4" s="116">
        <f>(Calculations!$D4*OnFieldOrb + (1-Calculations!$D4*OffFieldOrb)) * OrbsPerRun / (90/Calculations!$G4)</f>
        <v>1.157333333</v>
      </c>
      <c r="M4" s="116">
        <f>(Calculations!$D4*OnFieldOrb + (1-Calculations!$D4*OffFieldOrb)) * OrbsPerRun / (150/Calculations!$G4)</f>
        <v>0.6944</v>
      </c>
      <c r="N4" s="116">
        <f>(Calculations!$D4*OnFieldOrb + (1-Calculations!$D4*OffFieldOrb)) * OrbsPerRun / (300/Calculations!$G4)</f>
        <v>0.3472</v>
      </c>
      <c r="O4" s="116">
        <f>LowEPS*Calculations!$G4</f>
        <v>4.428</v>
      </c>
      <c r="P4" s="116">
        <f>MedEPS*Calculations!$G4</f>
        <v>9.18</v>
      </c>
      <c r="Q4" s="116">
        <f>HighEPS*Calculations!$G4</f>
        <v>17.472</v>
      </c>
      <c r="R4" s="116">
        <f>VHighEPS*Calculations!$G4</f>
        <v>29.1024</v>
      </c>
      <c r="S4" s="115">
        <f>MAX(1, (Calculations!$H4-Calculations!$K4) / (Calculations!$J4 + Calculations!$L4 + Calculations!$O4))</f>
        <v>2.274622792</v>
      </c>
      <c r="T4" s="115">
        <f>MAX(1, (Calculations!$H4-Calculations!$K4) / (Calculations!$J4 + Calculations!$L4 + Calculations!$P4))</f>
        <v>1.790724049</v>
      </c>
      <c r="U4" s="115">
        <f>MAX(1, (Calculations!$H4-Calculations!$K4) / (Calculations!$J4 + Calculations!$L4 + Calculations!$Q4))</f>
        <v>1.305937663</v>
      </c>
      <c r="V4" s="115">
        <f>MAX(1, (Calculations!$H4-Calculations!$K4) / (Calculations!$J4 + Calculations!$L4 + Calculations!$R4))</f>
        <v>1</v>
      </c>
      <c r="W4" s="115">
        <f>MAX(1, (Calculations!$H4-Calculations!$K4) / (Calculations!$J4 + Calculations!$M4 + Calculations!$O4))</f>
        <v>2.336121105</v>
      </c>
      <c r="X4" s="115">
        <f>MAX(1, (Calculations!$H4-Calculations!$K4) / (Calculations!$J4 + Calculations!$M4 + Calculations!$P4))</f>
        <v>1.828621585</v>
      </c>
      <c r="Y4" s="115">
        <f>MAX(1, (Calculations!$H4-Calculations!$K4) / (Calculations!$J4 + Calculations!$M4 + Calculations!$Q4))</f>
        <v>1.325978572</v>
      </c>
      <c r="Z4" s="115">
        <f>MAX(1, (Calculations!$H4-Calculations!$K4) / (Calculations!$J4 + Calculations!$N4 + Calculations!$O4))</f>
        <v>2.384472316</v>
      </c>
      <c r="AA4" s="115">
        <f>MAX(1, (Calculations!$H4-Calculations!$K4) / (Calculations!$J4 + Calculations!$N4 + Calculations!$P4))</f>
        <v>1.858114386</v>
      </c>
      <c r="AB4" s="115">
        <f>MAX(1, (Calculations!$H4-Calculations!$K4) / (Calculations!$J4 + Calculations!$N4 + Calculations!$Q4))</f>
        <v>1.34141761</v>
      </c>
      <c r="AC4" s="27"/>
      <c r="AD4" s="27"/>
    </row>
    <row r="5" ht="14.25" customHeight="1">
      <c r="A5" s="113" t="s">
        <v>179</v>
      </c>
      <c r="B5" s="113"/>
      <c r="C5" s="113" t="s">
        <v>56</v>
      </c>
      <c r="D5" s="115">
        <v>0.05</v>
      </c>
      <c r="E5" s="113"/>
      <c r="F5" s="113"/>
      <c r="G5" s="113">
        <f t="array" ref="G5">INDEX(Data!$U$2:$U$75,MATCH(Calculations!$A5,Data!$A$2:$A$75,0))</f>
        <v>20</v>
      </c>
      <c r="H5" s="113">
        <f t="array" ref="H5">INDEX(Data!$V$2:$V$75,MATCH(Calculations!$A5,Data!$A$2:$A$75,0))</f>
        <v>80</v>
      </c>
      <c r="I5" s="116">
        <f t="array" ref="I5">INDEX(Data!$F$2:$F$75,MATCH(Calculations!$A5,Data!$A$2:$A$75,0)) * Calculations!$E5 +
 INDEX(Data!$G$2:$G$75,MATCH(Calculations!$A5,Data!$A$2:$A$75,0)) * Calculations!$F5 +
INDEX(Data!$L$2:$L$75,MATCH(Calculations!$A5,Data!$A$2:$A$75,0)) * (0.6 +0.4*Calculations!$D5) * MIN(INDEX(Data!$O$2:$O$75,MATCH(Calculations!$A5,Data!$A$2:$A$75,0)), Calculations!$G5)</f>
        <v>0</v>
      </c>
      <c r="J5" s="116">
        <f>Calculations!$I5*OnFieldRight</f>
        <v>0</v>
      </c>
      <c r="K5" s="116"/>
      <c r="L5" s="116">
        <f>(Calculations!$D5*OnFieldOrb + (1-Calculations!$D5*OffFieldOrb)) * OrbsPerRun / (90/Calculations!$G5)</f>
        <v>1.742222222</v>
      </c>
      <c r="M5" s="116">
        <f>(Calculations!$D5*OnFieldOrb + (1-Calculations!$D5*OffFieldOrb)) * OrbsPerRun / (150/Calculations!$G5)</f>
        <v>1.045333333</v>
      </c>
      <c r="N5" s="116">
        <f>(Calculations!$D5*OnFieldOrb + (1-Calculations!$D5*OffFieldOrb)) * OrbsPerRun / (300/Calculations!$G5)</f>
        <v>0.5226666667</v>
      </c>
      <c r="O5" s="116">
        <f>LowEPS*Calculations!$G5</f>
        <v>7.38</v>
      </c>
      <c r="P5" s="116">
        <f>MedEPS*Calculations!$G5</f>
        <v>15.3</v>
      </c>
      <c r="Q5" s="116">
        <f>HighEPS*Calculations!$G5</f>
        <v>29.12</v>
      </c>
      <c r="R5" s="116">
        <f>VHighEPS*Calculations!$G5</f>
        <v>48.504</v>
      </c>
      <c r="S5" s="115">
        <f>MAX(1, (Calculations!$H5-Calculations!$K5) / (Calculations!$J5 + Calculations!$L5 + Calculations!$O5))</f>
        <v>8.769792935</v>
      </c>
      <c r="T5" s="115">
        <f>MAX(1, (Calculations!$H5-Calculations!$K5) / (Calculations!$J5 + Calculations!$L5 + Calculations!$P5))</f>
        <v>4.694223497</v>
      </c>
      <c r="U5" s="115">
        <f>MAX(1, (Calculations!$H5-Calculations!$K5) / (Calculations!$J5 + Calculations!$L5 + Calculations!$Q5))</f>
        <v>2.592165899</v>
      </c>
      <c r="V5" s="115">
        <f>MAX(1, (Calculations!$H5-Calculations!$K5) / (Calculations!$J5 + Calculations!$L5 + Calculations!$R5))</f>
        <v>1.592159499</v>
      </c>
      <c r="W5" s="115">
        <f>MAX(1, (Calculations!$H5-Calculations!$K5) / (Calculations!$J5 + Calculations!$M5 + Calculations!$O5))</f>
        <v>9.495173287</v>
      </c>
      <c r="X5" s="115">
        <f>MAX(1, (Calculations!$H5-Calculations!$K5) / (Calculations!$J5 + Calculations!$M5 + Calculations!$P5))</f>
        <v>4.894363325</v>
      </c>
      <c r="Y5" s="115">
        <f>MAX(1, (Calculations!$H5-Calculations!$K5) / (Calculations!$J5 + Calculations!$M5 + Calculations!$Q5))</f>
        <v>2.652050919</v>
      </c>
      <c r="Z5" s="115">
        <f>MAX(1, (Calculations!$H5-Calculations!$K5) / (Calculations!$J5 + Calculations!$N5 + Calculations!$O5))</f>
        <v>10.12316518</v>
      </c>
      <c r="AA5" s="115">
        <f>MAX(1, (Calculations!$H5-Calculations!$K5) / (Calculations!$J5 + Calculations!$N5 + Calculations!$P5))</f>
        <v>5.056037752</v>
      </c>
      <c r="AB5" s="115">
        <f>MAX(1, (Calculations!$H5-Calculations!$K5) / (Calculations!$J5 + Calculations!$N5 + Calculations!$Q5))</f>
        <v>2.698812522</v>
      </c>
      <c r="AC5" s="27"/>
      <c r="AD5" s="27"/>
    </row>
    <row r="6" ht="14.25" customHeight="1">
      <c r="A6" s="113" t="s">
        <v>181</v>
      </c>
      <c r="B6" s="113"/>
      <c r="C6" s="113" t="s">
        <v>52</v>
      </c>
      <c r="D6" s="115">
        <v>0.15</v>
      </c>
      <c r="E6" s="113">
        <v>1.0</v>
      </c>
      <c r="F6" s="113">
        <v>1.0</v>
      </c>
      <c r="G6" s="113">
        <f t="array" ref="G6">INDEX(Data!$U$2:$U$75,MATCH(Calculations!$A6,Data!$A$2:$A$75,0))</f>
        <v>20</v>
      </c>
      <c r="H6" s="113">
        <f t="array" ref="H6">INDEX(Data!$V$2:$V$75,MATCH(Calculations!$A6,Data!$A$2:$A$75,0))</f>
        <v>80</v>
      </c>
      <c r="I6" s="116">
        <f t="array" ref="I6">INDEX(Data!$F$2:$F$75,MATCH(Calculations!$A6,Data!$A$2:$A$75,0)) * Calculations!$E6 +
 INDEX(Data!$G$2:$G$75,MATCH(Calculations!$A6,Data!$A$2:$A$75,0)) * Calculations!$F6 +
INDEX(Data!$L$2:$L$75,MATCH(Calculations!$A6,Data!$A$2:$A$75,0)) * (0.6 +0.4*Calculations!$D6) * MIN(INDEX(Data!$O$2:$O$75,MATCH(Calculations!$A6,Data!$A$2:$A$75,0)), Calculations!$G6)</f>
        <v>5</v>
      </c>
      <c r="J6" s="116">
        <f>Calculations!$I6*OnFieldRight</f>
        <v>15</v>
      </c>
      <c r="K6" s="116"/>
      <c r="L6" s="116">
        <f>(Calculations!$D6*OnFieldOrb + (1-Calculations!$D6*OffFieldOrb)) * OrbsPerRun / (90/Calculations!$G6)</f>
        <v>2.115555556</v>
      </c>
      <c r="M6" s="116">
        <f>(Calculations!$D6*OnFieldOrb + (1-Calculations!$D6*OffFieldOrb)) * OrbsPerRun / (150/Calculations!$G6)</f>
        <v>1.269333333</v>
      </c>
      <c r="N6" s="116">
        <f>(Calculations!$D6*OnFieldOrb + (1-Calculations!$D6*OffFieldOrb)) * OrbsPerRun / (300/Calculations!$G6)</f>
        <v>0.6346666667</v>
      </c>
      <c r="O6" s="116">
        <f>LowEPS*Calculations!$G6</f>
        <v>7.38</v>
      </c>
      <c r="P6" s="116">
        <f>MedEPS*Calculations!$G6</f>
        <v>15.3</v>
      </c>
      <c r="Q6" s="116">
        <f>HighEPS*Calculations!$G6</f>
        <v>29.12</v>
      </c>
      <c r="R6" s="116">
        <f>VHighEPS*Calculations!$G6</f>
        <v>48.504</v>
      </c>
      <c r="S6" s="115">
        <f>MAX(1, (Calculations!$H6-Calculations!$K6) / (Calculations!$J6 + Calculations!$L6 + Calculations!$O6))</f>
        <v>3.265898576</v>
      </c>
      <c r="T6" s="115">
        <f>MAX(1, (Calculations!$H6-Calculations!$K6) / (Calculations!$J6 + Calculations!$L6 + Calculations!$P6))</f>
        <v>2.467950915</v>
      </c>
      <c r="U6" s="115">
        <f>MAX(1, (Calculations!$H6-Calculations!$K6) / (Calculations!$J6 + Calculations!$L6 + Calculations!$Q6))</f>
        <v>1.730270114</v>
      </c>
      <c r="V6" s="115">
        <f>MAX(1, (Calculations!$H6-Calculations!$K6) / (Calculations!$J6 + Calculations!$L6 + Calculations!$R6))</f>
        <v>1.219148763</v>
      </c>
      <c r="W6" s="115">
        <f>MAX(1, (Calculations!$H6-Calculations!$K6) / (Calculations!$J6 + Calculations!$M6 + Calculations!$O6))</f>
        <v>3.382759204</v>
      </c>
      <c r="X6" s="115">
        <f>MAX(1, (Calculations!$H6-Calculations!$K6) / (Calculations!$J6 + Calculations!$M6 + Calculations!$P6))</f>
        <v>2.534104827</v>
      </c>
      <c r="Y6" s="115">
        <f>MAX(1, (Calculations!$H6-Calculations!$K6) / (Calculations!$J6 + Calculations!$M6 + Calculations!$Q6))</f>
        <v>1.762528641</v>
      </c>
      <c r="Z6" s="115">
        <f>MAX(1, (Calculations!$H6-Calculations!$K6) / (Calculations!$J6 + Calculations!$N6 + Calculations!$O6))</f>
        <v>3.476044262</v>
      </c>
      <c r="AA6" s="115">
        <f>MAX(1, (Calculations!$H6-Calculations!$K6) / (Calculations!$J6 + Calculations!$N6 + Calculations!$P6))</f>
        <v>2.586095427</v>
      </c>
      <c r="AB6" s="115">
        <f>MAX(1, (Calculations!$H6-Calculations!$K6) / (Calculations!$J6 + Calculations!$N6 + Calculations!$Q6))</f>
        <v>1.787523089</v>
      </c>
      <c r="AC6" s="27"/>
      <c r="AD6" s="27"/>
    </row>
    <row r="7" ht="14.25" customHeight="1">
      <c r="A7" s="113" t="s">
        <v>186</v>
      </c>
      <c r="B7" s="113" t="s">
        <v>591</v>
      </c>
      <c r="C7" s="113" t="s">
        <v>63</v>
      </c>
      <c r="D7" s="115">
        <v>0.6</v>
      </c>
      <c r="E7" s="113">
        <v>6.0</v>
      </c>
      <c r="F7" s="113"/>
      <c r="G7" s="113">
        <f t="array" ref="G7">INDEX(Data!$U$2:$U$75,MATCH(Calculations!$A7,Data!$A$2:$A$75,0))</f>
        <v>15</v>
      </c>
      <c r="H7" s="113">
        <f t="array" ref="H7">INDEX(Data!$V$2:$V$75,MATCH(Calculations!$A7,Data!$A$2:$A$75,0))</f>
        <v>60</v>
      </c>
      <c r="I7" s="116">
        <f t="array" ref="I7">INDEX(Data!$F$2:$F$75,MATCH(Calculations!$A7,Data!$A$2:$A$75,0)) * Calculations!$E7 +
 INDEX(Data!$G$2:$G$75,MATCH(Calculations!$A7,Data!$A$2:$A$75,0)) * Calculations!$F7 +
INDEX(Data!$L$2:$L$75,MATCH(Calculations!$A7,Data!$A$2:$A$75,0)) * (0.6 +0.4*Calculations!$D7) * MIN(INDEX(Data!$O$2:$O$75,MATCH(Calculations!$A7,Data!$A$2:$A$75,0)), Calculations!$G7)</f>
        <v>13.5</v>
      </c>
      <c r="J7" s="116">
        <f>Calculations!$I7*OnFieldRight</f>
        <v>40.5</v>
      </c>
      <c r="K7" s="116"/>
      <c r="L7" s="116">
        <f>(Calculations!$D7*OnFieldOrb + (1-Calculations!$D7*OffFieldOrb)) * OrbsPerRun / (90/Calculations!$G7)</f>
        <v>2.846666667</v>
      </c>
      <c r="M7" s="116">
        <f>(Calculations!$D7*OnFieldOrb + (1-Calculations!$D7*OffFieldOrb)) * OrbsPerRun / (150/Calculations!$G7)</f>
        <v>1.708</v>
      </c>
      <c r="N7" s="116">
        <f>(Calculations!$D7*OnFieldOrb + (1-Calculations!$D7*OffFieldOrb)) * OrbsPerRun / (300/Calculations!$G7)</f>
        <v>0.854</v>
      </c>
      <c r="O7" s="116">
        <f>LowEPS*Calculations!$G7</f>
        <v>5.535</v>
      </c>
      <c r="P7" s="116">
        <f>MedEPS*Calculations!$G7</f>
        <v>11.475</v>
      </c>
      <c r="Q7" s="116">
        <f>HighEPS*Calculations!$G7</f>
        <v>21.84</v>
      </c>
      <c r="R7" s="116">
        <f>VHighEPS*Calculations!$G7</f>
        <v>36.378</v>
      </c>
      <c r="S7" s="115">
        <f>MAX(1, (Calculations!$H7-Calculations!$K7) / (Calculations!$J7 + Calculations!$L7 + Calculations!$O7))</f>
        <v>1.227454056</v>
      </c>
      <c r="T7" s="115">
        <f>MAX(1, (Calculations!$H7-Calculations!$K7) / (Calculations!$J7 + Calculations!$L7 + Calculations!$P7))</f>
        <v>1.094457787</v>
      </c>
      <c r="U7" s="115">
        <f>MAX(1, (Calculations!$H7-Calculations!$K7) / (Calculations!$J7 + Calculations!$L7 + Calculations!$Q7))</f>
        <v>1</v>
      </c>
      <c r="V7" s="115">
        <f>MAX(1, (Calculations!$H7-Calculations!$K7) / (Calculations!$J7 + Calculations!$L7 + Calculations!$R7))</f>
        <v>1</v>
      </c>
      <c r="W7" s="115">
        <f>MAX(1, (Calculations!$H7-Calculations!$K7) / (Calculations!$J7 + Calculations!$M7 + Calculations!$O7))</f>
        <v>1.256728735</v>
      </c>
      <c r="X7" s="115">
        <f>MAX(1, (Calculations!$H7-Calculations!$K7) / (Calculations!$J7 + Calculations!$M7 + Calculations!$P7))</f>
        <v>1.117672261</v>
      </c>
      <c r="Y7" s="115">
        <f>MAX(1, (Calculations!$H7-Calculations!$K7) / (Calculations!$J7 + Calculations!$M7 + Calculations!$Q7))</f>
        <v>1</v>
      </c>
      <c r="Z7" s="115">
        <f>MAX(1, (Calculations!$H7-Calculations!$K7) / (Calculations!$J7 + Calculations!$N7 + Calculations!$O7))</f>
        <v>1.279617821</v>
      </c>
      <c r="AA7" s="115">
        <f>MAX(1, (Calculations!$H7-Calculations!$K7) / (Calculations!$J7 + Calculations!$N7 + Calculations!$P7))</f>
        <v>1.13573984</v>
      </c>
      <c r="AB7" s="115">
        <f>MAX(1, (Calculations!$H7-Calculations!$K7) / (Calculations!$J7 + Calculations!$N7 + Calculations!$Q7))</f>
        <v>1</v>
      </c>
      <c r="AC7" s="27"/>
      <c r="AD7" s="27"/>
    </row>
    <row r="8" ht="14.25" customHeight="1">
      <c r="A8" s="113" t="s">
        <v>186</v>
      </c>
      <c r="B8" s="113" t="s">
        <v>592</v>
      </c>
      <c r="C8" s="113" t="s">
        <v>63</v>
      </c>
      <c r="D8" s="115">
        <v>0.15</v>
      </c>
      <c r="E8" s="113">
        <v>2.0</v>
      </c>
      <c r="F8" s="113"/>
      <c r="G8" s="113">
        <f t="array" ref="G8">INDEX(Data!$U$2:$U$75,MATCH(Calculations!$A8,Data!$A$2:$A$75,0))</f>
        <v>15</v>
      </c>
      <c r="H8" s="113">
        <f t="array" ref="H8">INDEX(Data!$V$2:$V$75,MATCH(Calculations!$A8,Data!$A$2:$A$75,0))</f>
        <v>60</v>
      </c>
      <c r="I8" s="116">
        <f t="array" ref="I8">INDEX(Data!$F$2:$F$75,MATCH(Calculations!$A8,Data!$A$2:$A$75,0)) * Calculations!$E8 +
 INDEX(Data!$G$2:$G$75,MATCH(Calculations!$A8,Data!$A$2:$A$75,0)) * Calculations!$F8 +
INDEX(Data!$L$2:$L$75,MATCH(Calculations!$A8,Data!$A$2:$A$75,0)) * (0.6 +0.4*Calculations!$D8) * MIN(INDEX(Data!$O$2:$O$75,MATCH(Calculations!$A8,Data!$A$2:$A$75,0)), Calculations!$G8)</f>
        <v>4.5</v>
      </c>
      <c r="J8" s="116">
        <f>Calculations!$I8*OnFieldRight</f>
        <v>13.5</v>
      </c>
      <c r="K8" s="116"/>
      <c r="L8" s="116">
        <f>(Calculations!$D8*OnFieldOrb + (1-Calculations!$D8*OffFieldOrb)) * OrbsPerRun / (90/Calculations!$G8)</f>
        <v>1.586666667</v>
      </c>
      <c r="M8" s="116">
        <f>(Calculations!$D8*OnFieldOrb + (1-Calculations!$D8*OffFieldOrb)) * OrbsPerRun / (150/Calculations!$G8)</f>
        <v>0.952</v>
      </c>
      <c r="N8" s="116">
        <f>(Calculations!$D8*OnFieldOrb + (1-Calculations!$D8*OffFieldOrb)) * OrbsPerRun / (300/Calculations!$G8)</f>
        <v>0.476</v>
      </c>
      <c r="O8" s="116">
        <f>LowEPS*Calculations!$G8</f>
        <v>5.535</v>
      </c>
      <c r="P8" s="116">
        <f>MedEPS*Calculations!$G8</f>
        <v>11.475</v>
      </c>
      <c r="Q8" s="116">
        <f>HighEPS*Calculations!$G8</f>
        <v>21.84</v>
      </c>
      <c r="R8" s="116">
        <f>VHighEPS*Calculations!$G8</f>
        <v>36.378</v>
      </c>
      <c r="S8" s="115">
        <f>MAX(1, (Calculations!$H8-Calculations!$K8) / (Calculations!$J8 + Calculations!$L8 + Calculations!$O8))</f>
        <v>2.909561141</v>
      </c>
      <c r="T8" s="115">
        <f>MAX(1, (Calculations!$H8-Calculations!$K8) / (Calculations!$J8 + Calculations!$L8 + Calculations!$P8))</f>
        <v>2.258894397</v>
      </c>
      <c r="U8" s="115">
        <f>MAX(1, (Calculations!$H8-Calculations!$K8) / (Calculations!$J8 + Calculations!$L8 + Calculations!$Q8))</f>
        <v>1.624842029</v>
      </c>
      <c r="V8" s="115">
        <f>MAX(1, (Calculations!$H8-Calculations!$K8) / (Calculations!$J8 + Calculations!$L8 + Calculations!$R8))</f>
        <v>1.165848414</v>
      </c>
      <c r="W8" s="115">
        <f>MAX(1, (Calculations!$H8-Calculations!$K8) / (Calculations!$J8 + Calculations!$M8 + Calculations!$O8))</f>
        <v>3.001951268</v>
      </c>
      <c r="X8" s="115">
        <f>MAX(1, (Calculations!$H8-Calculations!$K8) / (Calculations!$J8 + Calculations!$M8 + Calculations!$P8))</f>
        <v>2.314189841</v>
      </c>
      <c r="Y8" s="115">
        <f>MAX(1, (Calculations!$H8-Calculations!$K8) / (Calculations!$J8 + Calculations!$M8 + Calculations!$Q8))</f>
        <v>1.653256916</v>
      </c>
      <c r="Z8" s="115">
        <f>MAX(1, (Calculations!$H8-Calculations!$K8) / (Calculations!$J8 + Calculations!$N8 + Calculations!$O8))</f>
        <v>3.075188355</v>
      </c>
      <c r="AA8" s="115">
        <f>MAX(1, (Calculations!$H8-Calculations!$K8) / (Calculations!$J8 + Calculations!$N8 + Calculations!$P8))</f>
        <v>2.357471219</v>
      </c>
      <c r="AB8" s="115">
        <f>MAX(1, (Calculations!$H8-Calculations!$K8) / (Calculations!$J8 + Calculations!$N8 + Calculations!$Q8))</f>
        <v>1.675228948</v>
      </c>
      <c r="AC8" s="27"/>
      <c r="AD8" s="27"/>
    </row>
    <row r="9" ht="14.25" customHeight="1">
      <c r="A9" s="113" t="s">
        <v>189</v>
      </c>
      <c r="B9" s="113"/>
      <c r="C9" s="113" t="s">
        <v>48</v>
      </c>
      <c r="D9" s="115">
        <v>0.1</v>
      </c>
      <c r="E9" s="113">
        <v>1.0</v>
      </c>
      <c r="F9" s="113"/>
      <c r="G9" s="113">
        <f t="array" ref="G9">INDEX(Data!$U$2:$U$75,MATCH(Calculations!$A9,Data!$A$2:$A$75,0))</f>
        <v>12</v>
      </c>
      <c r="H9" s="113">
        <f t="array" ref="H9">INDEX(Data!$V$2:$V$75,MATCH(Calculations!$A9,Data!$A$2:$A$75,0))</f>
        <v>40</v>
      </c>
      <c r="I9" s="116">
        <f t="array" ref="I9">INDEX(Data!$F$2:$F$75,MATCH(Calculations!$A9,Data!$A$2:$A$75,0)) * Calculations!$E9 +
 INDEX(Data!$G$2:$G$75,MATCH(Calculations!$A9,Data!$A$2:$A$75,0)) * Calculations!$F9 +
INDEX(Data!$L$2:$L$75,MATCH(Calculations!$A9,Data!$A$2:$A$75,0)) * (0.6 +0.4*Calculations!$D9) * MIN(INDEX(Data!$O$2:$O$75,MATCH(Calculations!$A9,Data!$A$2:$A$75,0)), Calculations!$G9)</f>
        <v>4</v>
      </c>
      <c r="J9" s="116">
        <f>Calculations!$I9*OnFieldRight</f>
        <v>12</v>
      </c>
      <c r="K9" s="116"/>
      <c r="L9" s="116">
        <f>(Calculations!$D9*OnFieldOrb + (1-Calculations!$D9*OffFieldOrb)) * OrbsPerRun / (90/Calculations!$G9)</f>
        <v>1.157333333</v>
      </c>
      <c r="M9" s="116">
        <f>(Calculations!$D9*OnFieldOrb + (1-Calculations!$D9*OffFieldOrb)) * OrbsPerRun / (150/Calculations!$G9)</f>
        <v>0.6944</v>
      </c>
      <c r="N9" s="116">
        <f>(Calculations!$D9*OnFieldOrb + (1-Calculations!$D9*OffFieldOrb)) * OrbsPerRun / (300/Calculations!$G9)</f>
        <v>0.3472</v>
      </c>
      <c r="O9" s="116">
        <f>LowEPS*Calculations!$G9</f>
        <v>4.428</v>
      </c>
      <c r="P9" s="116">
        <f>MedEPS*Calculations!$G9</f>
        <v>9.18</v>
      </c>
      <c r="Q9" s="116">
        <f>HighEPS*Calculations!$G9</f>
        <v>17.472</v>
      </c>
      <c r="R9" s="116">
        <f>VHighEPS*Calculations!$G9</f>
        <v>29.1024</v>
      </c>
      <c r="S9" s="115">
        <f>MAX(1, (Calculations!$H9-Calculations!$K9) / (Calculations!$J9 + Calculations!$L9 + Calculations!$O9))</f>
        <v>2.274622792</v>
      </c>
      <c r="T9" s="115">
        <f>MAX(1, (Calculations!$H9-Calculations!$K9) / (Calculations!$J9 + Calculations!$L9 + Calculations!$P9))</f>
        <v>1.790724049</v>
      </c>
      <c r="U9" s="115">
        <f>MAX(1, (Calculations!$H9-Calculations!$K9) / (Calculations!$J9 + Calculations!$L9 + Calculations!$Q9))</f>
        <v>1.305937663</v>
      </c>
      <c r="V9" s="115">
        <f>MAX(1, (Calculations!$H9-Calculations!$K9) / (Calculations!$J9 + Calculations!$L9 + Calculations!$R9))</f>
        <v>1</v>
      </c>
      <c r="W9" s="115">
        <f>MAX(1, (Calculations!$H9-Calculations!$K9) / (Calculations!$J9 + Calculations!$M9 + Calculations!$O9))</f>
        <v>2.336121105</v>
      </c>
      <c r="X9" s="115">
        <f>MAX(1, (Calculations!$H9-Calculations!$K9) / (Calculations!$J9 + Calculations!$M9 + Calculations!$P9))</f>
        <v>1.828621585</v>
      </c>
      <c r="Y9" s="115">
        <f>MAX(1, (Calculations!$H9-Calculations!$K9) / (Calculations!$J9 + Calculations!$M9 + Calculations!$Q9))</f>
        <v>1.325978572</v>
      </c>
      <c r="Z9" s="115">
        <f>MAX(1, (Calculations!$H9-Calculations!$K9) / (Calculations!$J9 + Calculations!$N9 + Calculations!$O9))</f>
        <v>2.384472316</v>
      </c>
      <c r="AA9" s="115">
        <f>MAX(1, (Calculations!$H9-Calculations!$K9) / (Calculations!$J9 + Calculations!$N9 + Calculations!$P9))</f>
        <v>1.858114386</v>
      </c>
      <c r="AB9" s="115">
        <f>MAX(1, (Calculations!$H9-Calculations!$K9) / (Calculations!$J9 + Calculations!$N9 + Calculations!$Q9))</f>
        <v>1.34141761</v>
      </c>
      <c r="AC9" s="27"/>
      <c r="AD9" s="27"/>
    </row>
    <row r="10" ht="14.25" customHeight="1">
      <c r="A10" s="113" t="s">
        <v>201</v>
      </c>
      <c r="B10" s="113"/>
      <c r="C10" s="113" t="s">
        <v>63</v>
      </c>
      <c r="D10" s="115">
        <v>0.7</v>
      </c>
      <c r="E10" s="113">
        <v>1.0</v>
      </c>
      <c r="F10" s="113"/>
      <c r="G10" s="113">
        <f t="array" ref="G10">INDEX(Data!$U$2:$U$75,MATCH(Calculations!$A10,Data!$A$2:$A$75,0))</f>
        <v>12</v>
      </c>
      <c r="H10" s="113">
        <f t="array" ref="H10">INDEX(Data!$V$2:$V$75,MATCH(Calculations!$A10,Data!$A$2:$A$75,0))</f>
        <v>40</v>
      </c>
      <c r="I10" s="116">
        <f t="array" ref="I10">INDEX(Data!$F$2:$F$75,MATCH(Calculations!$A10,Data!$A$2:$A$75,0)) * Calculations!$E10 +
 INDEX(Data!$G$2:$G$75,MATCH(Calculations!$A10,Data!$A$2:$A$75,0)) * Calculations!$F10 +
INDEX(Data!$L$2:$L$75,MATCH(Calculations!$A10,Data!$A$2:$A$75,0)) * (0.6 +0.4*Calculations!$D10) * MIN(INDEX(Data!$O$2:$O$75,MATCH(Calculations!$A10,Data!$A$2:$A$75,0)), Calculations!$G10)</f>
        <v>3.75</v>
      </c>
      <c r="J10" s="116">
        <f>Calculations!$I10*OnFieldRight</f>
        <v>11.25</v>
      </c>
      <c r="K10" s="116"/>
      <c r="L10" s="116">
        <f>(Calculations!$D10*OnFieldOrb + (1-Calculations!$D10*OffFieldOrb)) * OrbsPerRun / (90/Calculations!$G10)</f>
        <v>2.501333333</v>
      </c>
      <c r="M10" s="116">
        <f>(Calculations!$D10*OnFieldOrb + (1-Calculations!$D10*OffFieldOrb)) * OrbsPerRun / (150/Calculations!$G10)</f>
        <v>1.5008</v>
      </c>
      <c r="N10" s="116">
        <f>(Calculations!$D10*OnFieldOrb + (1-Calculations!$D10*OffFieldOrb)) * OrbsPerRun / (300/Calculations!$G10)</f>
        <v>0.7504</v>
      </c>
      <c r="O10" s="116">
        <f>LowEPS*Calculations!$G10</f>
        <v>4.428</v>
      </c>
      <c r="P10" s="116">
        <f>MedEPS*Calculations!$G10</f>
        <v>9.18</v>
      </c>
      <c r="Q10" s="116">
        <f>HighEPS*Calculations!$G10</f>
        <v>17.472</v>
      </c>
      <c r="R10" s="116">
        <f>VHighEPS*Calculations!$G10</f>
        <v>29.1024</v>
      </c>
      <c r="S10" s="115">
        <f>MAX(1, (Calculations!$H10-Calculations!$K10) / (Calculations!$J10 + Calculations!$L10 + Calculations!$O10))</f>
        <v>2.200300708</v>
      </c>
      <c r="T10" s="115">
        <f>MAX(1, (Calculations!$H10-Calculations!$K10) / (Calculations!$J10 + Calculations!$L10 + Calculations!$P10))</f>
        <v>1.744338169</v>
      </c>
      <c r="U10" s="115">
        <f>MAX(1, (Calculations!$H10-Calculations!$K10) / (Calculations!$J10 + Calculations!$L10 + Calculations!$Q10))</f>
        <v>1.2810932</v>
      </c>
      <c r="V10" s="115">
        <f>MAX(1, (Calculations!$H10-Calculations!$K10) / (Calculations!$J10 + Calculations!$L10 + Calculations!$R10))</f>
        <v>1</v>
      </c>
      <c r="W10" s="115">
        <f>MAX(1, (Calculations!$H10-Calculations!$K10) / (Calculations!$J10 + Calculations!$M10 + Calculations!$O10))</f>
        <v>2.328451347</v>
      </c>
      <c r="X10" s="115">
        <f>MAX(1, (Calculations!$H10-Calculations!$K10) / (Calculations!$J10 + Calculations!$M10 + Calculations!$P10))</f>
        <v>1.823918872</v>
      </c>
      <c r="Y10" s="115">
        <f>MAX(1, (Calculations!$H10-Calculations!$K10) / (Calculations!$J10 + Calculations!$M10 + Calculations!$Q10))</f>
        <v>1.323504109</v>
      </c>
      <c r="Z10" s="115">
        <f>MAX(1, (Calculations!$H10-Calculations!$K10) / (Calculations!$J10 + Calculations!$N10 + Calculations!$O10))</f>
        <v>2.434808015</v>
      </c>
      <c r="AA10" s="115">
        <f>MAX(1, (Calculations!$H10-Calculations!$K10) / (Calculations!$J10 + Calculations!$N10 + Calculations!$P10))</f>
        <v>1.88853846</v>
      </c>
      <c r="AB10" s="115">
        <f>MAX(1, (Calculations!$H10-Calculations!$K10) / (Calculations!$J10 + Calculations!$N10 + Calculations!$Q10))</f>
        <v>1.357201992</v>
      </c>
      <c r="AC10" s="27"/>
      <c r="AD10" s="27"/>
    </row>
    <row r="11" ht="14.25" customHeight="1">
      <c r="A11" s="113" t="s">
        <v>204</v>
      </c>
      <c r="B11" s="113"/>
      <c r="C11" s="113" t="s">
        <v>48</v>
      </c>
      <c r="D11" s="115">
        <v>0.1</v>
      </c>
      <c r="E11" s="113"/>
      <c r="F11" s="113">
        <v>1.0</v>
      </c>
      <c r="G11" s="113">
        <f t="array" ref="G11">INDEX(Data!$U$2:$U$75,MATCH(Calculations!$A11,Data!$A$2:$A$75,0))</f>
        <v>20</v>
      </c>
      <c r="H11" s="113">
        <f t="array" ref="H11">INDEX(Data!$V$2:$V$75,MATCH(Calculations!$A11,Data!$A$2:$A$75,0))</f>
        <v>80</v>
      </c>
      <c r="I11" s="116">
        <f t="array" ref="I11">INDEX(Data!$F$2:$F$75,MATCH(Calculations!$A11,Data!$A$2:$A$75,0)) * Calculations!$E11 +
 INDEX(Data!$G$2:$G$75,MATCH(Calculations!$A11,Data!$A$2:$A$75,0)) * Calculations!$F11 +
INDEX(Data!$L$2:$L$75,MATCH(Calculations!$A11,Data!$A$2:$A$75,0)) * (0.6 +0.4*Calculations!$D11) * MIN(INDEX(Data!$O$2:$O$75,MATCH(Calculations!$A11,Data!$A$2:$A$75,0)), Calculations!$G11)</f>
        <v>4</v>
      </c>
      <c r="J11" s="116">
        <f>Calculations!$I11*OnFieldRight</f>
        <v>12</v>
      </c>
      <c r="K11" s="116"/>
      <c r="L11" s="116">
        <f>(Calculations!$D11*OnFieldOrb + (1-Calculations!$D11*OffFieldOrb)) * OrbsPerRun / (90/Calculations!$G11)</f>
        <v>1.928888889</v>
      </c>
      <c r="M11" s="116">
        <f>(Calculations!$D11*OnFieldOrb + (1-Calculations!$D11*OffFieldOrb)) * OrbsPerRun / (150/Calculations!$G11)</f>
        <v>1.157333333</v>
      </c>
      <c r="N11" s="116">
        <f>(Calculations!$D11*OnFieldOrb + (1-Calculations!$D11*OffFieldOrb)) * OrbsPerRun / (300/Calculations!$G11)</f>
        <v>0.5786666667</v>
      </c>
      <c r="O11" s="116">
        <f>LowEPS*Calculations!$G11</f>
        <v>7.38</v>
      </c>
      <c r="P11" s="116">
        <f>MedEPS*Calculations!$G11</f>
        <v>15.3</v>
      </c>
      <c r="Q11" s="116">
        <f>HighEPS*Calculations!$G11</f>
        <v>29.12</v>
      </c>
      <c r="R11" s="116">
        <f>VHighEPS*Calculations!$G11</f>
        <v>48.504</v>
      </c>
      <c r="S11" s="115">
        <f>MAX(1, (Calculations!$H11-Calculations!$K11) / (Calculations!$J11 + Calculations!$L11 + Calculations!$O11))</f>
        <v>3.754301804</v>
      </c>
      <c r="T11" s="115">
        <f>MAX(1, (Calculations!$H11-Calculations!$K11) / (Calculations!$J11 + Calculations!$L11 + Calculations!$P11))</f>
        <v>2.737018171</v>
      </c>
      <c r="U11" s="115">
        <f>MAX(1, (Calculations!$H11-Calculations!$K11) / (Calculations!$J11 + Calculations!$L11 + Calculations!$Q11))</f>
        <v>1.858352261</v>
      </c>
      <c r="V11" s="115">
        <f>MAX(1, (Calculations!$H11-Calculations!$K11) / (Calculations!$J11 + Calculations!$L11 + Calculations!$R11))</f>
        <v>1.281375913</v>
      </c>
      <c r="W11" s="115">
        <f>MAX(1, (Calculations!$H11-Calculations!$K11) / (Calculations!$J11 + Calculations!$M11 + Calculations!$O11))</f>
        <v>3.895345063</v>
      </c>
      <c r="X11" s="115">
        <f>MAX(1, (Calculations!$H11-Calculations!$K11) / (Calculations!$J11 + Calculations!$M11 + Calculations!$P11))</f>
        <v>2.811226163</v>
      </c>
      <c r="Y11" s="115">
        <f>MAX(1, (Calculations!$H11-Calculations!$K11) / (Calculations!$J11 + Calculations!$M11 + Calculations!$Q11))</f>
        <v>1.892266936</v>
      </c>
      <c r="Z11" s="115">
        <f>MAX(1, (Calculations!$H11-Calculations!$K11) / (Calculations!$J11 + Calculations!$N11 + Calculations!$O11))</f>
        <v>4.008283786</v>
      </c>
      <c r="AA11" s="115">
        <f>MAX(1, (Calculations!$H11-Calculations!$K11) / (Calculations!$J11 + Calculations!$N11 + Calculations!$P11))</f>
        <v>2.869577694</v>
      </c>
      <c r="AB11" s="115">
        <f>MAX(1, (Calculations!$H11-Calculations!$K11) / (Calculations!$J11 + Calculations!$N11 + Calculations!$Q11))</f>
        <v>1.918526572</v>
      </c>
      <c r="AC11" s="27"/>
      <c r="AD11" s="27"/>
    </row>
    <row r="12" ht="14.25" customHeight="1">
      <c r="A12" s="113" t="s">
        <v>16</v>
      </c>
      <c r="B12" s="113"/>
      <c r="C12" s="113" t="s">
        <v>52</v>
      </c>
      <c r="D12" s="115">
        <v>0.08</v>
      </c>
      <c r="E12" s="113"/>
      <c r="F12" s="113"/>
      <c r="G12" s="113">
        <v>25.0</v>
      </c>
      <c r="H12" s="113">
        <f t="array" ref="H12">INDEX(Data!$V$2:$V$75,MATCH(Calculations!$A12,Data!$A$2:$A$75,0))</f>
        <v>60</v>
      </c>
      <c r="I12" s="116">
        <f t="array" ref="I12">INDEX(Data!$F$2:$F$75,MATCH(Calculations!$A12,Data!$A$2:$A$75,0)) * Calculations!$E12 +
 INDEX(Data!$G$2:$G$75,MATCH(Calculations!$A12,Data!$A$2:$A$75,0)) * Calculations!$F12 +
INDEX(Data!$L$2:$L$75,MATCH(Calculations!$A12,Data!$A$2:$A$75,0)) * (0.6 +0.4*Calculations!$D12) * MIN(INDEX(Data!$O$2:$O$75,MATCH(Calculations!$A12,Data!$A$2:$A$75,0)), Calculations!$G12)</f>
        <v>4.2344</v>
      </c>
      <c r="J12" s="116">
        <f>Calculations!$I12*OnFieldRight</f>
        <v>12.7032</v>
      </c>
      <c r="K12" s="116"/>
      <c r="L12" s="116">
        <f>(Calculations!$D12*OnFieldOrb + (1-Calculations!$D12*OffFieldOrb)) * OrbsPerRun / (90/Calculations!$G12)</f>
        <v>2.317777778</v>
      </c>
      <c r="M12" s="116">
        <f>(Calculations!$D12*OnFieldOrb + (1-Calculations!$D12*OffFieldOrb)) * OrbsPerRun / (150/Calculations!$G12)</f>
        <v>1.390666667</v>
      </c>
      <c r="N12" s="116">
        <f>(Calculations!$D12*OnFieldOrb + (1-Calculations!$D12*OffFieldOrb)) * OrbsPerRun / (300/Calculations!$G12)</f>
        <v>0.6953333333</v>
      </c>
      <c r="O12" s="116">
        <f>LowEPS*Calculations!$G12</f>
        <v>9.225</v>
      </c>
      <c r="P12" s="116">
        <f>MedEPS*Calculations!$G12</f>
        <v>19.125</v>
      </c>
      <c r="Q12" s="116">
        <f>HighEPS*Calculations!$G12</f>
        <v>36.4</v>
      </c>
      <c r="R12" s="116">
        <f>VHighEPS*Calculations!$G12</f>
        <v>60.63</v>
      </c>
      <c r="S12" s="115">
        <f>MAX(1, (Calculations!$H12-Calculations!$K12) / (Calculations!$J12 + Calculations!$L12 + Calculations!$O12))</f>
        <v>2.474637259</v>
      </c>
      <c r="T12" s="115">
        <f>MAX(1, (Calculations!$H12-Calculations!$K12) / (Calculations!$J12 + Calculations!$L12 + Calculations!$P12))</f>
        <v>1.757161572</v>
      </c>
      <c r="U12" s="115">
        <f>MAX(1, (Calculations!$H12-Calculations!$K12) / (Calculations!$J12 + Calculations!$L12 + Calculations!$Q12))</f>
        <v>1.166838955</v>
      </c>
      <c r="V12" s="115">
        <f>MAX(1, (Calculations!$H12-Calculations!$K12) / (Calculations!$J12 + Calculations!$L12 + Calculations!$R12))</f>
        <v>1</v>
      </c>
      <c r="W12" s="115">
        <f>MAX(1, (Calculations!$H12-Calculations!$K12) / (Calculations!$J12 + Calculations!$M12 + Calculations!$O12))</f>
        <v>2.573023846</v>
      </c>
      <c r="X12" s="115">
        <f>MAX(1, (Calculations!$H12-Calculations!$K12) / (Calculations!$J12 + Calculations!$M12 + Calculations!$P12))</f>
        <v>1.806202499</v>
      </c>
      <c r="Y12" s="115">
        <f>MAX(1, (Calculations!$H12-Calculations!$K12) / (Calculations!$J12 + Calculations!$M12 + Calculations!$Q12))</f>
        <v>1.188263129</v>
      </c>
      <c r="Z12" s="115">
        <f>MAX(1, (Calculations!$H12-Calculations!$K12) / (Calculations!$J12 + Calculations!$N12 + Calculations!$O12))</f>
        <v>2.652105625</v>
      </c>
      <c r="AA12" s="115">
        <f>MAX(1, (Calculations!$H12-Calculations!$K12) / (Calculations!$J12 + Calculations!$N12 + Calculations!$P12))</f>
        <v>1.844818009</v>
      </c>
      <c r="AB12" s="115">
        <f>MAX(1, (Calculations!$H12-Calculations!$K12) / (Calculations!$J12 + Calculations!$N12 + Calculations!$Q12))</f>
        <v>1.204854761</v>
      </c>
      <c r="AC12" s="27"/>
      <c r="AD12" s="27"/>
    </row>
    <row r="13" ht="14.25" customHeight="1">
      <c r="A13" s="113" t="s">
        <v>218</v>
      </c>
      <c r="B13" s="113"/>
      <c r="C13" s="113" t="s">
        <v>48</v>
      </c>
      <c r="D13" s="115">
        <v>0.7</v>
      </c>
      <c r="E13" s="113">
        <v>1.5</v>
      </c>
      <c r="F13" s="113"/>
      <c r="G13" s="113">
        <f t="array" ref="G13">INDEX(Data!$U$2:$U$75,MATCH(Calculations!$A13,Data!$A$2:$A$75,0))</f>
        <v>15</v>
      </c>
      <c r="H13" s="113">
        <f t="array" ref="H13">INDEX(Data!$V$2:$V$75,MATCH(Calculations!$A13,Data!$A$2:$A$75,0))</f>
        <v>60</v>
      </c>
      <c r="I13" s="116">
        <f t="array" ref="I13">INDEX(Data!$F$2:$F$75,MATCH(Calculations!$A13,Data!$A$2:$A$75,0)) * Calculations!$E13 +
 INDEX(Data!$G$2:$G$75,MATCH(Calculations!$A13,Data!$A$2:$A$75,0)) * Calculations!$F13 +
INDEX(Data!$L$2:$L$75,MATCH(Calculations!$A13,Data!$A$2:$A$75,0)) * (0.6 +0.4*Calculations!$D13) * MIN(INDEX(Data!$O$2:$O$75,MATCH(Calculations!$A13,Data!$A$2:$A$75,0)), Calculations!$G13)</f>
        <v>6</v>
      </c>
      <c r="J13" s="116">
        <f>Calculations!$I13*OnFieldRight</f>
        <v>18</v>
      </c>
      <c r="K13" s="116"/>
      <c r="L13" s="116">
        <f>(Calculations!$D13*OnFieldOrb + (1-Calculations!$D13*OffFieldOrb)) * OrbsPerRun / (90/Calculations!$G13)</f>
        <v>3.126666667</v>
      </c>
      <c r="M13" s="116">
        <f>(Calculations!$D13*OnFieldOrb + (1-Calculations!$D13*OffFieldOrb)) * OrbsPerRun / (150/Calculations!$G13)</f>
        <v>1.876</v>
      </c>
      <c r="N13" s="116">
        <f>(Calculations!$D13*OnFieldOrb + (1-Calculations!$D13*OffFieldOrb)) * OrbsPerRun / (300/Calculations!$G13)</f>
        <v>0.938</v>
      </c>
      <c r="O13" s="116">
        <f>LowEPS*Calculations!$G13</f>
        <v>5.535</v>
      </c>
      <c r="P13" s="116">
        <f>MedEPS*Calculations!$G13</f>
        <v>11.475</v>
      </c>
      <c r="Q13" s="116">
        <f>HighEPS*Calculations!$G13</f>
        <v>21.84</v>
      </c>
      <c r="R13" s="116">
        <f>VHighEPS*Calculations!$G13</f>
        <v>36.378</v>
      </c>
      <c r="S13" s="115">
        <f>MAX(1, (Calculations!$H13-Calculations!$K13) / (Calculations!$J13 + Calculations!$L13 + Calculations!$O13))</f>
        <v>2.250421954</v>
      </c>
      <c r="T13" s="115">
        <f>MAX(1, (Calculations!$H13-Calculations!$K13) / (Calculations!$J13 + Calculations!$L13 + Calculations!$P13))</f>
        <v>1.840396708</v>
      </c>
      <c r="U13" s="115">
        <f>MAX(1, (Calculations!$H13-Calculations!$K13) / (Calculations!$J13 + Calculations!$L13 + Calculations!$Q13))</f>
        <v>1.396431342</v>
      </c>
      <c r="V13" s="115">
        <f>MAX(1, (Calculations!$H13-Calculations!$K13) / (Calculations!$J13 + Calculations!$L13 + Calculations!$R13))</f>
        <v>1.04339358</v>
      </c>
      <c r="W13" s="115">
        <f>MAX(1, (Calculations!$H13-Calculations!$K13) / (Calculations!$J13 + Calculations!$M13 + Calculations!$O13))</f>
        <v>2.361182165</v>
      </c>
      <c r="X13" s="115">
        <f>MAX(1, (Calculations!$H13-Calculations!$K13) / (Calculations!$J13 + Calculations!$M13 + Calculations!$P13))</f>
        <v>1.913814551</v>
      </c>
      <c r="Y13" s="115">
        <f>MAX(1, (Calculations!$H13-Calculations!$K13) / (Calculations!$J13 + Calculations!$M13 + Calculations!$Q13))</f>
        <v>1.438297056</v>
      </c>
      <c r="Z13" s="115">
        <f>MAX(1, (Calculations!$H13-Calculations!$K13) / (Calculations!$J13 + Calculations!$N13 + Calculations!$O13))</f>
        <v>2.451681445</v>
      </c>
      <c r="AA13" s="115">
        <f>MAX(1, (Calculations!$H13-Calculations!$K13) / (Calculations!$J13 + Calculations!$N13 + Calculations!$P13))</f>
        <v>1.972840562</v>
      </c>
      <c r="AB13" s="115">
        <f>MAX(1, (Calculations!$H13-Calculations!$K13) / (Calculations!$J13 + Calculations!$N13 + Calculations!$Q13))</f>
        <v>1.471381627</v>
      </c>
      <c r="AC13" s="27"/>
      <c r="AD13" s="27"/>
    </row>
    <row r="14" ht="14.25" customHeight="1">
      <c r="A14" s="113" t="s">
        <v>227</v>
      </c>
      <c r="B14" s="113"/>
      <c r="C14" s="113" t="s">
        <v>63</v>
      </c>
      <c r="D14" s="115">
        <v>0.6</v>
      </c>
      <c r="E14" s="113">
        <v>1.0</v>
      </c>
      <c r="F14" s="113"/>
      <c r="G14" s="113">
        <f t="array" ref="G14">INDEX(Data!$U$2:$U$75,MATCH(Calculations!$A14,Data!$A$2:$A$75,0))</f>
        <v>15</v>
      </c>
      <c r="H14" s="113">
        <f t="array" ref="H14">INDEX(Data!$V$2:$V$75,MATCH(Calculations!$A14,Data!$A$2:$A$75,0))</f>
        <v>60</v>
      </c>
      <c r="I14" s="116">
        <f t="array" ref="I14">INDEX(Data!$F$2:$F$75,MATCH(Calculations!$A14,Data!$A$2:$A$75,0)) * Calculations!$E14 +
 INDEX(Data!$G$2:$G$75,MATCH(Calculations!$A14,Data!$A$2:$A$75,0)) * Calculations!$F14 +
INDEX(Data!$L$2:$L$75,MATCH(Calculations!$A14,Data!$A$2:$A$75,0)) * (0.6 +0.4*Calculations!$D14) * MIN(INDEX(Data!$O$2:$O$75,MATCH(Calculations!$A14,Data!$A$2:$A$75,0)), Calculations!$G14)</f>
        <v>4.8</v>
      </c>
      <c r="J14" s="116">
        <f>Calculations!$I14*OnFieldRight</f>
        <v>14.4</v>
      </c>
      <c r="K14" s="116"/>
      <c r="L14" s="116">
        <f>(Calculations!$D14*OnFieldOrb + (1-Calculations!$D14*OffFieldOrb)) * OrbsPerRun / (90/Calculations!$G14)</f>
        <v>2.846666667</v>
      </c>
      <c r="M14" s="116">
        <f>(Calculations!$D14*OnFieldOrb + (1-Calculations!$D14*OffFieldOrb)) * OrbsPerRun / (150/Calculations!$G14)</f>
        <v>1.708</v>
      </c>
      <c r="N14" s="116">
        <f>(Calculations!$D14*OnFieldOrb + (1-Calculations!$D14*OffFieldOrb)) * OrbsPerRun / (300/Calculations!$G14)</f>
        <v>0.854</v>
      </c>
      <c r="O14" s="116">
        <f>LowEPS*Calculations!$G14</f>
        <v>5.535</v>
      </c>
      <c r="P14" s="116">
        <f>MedEPS*Calculations!$G14</f>
        <v>11.475</v>
      </c>
      <c r="Q14" s="116">
        <f>HighEPS*Calculations!$G14</f>
        <v>21.84</v>
      </c>
      <c r="R14" s="116">
        <f>VHighEPS*Calculations!$G14</f>
        <v>36.378</v>
      </c>
      <c r="S14" s="115">
        <f>MAX(1, (Calculations!$H14-Calculations!$K14) / (Calculations!$J14 + Calculations!$L14 + Calculations!$O14))</f>
        <v>2.633696686</v>
      </c>
      <c r="T14" s="115">
        <f>MAX(1, (Calculations!$H14-Calculations!$K14) / (Calculations!$J14 + Calculations!$L14 + Calculations!$P14))</f>
        <v>2.089015261</v>
      </c>
      <c r="U14" s="115">
        <f>MAX(1, (Calculations!$H14-Calculations!$K14) / (Calculations!$J14 + Calculations!$L14 + Calculations!$Q14))</f>
        <v>1.535050316</v>
      </c>
      <c r="V14" s="115">
        <f>MAX(1, (Calculations!$H14-Calculations!$K14) / (Calculations!$J14 + Calculations!$L14 + Calculations!$R14))</f>
        <v>1.118888074</v>
      </c>
      <c r="W14" s="115">
        <f>MAX(1, (Calculations!$H14-Calculations!$K14) / (Calculations!$J14 + Calculations!$M14 + Calculations!$O14))</f>
        <v>2.772258929</v>
      </c>
      <c r="X14" s="115">
        <f>MAX(1, (Calculations!$H14-Calculations!$K14) / (Calculations!$J14 + Calculations!$M14 + Calculations!$P14))</f>
        <v>2.175252873</v>
      </c>
      <c r="Y14" s="115">
        <f>MAX(1, (Calculations!$H14-Calculations!$K14) / (Calculations!$J14 + Calculations!$M14 + Calculations!$Q14))</f>
        <v>1.581110994</v>
      </c>
      <c r="Z14" s="115">
        <f>MAX(1, (Calculations!$H14-Calculations!$K14) / (Calculations!$J14 + Calculations!$N14 + Calculations!$O14))</f>
        <v>2.88614171</v>
      </c>
      <c r="AA14" s="115">
        <f>MAX(1, (Calculations!$H14-Calculations!$K14) / (Calculations!$J14 + Calculations!$N14 + Calculations!$P14))</f>
        <v>2.24475289</v>
      </c>
      <c r="AB14" s="115">
        <f>MAX(1, (Calculations!$H14-Calculations!$K14) / (Calculations!$J14 + Calculations!$N14 + Calculations!$Q14))</f>
        <v>1.617512266</v>
      </c>
      <c r="AC14" s="27"/>
      <c r="AD14" s="27"/>
    </row>
    <row r="15" ht="14.25" customHeight="1">
      <c r="A15" s="113" t="s">
        <v>232</v>
      </c>
      <c r="B15" s="113" t="s">
        <v>593</v>
      </c>
      <c r="C15" s="113" t="s">
        <v>46</v>
      </c>
      <c r="D15" s="115">
        <v>0.1</v>
      </c>
      <c r="E15" s="113">
        <v>1.0</v>
      </c>
      <c r="F15" s="113"/>
      <c r="G15" s="113">
        <f t="array" ref="G15">INDEX(Data!$U$2:$U$75,MATCH(Calculations!$A15,Data!$A$2:$A$75,0))</f>
        <v>20</v>
      </c>
      <c r="H15" s="113">
        <f t="array" ref="H15">INDEX(Data!$V$2:$V$75,MATCH(Calculations!$A15,Data!$A$2:$A$75,0))</f>
        <v>80</v>
      </c>
      <c r="I15" s="116">
        <f t="array" ref="I15">INDEX(Data!$F$2:$F$75,MATCH(Calculations!$A15,Data!$A$2:$A$75,0)) * Calculations!$E15 +
 INDEX(Data!$G$2:$G$75,MATCH(Calculations!$A15,Data!$A$2:$A$75,0)) * Calculations!$F15 +
INDEX(Data!$L$2:$L$75,MATCH(Calculations!$A15,Data!$A$2:$A$75,0)) * (0.6 +0.4*Calculations!$D15) * MIN(INDEX(Data!$O$2:$O$75,MATCH(Calculations!$A15,Data!$A$2:$A$75,0)), Calculations!$G15)</f>
        <v>2.67</v>
      </c>
      <c r="J15" s="116">
        <f>Calculations!$I15*OnFieldRight</f>
        <v>8.01</v>
      </c>
      <c r="K15" s="116">
        <v>16.0</v>
      </c>
      <c r="L15" s="116">
        <f>(Calculations!$D15*OnFieldOrb + (1-Calculations!$D15*OffFieldOrb)) * OrbsPerRun / (90/Calculations!$G15)</f>
        <v>1.928888889</v>
      </c>
      <c r="M15" s="116">
        <f>(Calculations!$D15*OnFieldOrb + (1-Calculations!$D15*OffFieldOrb)) * OrbsPerRun / (150/Calculations!$G15)</f>
        <v>1.157333333</v>
      </c>
      <c r="N15" s="116">
        <f>(Calculations!$D15*OnFieldOrb + (1-Calculations!$D15*OffFieldOrb)) * OrbsPerRun / (300/Calculations!$G15)</f>
        <v>0.5786666667</v>
      </c>
      <c r="O15" s="116">
        <f>LowEPS*Calculations!$G15</f>
        <v>7.38</v>
      </c>
      <c r="P15" s="116">
        <f>MedEPS*Calculations!$G15</f>
        <v>15.3</v>
      </c>
      <c r="Q15" s="116">
        <f>HighEPS*Calculations!$G15</f>
        <v>29.12</v>
      </c>
      <c r="R15" s="116">
        <f>VHighEPS*Calculations!$G15</f>
        <v>48.504</v>
      </c>
      <c r="S15" s="115">
        <f>MAX(1, (Calculations!$H15-Calculations!$K15) / (Calculations!$J15 + Calculations!$L15 + Calculations!$O15))</f>
        <v>3.695387182</v>
      </c>
      <c r="T15" s="115">
        <f>MAX(1, (Calculations!$H15-Calculations!$K15) / (Calculations!$J15 + Calculations!$L15 + Calculations!$P15))</f>
        <v>2.535769315</v>
      </c>
      <c r="U15" s="115">
        <f>MAX(1, (Calculations!$H15-Calculations!$K15) / (Calculations!$J15 + Calculations!$L15 + Calculations!$Q15))</f>
        <v>1.638551475</v>
      </c>
      <c r="V15" s="115">
        <f>MAX(1, (Calculations!$H15-Calculations!$K15) / (Calculations!$J15 + Calculations!$L15 + Calculations!$R15))</f>
        <v>1.095086181</v>
      </c>
      <c r="W15" s="115">
        <f>MAX(1, (Calculations!$H15-Calculations!$K15) / (Calculations!$J15 + Calculations!$M15 + Calculations!$O15))</f>
        <v>3.86769268</v>
      </c>
      <c r="X15" s="115">
        <f>MAX(1, (Calculations!$H15-Calculations!$K15) / (Calculations!$J15 + Calculations!$M15 + Calculations!$P15))</f>
        <v>2.615732541</v>
      </c>
      <c r="Y15" s="115">
        <f>MAX(1, (Calculations!$H15-Calculations!$K15) / (Calculations!$J15 + Calculations!$M15 + Calculations!$Q15))</f>
        <v>1.671571103</v>
      </c>
      <c r="Z15" s="115">
        <f>MAX(1, (Calculations!$H15-Calculations!$K15) / (Calculations!$J15 + Calculations!$N15 + Calculations!$O15))</f>
        <v>4.007848704</v>
      </c>
      <c r="AA15" s="115">
        <f>MAX(1, (Calculations!$H15-Calculations!$K15) / (Calculations!$J15 + Calculations!$N15 + Calculations!$P15))</f>
        <v>2.679094689</v>
      </c>
      <c r="AB15" s="115">
        <f>MAX(1, (Calculations!$H15-Calculations!$K15) / (Calculations!$J15 + Calculations!$N15 + Calculations!$Q15))</f>
        <v>1.697222566</v>
      </c>
      <c r="AC15" s="27"/>
      <c r="AD15" s="27"/>
    </row>
    <row r="16" ht="14.25" customHeight="1">
      <c r="A16" s="113" t="s">
        <v>232</v>
      </c>
      <c r="B16" s="113" t="s">
        <v>594</v>
      </c>
      <c r="C16" s="113" t="s">
        <v>46</v>
      </c>
      <c r="D16" s="115">
        <v>0.15</v>
      </c>
      <c r="E16" s="113">
        <v>2.0</v>
      </c>
      <c r="F16" s="113"/>
      <c r="G16" s="113">
        <f t="array" ref="G16">INDEX(Data!$U$2:$U$75,MATCH(Calculations!$A16,Data!$A$2:$A$75,0))</f>
        <v>20</v>
      </c>
      <c r="H16" s="113">
        <f t="array" ref="H16">INDEX(Data!$V$2:$V$75,MATCH(Calculations!$A16,Data!$A$2:$A$75,0))</f>
        <v>80</v>
      </c>
      <c r="I16" s="116">
        <f t="array" ref="I16">INDEX(Data!$F$2:$F$75,MATCH(Calculations!$A16,Data!$A$2:$A$75,0)) * Calculations!$E16 +
 INDEX(Data!$G$2:$G$75,MATCH(Calculations!$A16,Data!$A$2:$A$75,0)) * Calculations!$F16 +
INDEX(Data!$L$2:$L$75,MATCH(Calculations!$A16,Data!$A$2:$A$75,0)) * (0.6 +0.4*Calculations!$D16) * MIN(INDEX(Data!$O$2:$O$75,MATCH(Calculations!$A16,Data!$A$2:$A$75,0)), Calculations!$G16)</f>
        <v>5.34</v>
      </c>
      <c r="J16" s="116">
        <f>Calculations!$I16*OnFieldRight</f>
        <v>16.02</v>
      </c>
      <c r="K16" s="116">
        <v>16.0</v>
      </c>
      <c r="L16" s="116">
        <f>(Calculations!$D16*OnFieldOrb + (1-Calculations!$D16*OffFieldOrb)) * OrbsPerRun / (90/Calculations!$G16)</f>
        <v>2.115555556</v>
      </c>
      <c r="M16" s="116">
        <f>(Calculations!$D16*OnFieldOrb + (1-Calculations!$D16*OffFieldOrb)) * OrbsPerRun / (150/Calculations!$G16)</f>
        <v>1.269333333</v>
      </c>
      <c r="N16" s="116">
        <f>(Calculations!$D16*OnFieldOrb + (1-Calculations!$D16*OffFieldOrb)) * OrbsPerRun / (300/Calculations!$G16)</f>
        <v>0.6346666667</v>
      </c>
      <c r="O16" s="116">
        <f>LowEPS*Calculations!$G16</f>
        <v>7.38</v>
      </c>
      <c r="P16" s="116">
        <f>MedEPS*Calculations!$G16</f>
        <v>15.3</v>
      </c>
      <c r="Q16" s="116">
        <f>HighEPS*Calculations!$G16</f>
        <v>29.12</v>
      </c>
      <c r="R16" s="116">
        <f>VHighEPS*Calculations!$G16</f>
        <v>48.504</v>
      </c>
      <c r="S16" s="115">
        <f>MAX(1, (Calculations!$H16-Calculations!$K16) / (Calculations!$J16 + Calculations!$L16 + Calculations!$O16))</f>
        <v>2.50827382</v>
      </c>
      <c r="T16" s="115">
        <f>MAX(1, (Calculations!$H16-Calculations!$K16) / (Calculations!$J16 + Calculations!$L16 + Calculations!$P16))</f>
        <v>1.914130001</v>
      </c>
      <c r="U16" s="115">
        <f>MAX(1, (Calculations!$H16-Calculations!$K16) / (Calculations!$J16 + Calculations!$L16 + Calculations!$Q16))</f>
        <v>1.354338114</v>
      </c>
      <c r="V16" s="115">
        <f>MAX(1, (Calculations!$H16-Calculations!$K16) / (Calculations!$J16 + Calculations!$L16 + Calculations!$R16))</f>
        <v>1</v>
      </c>
      <c r="W16" s="115">
        <f>MAX(1, (Calculations!$H16-Calculations!$K16) / (Calculations!$J16 + Calculations!$M16 + Calculations!$O16))</f>
        <v>2.594314128</v>
      </c>
      <c r="X16" s="115">
        <f>MAX(1, (Calculations!$H16-Calculations!$K16) / (Calculations!$J16 + Calculations!$M16 + Calculations!$P16))</f>
        <v>1.963832747</v>
      </c>
      <c r="Y16" s="115">
        <f>MAX(1, (Calculations!$H16-Calculations!$K16) / (Calculations!$J16 + Calculations!$M16 + Calculations!$Q16))</f>
        <v>1.379032953</v>
      </c>
      <c r="Z16" s="115">
        <f>MAX(1, (Calculations!$H16-Calculations!$K16) / (Calculations!$J16 + Calculations!$N16 + Calculations!$O16))</f>
        <v>2.662820371</v>
      </c>
      <c r="AA16" s="115">
        <f>MAX(1, (Calculations!$H16-Calculations!$K16) / (Calculations!$J16 + Calculations!$N16 + Calculations!$P16))</f>
        <v>2.002837353</v>
      </c>
      <c r="AB16" s="115">
        <f>MAX(1, (Calculations!$H16-Calculations!$K16) / (Calculations!$J16 + Calculations!$N16 + Calculations!$Q16))</f>
        <v>1.398153273</v>
      </c>
      <c r="AC16" s="27"/>
      <c r="AD16" s="27"/>
    </row>
    <row r="17" ht="14.25" customHeight="1">
      <c r="A17" s="113" t="s">
        <v>235</v>
      </c>
      <c r="B17" s="113" t="s">
        <v>593</v>
      </c>
      <c r="C17" s="113" t="s">
        <v>48</v>
      </c>
      <c r="D17" s="115">
        <v>0.1</v>
      </c>
      <c r="E17" s="113">
        <v>1.0</v>
      </c>
      <c r="F17" s="113"/>
      <c r="G17" s="113">
        <f t="array" ref="G17">INDEX(Data!$U$2:$U$75,MATCH(Calculations!$A17,Data!$A$2:$A$75,0))</f>
        <v>15</v>
      </c>
      <c r="H17" s="113">
        <f t="array" ref="H17">INDEX(Data!$V$2:$V$75,MATCH(Calculations!$A17,Data!$A$2:$A$75,0))</f>
        <v>60</v>
      </c>
      <c r="I17" s="116">
        <f t="array" ref="I17">INDEX(Data!$F$2:$F$75,MATCH(Calculations!$A17,Data!$A$2:$A$75,0)) * Calculations!$E17 +
 INDEX(Data!$G$2:$G$75,MATCH(Calculations!$A17,Data!$A$2:$A$75,0)) * Calculations!$F17 +
INDEX(Data!$L$2:$L$75,MATCH(Calculations!$A17,Data!$A$2:$A$75,0)) * (0.6 +0.4*Calculations!$D17) * MIN(INDEX(Data!$O$2:$O$75,MATCH(Calculations!$A17,Data!$A$2:$A$75,0)), Calculations!$G17)</f>
        <v>2.67</v>
      </c>
      <c r="J17" s="116">
        <f>Calculations!$I17*OnFieldRight</f>
        <v>8.01</v>
      </c>
      <c r="K17" s="116"/>
      <c r="L17" s="116">
        <f>(Calculations!$D17*OnFieldOrb + (1-Calculations!$D17*OffFieldOrb)) * OrbsPerRun / (90/Calculations!$G17)</f>
        <v>1.446666667</v>
      </c>
      <c r="M17" s="116">
        <f>(Calculations!$D17*OnFieldOrb + (1-Calculations!$D17*OffFieldOrb)) * OrbsPerRun / (150/Calculations!$G17)</f>
        <v>0.868</v>
      </c>
      <c r="N17" s="116">
        <f>(Calculations!$D17*OnFieldOrb + (1-Calculations!$D17*OffFieldOrb)) * OrbsPerRun / (300/Calculations!$G17)</f>
        <v>0.434</v>
      </c>
      <c r="O17" s="116">
        <f>LowEPS*Calculations!$G17</f>
        <v>5.535</v>
      </c>
      <c r="P17" s="116">
        <f>MedEPS*Calculations!$G17</f>
        <v>11.475</v>
      </c>
      <c r="Q17" s="116">
        <f>HighEPS*Calculations!$G17</f>
        <v>21.84</v>
      </c>
      <c r="R17" s="116">
        <f>VHighEPS*Calculations!$G17</f>
        <v>36.378</v>
      </c>
      <c r="S17" s="115">
        <f>MAX(1, (Calculations!$H17-Calculations!$K17) / (Calculations!$J17 + Calculations!$L17 + Calculations!$O17))</f>
        <v>4.002223457</v>
      </c>
      <c r="T17" s="115">
        <f>MAX(1, (Calculations!$H17-Calculations!$K17) / (Calculations!$J17 + Calculations!$L17 + Calculations!$P17))</f>
        <v>2.86647026</v>
      </c>
      <c r="U17" s="115">
        <f>MAX(1, (Calculations!$H17-Calculations!$K17) / (Calculations!$J17 + Calculations!$L17 + Calculations!$Q17))</f>
        <v>1.917137075</v>
      </c>
      <c r="V17" s="115">
        <f>MAX(1, (Calculations!$H17-Calculations!$K17) / (Calculations!$J17 + Calculations!$L17 + Calculations!$R17))</f>
        <v>1.309052828</v>
      </c>
      <c r="W17" s="115">
        <f>MAX(1, (Calculations!$H17-Calculations!$K17) / (Calculations!$J17 + Calculations!$M17 + Calculations!$O17))</f>
        <v>4.162908485</v>
      </c>
      <c r="X17" s="115">
        <f>MAX(1, (Calculations!$H17-Calculations!$K17) / (Calculations!$J17 + Calculations!$M17 + Calculations!$P17))</f>
        <v>2.947968358</v>
      </c>
      <c r="Y17" s="115">
        <f>MAX(1, (Calculations!$H17-Calculations!$K17) / (Calculations!$J17 + Calculations!$M17 + Calculations!$Q17))</f>
        <v>1.953252165</v>
      </c>
      <c r="Z17" s="115">
        <f>MAX(1, (Calculations!$H17-Calculations!$K17) / (Calculations!$J17 + Calculations!$N17 + Calculations!$O17))</f>
        <v>4.292152514</v>
      </c>
      <c r="AA17" s="115">
        <f>MAX(1, (Calculations!$H17-Calculations!$K17) / (Calculations!$J17 + Calculations!$N17 + Calculations!$P17))</f>
        <v>3.012199408</v>
      </c>
      <c r="AB17" s="115">
        <f>MAX(1, (Calculations!$H17-Calculations!$K17) / (Calculations!$J17 + Calculations!$N17 + Calculations!$Q17))</f>
        <v>1.981244221</v>
      </c>
      <c r="AC17" s="27"/>
      <c r="AD17" s="27"/>
    </row>
    <row r="18" ht="14.25" customHeight="1">
      <c r="A18" s="113" t="s">
        <v>235</v>
      </c>
      <c r="B18" s="113" t="s">
        <v>594</v>
      </c>
      <c r="C18" s="113" t="s">
        <v>48</v>
      </c>
      <c r="D18" s="115">
        <v>0.15</v>
      </c>
      <c r="E18" s="113">
        <v>2.0</v>
      </c>
      <c r="F18" s="113"/>
      <c r="G18" s="113">
        <f t="array" ref="G18">INDEX(Data!$U$2:$U$75,MATCH(Calculations!$A18,Data!$A$2:$A$75,0))</f>
        <v>15</v>
      </c>
      <c r="H18" s="113">
        <f t="array" ref="H18">INDEX(Data!$V$2:$V$75,MATCH(Calculations!$A18,Data!$A$2:$A$75,0))</f>
        <v>60</v>
      </c>
      <c r="I18" s="116">
        <f t="array" ref="I18">INDEX(Data!$F$2:$F$75,MATCH(Calculations!$A18,Data!$A$2:$A$75,0)) * Calculations!$E18 +
 INDEX(Data!$G$2:$G$75,MATCH(Calculations!$A18,Data!$A$2:$A$75,0)) * Calculations!$F18 +
INDEX(Data!$L$2:$L$75,MATCH(Calculations!$A18,Data!$A$2:$A$75,0)) * (0.6 +0.4*Calculations!$D18) * MIN(INDEX(Data!$O$2:$O$75,MATCH(Calculations!$A18,Data!$A$2:$A$75,0)), Calculations!$G18)</f>
        <v>5.34</v>
      </c>
      <c r="J18" s="116">
        <f>Calculations!$I18*OnFieldRight</f>
        <v>16.02</v>
      </c>
      <c r="K18" s="116"/>
      <c r="L18" s="116">
        <f>(Calculations!$D18*OnFieldOrb + (1-Calculations!$D18*OffFieldOrb)) * OrbsPerRun / (90/Calculations!$G18)</f>
        <v>1.586666667</v>
      </c>
      <c r="M18" s="116">
        <f>(Calculations!$D18*OnFieldOrb + (1-Calculations!$D18*OffFieldOrb)) * OrbsPerRun / (150/Calculations!$G18)</f>
        <v>0.952</v>
      </c>
      <c r="N18" s="116">
        <f>(Calculations!$D18*OnFieldOrb + (1-Calculations!$D18*OffFieldOrb)) * OrbsPerRun / (300/Calculations!$G18)</f>
        <v>0.476</v>
      </c>
      <c r="O18" s="116">
        <f>LowEPS*Calculations!$G18</f>
        <v>5.535</v>
      </c>
      <c r="P18" s="116">
        <f>MedEPS*Calculations!$G18</f>
        <v>11.475</v>
      </c>
      <c r="Q18" s="116">
        <f>HighEPS*Calculations!$G18</f>
        <v>21.84</v>
      </c>
      <c r="R18" s="116">
        <f>VHighEPS*Calculations!$G18</f>
        <v>36.378</v>
      </c>
      <c r="S18" s="115">
        <f>MAX(1, (Calculations!$H18-Calculations!$K18) / (Calculations!$J18 + Calculations!$L18 + Calculations!$O18))</f>
        <v>2.592725963</v>
      </c>
      <c r="T18" s="115">
        <f>MAX(1, (Calculations!$H18-Calculations!$K18) / (Calculations!$J18 + Calculations!$L18 + Calculations!$P18))</f>
        <v>2.063155482</v>
      </c>
      <c r="U18" s="115">
        <f>MAX(1, (Calculations!$H18-Calculations!$K18) / (Calculations!$J18 + Calculations!$L18 + Calculations!$Q18))</f>
        <v>1.521041068</v>
      </c>
      <c r="V18" s="115">
        <f>MAX(1, (Calculations!$H18-Calculations!$K18) / (Calculations!$J18 + Calculations!$L18 + Calculations!$R18))</f>
        <v>1.111426701</v>
      </c>
      <c r="W18" s="115">
        <f>MAX(1, (Calculations!$H18-Calculations!$K18) / (Calculations!$J18 + Calculations!$M18 + Calculations!$O18))</f>
        <v>2.665837295</v>
      </c>
      <c r="X18" s="115">
        <f>MAX(1, (Calculations!$H18-Calculations!$K18) / (Calculations!$J18 + Calculations!$M18 + Calculations!$P18))</f>
        <v>2.109185503</v>
      </c>
      <c r="Y18" s="115">
        <f>MAX(1, (Calculations!$H18-Calculations!$K18) / (Calculations!$J18 + Calculations!$M18 + Calculations!$Q18))</f>
        <v>1.545913635</v>
      </c>
      <c r="Z18" s="115">
        <f>MAX(1, (Calculations!$H18-Calculations!$K18) / (Calculations!$J18 + Calculations!$N18 + Calculations!$O18))</f>
        <v>2.72343516</v>
      </c>
      <c r="AA18" s="115">
        <f>MAX(1, (Calculations!$H18-Calculations!$K18) / (Calculations!$J18 + Calculations!$N18 + Calculations!$P18))</f>
        <v>2.145078832</v>
      </c>
      <c r="AB18" s="115">
        <f>MAX(1, (Calculations!$H18-Calculations!$K18) / (Calculations!$J18 + Calculations!$N18 + Calculations!$Q18))</f>
        <v>1.565108514</v>
      </c>
      <c r="AC18" s="27"/>
      <c r="AD18" s="27"/>
    </row>
    <row r="19" ht="14.25" customHeight="1">
      <c r="A19" s="113" t="s">
        <v>242</v>
      </c>
      <c r="B19" s="113"/>
      <c r="C19" s="113" t="s">
        <v>52</v>
      </c>
      <c r="D19" s="115">
        <v>0.6</v>
      </c>
      <c r="E19" s="113">
        <v>2.0</v>
      </c>
      <c r="F19" s="113"/>
      <c r="G19" s="113">
        <f t="array" ref="G19">INDEX(Data!$U$2:$U$75,MATCH(Calculations!$A19,Data!$A$2:$A$75,0))</f>
        <v>12</v>
      </c>
      <c r="H19" s="113">
        <f t="array" ref="H19">INDEX(Data!$V$2:$V$75,MATCH(Calculations!$A19,Data!$A$2:$A$75,0))</f>
        <v>40</v>
      </c>
      <c r="I19" s="116">
        <f t="array" ref="I19">INDEX(Data!$F$2:$F$75,MATCH(Calculations!$A19,Data!$A$2:$A$75,0)) * Calculations!$E19 +
 INDEX(Data!$G$2:$G$75,MATCH(Calculations!$A19,Data!$A$2:$A$75,0)) * Calculations!$F19 +
INDEX(Data!$L$2:$L$75,MATCH(Calculations!$A19,Data!$A$2:$A$75,0)) * (0.6 +0.4*Calculations!$D19) * MIN(INDEX(Data!$O$2:$O$75,MATCH(Calculations!$A19,Data!$A$2:$A$75,0)), Calculations!$G19)</f>
        <v>5</v>
      </c>
      <c r="J19" s="116">
        <f>Calculations!$I19*OnFieldRight</f>
        <v>15</v>
      </c>
      <c r="K19" s="116"/>
      <c r="L19" s="116">
        <f>(Calculations!$D19*OnFieldOrb + (1-Calculations!$D19*OffFieldOrb)) * OrbsPerRun / (90/Calculations!$G19)</f>
        <v>2.277333333</v>
      </c>
      <c r="M19" s="116">
        <f>(Calculations!$D19*OnFieldOrb + (1-Calculations!$D19*OffFieldOrb)) * OrbsPerRun / (150/Calculations!$G19)</f>
        <v>1.3664</v>
      </c>
      <c r="N19" s="116">
        <f>(Calculations!$D19*OnFieldOrb + (1-Calculations!$D19*OffFieldOrb)) * OrbsPerRun / (300/Calculations!$G19)</f>
        <v>0.6832</v>
      </c>
      <c r="O19" s="116">
        <f>LowEPS*Calculations!$G19</f>
        <v>4.428</v>
      </c>
      <c r="P19" s="116">
        <f>MedEPS*Calculations!$G19</f>
        <v>9.18</v>
      </c>
      <c r="Q19" s="116">
        <f>HighEPS*Calculations!$G19</f>
        <v>17.472</v>
      </c>
      <c r="R19" s="116">
        <f>VHighEPS*Calculations!$G19</f>
        <v>29.1024</v>
      </c>
      <c r="S19" s="115">
        <f>MAX(1, (Calculations!$H19-Calculations!$K19) / (Calculations!$J19 + Calculations!$L19 + Calculations!$O19))</f>
        <v>1.842865041</v>
      </c>
      <c r="T19" s="115">
        <f>MAX(1, (Calculations!$H19-Calculations!$K19) / (Calculations!$J19 + Calculations!$L19 + Calculations!$P19))</f>
        <v>1.511868165</v>
      </c>
      <c r="U19" s="115">
        <f>MAX(1, (Calculations!$H19-Calculations!$K19) / (Calculations!$J19 + Calculations!$L19 + Calculations!$Q19))</f>
        <v>1.15110122</v>
      </c>
      <c r="V19" s="115">
        <f>MAX(1, (Calculations!$H19-Calculations!$K19) / (Calculations!$J19 + Calculations!$L19 + Calculations!$R19))</f>
        <v>1</v>
      </c>
      <c r="W19" s="115">
        <f>MAX(1, (Calculations!$H19-Calculations!$K19) / (Calculations!$J19 + Calculations!$M19 + Calculations!$O19))</f>
        <v>1.923594814</v>
      </c>
      <c r="X19" s="115">
        <f>MAX(1, (Calculations!$H19-Calculations!$K19) / (Calculations!$J19 + Calculations!$M19 + Calculations!$P19))</f>
        <v>1.565778348</v>
      </c>
      <c r="Y19" s="115">
        <f>MAX(1, (Calculations!$H19-Calculations!$K19) / (Calculations!$J19 + Calculations!$M19 + Calculations!$Q19))</f>
        <v>1.182088988</v>
      </c>
      <c r="Z19" s="115">
        <f>MAX(1, (Calculations!$H19-Calculations!$K19) / (Calculations!$J19 + Calculations!$N19 + Calculations!$O19))</f>
        <v>1.988941485</v>
      </c>
      <c r="AA19" s="115">
        <f>MAX(1, (Calculations!$H19-Calculations!$K19) / (Calculations!$J19 + Calculations!$N19 + Calculations!$P19))</f>
        <v>1.608803372</v>
      </c>
      <c r="AB19" s="115">
        <f>MAX(1, (Calculations!$H19-Calculations!$K19) / (Calculations!$J19 + Calculations!$N19 + Calculations!$Q19))</f>
        <v>1.206447254</v>
      </c>
      <c r="AC19" s="27"/>
      <c r="AD19" s="27"/>
    </row>
    <row r="20" ht="14.25" customHeight="1">
      <c r="A20" s="113" t="s">
        <v>249</v>
      </c>
      <c r="B20" s="113"/>
      <c r="C20" s="113" t="s">
        <v>63</v>
      </c>
      <c r="D20" s="115">
        <v>0.7</v>
      </c>
      <c r="E20" s="113">
        <v>1.0</v>
      </c>
      <c r="F20" s="113"/>
      <c r="G20" s="113">
        <f t="array" ref="G20">INDEX(Data!$U$2:$U$75,MATCH(Calculations!$A20,Data!$A$2:$A$75,0))</f>
        <v>15</v>
      </c>
      <c r="H20" s="113">
        <f t="array" ref="H20">INDEX(Data!$V$2:$V$75,MATCH(Calculations!$A20,Data!$A$2:$A$75,0))</f>
        <v>60</v>
      </c>
      <c r="I20" s="116">
        <f t="array" ref="I20">INDEX(Data!$F$2:$F$75,MATCH(Calculations!$A20,Data!$A$2:$A$75,0)) * Calculations!$E20 +
 INDEX(Data!$G$2:$G$75,MATCH(Calculations!$A20,Data!$A$2:$A$75,0)) * Calculations!$F20 +
INDEX(Data!$L$2:$L$75,MATCH(Calculations!$A20,Data!$A$2:$A$75,0)) * (0.6 +0.4*Calculations!$D20) * MIN(INDEX(Data!$O$2:$O$75,MATCH(Calculations!$A20,Data!$A$2:$A$75,0)), Calculations!$G20)</f>
        <v>4</v>
      </c>
      <c r="J20" s="116">
        <f>Calculations!$I20*OnFieldRight</f>
        <v>12</v>
      </c>
      <c r="K20" s="116"/>
      <c r="L20" s="116">
        <f>(Calculations!$D20*OnFieldOrb + (1-Calculations!$D20*OffFieldOrb)) * OrbsPerRun / (90/Calculations!$G20)</f>
        <v>3.126666667</v>
      </c>
      <c r="M20" s="116">
        <f>(Calculations!$D20*OnFieldOrb + (1-Calculations!$D20*OffFieldOrb)) * OrbsPerRun / (150/Calculations!$G20)</f>
        <v>1.876</v>
      </c>
      <c r="N20" s="116">
        <f>(Calculations!$D20*OnFieldOrb + (1-Calculations!$D20*OffFieldOrb)) * OrbsPerRun / (300/Calculations!$G20)</f>
        <v>0.938</v>
      </c>
      <c r="O20" s="116">
        <f>LowEPS*Calculations!$G20</f>
        <v>5.535</v>
      </c>
      <c r="P20" s="116">
        <f>MedEPS*Calculations!$G20</f>
        <v>11.475</v>
      </c>
      <c r="Q20" s="116">
        <f>HighEPS*Calculations!$G20</f>
        <v>21.84</v>
      </c>
      <c r="R20" s="116">
        <f>VHighEPS*Calculations!$G20</f>
        <v>36.378</v>
      </c>
      <c r="S20" s="115">
        <f>MAX(1, (Calculations!$H20-Calculations!$K20) / (Calculations!$J20 + Calculations!$L20 + Calculations!$O20))</f>
        <v>2.90392837</v>
      </c>
      <c r="T20" s="115">
        <f>MAX(1, (Calculations!$H20-Calculations!$K20) / (Calculations!$J20 + Calculations!$L20 + Calculations!$P20))</f>
        <v>2.255497776</v>
      </c>
      <c r="U20" s="115">
        <f>MAX(1, (Calculations!$H20-Calculations!$K20) / (Calculations!$J20 + Calculations!$L20 + Calculations!$Q20))</f>
        <v>1.623083859</v>
      </c>
      <c r="V20" s="115">
        <f>MAX(1, (Calculations!$H20-Calculations!$K20) / (Calculations!$J20 + Calculations!$L20 + Calculations!$R20))</f>
        <v>1.164942983</v>
      </c>
      <c r="W20" s="115">
        <f>MAX(1, (Calculations!$H20-Calculations!$K20) / (Calculations!$J20 + Calculations!$M20 + Calculations!$O20))</f>
        <v>3.091030859</v>
      </c>
      <c r="X20" s="115">
        <f>MAX(1, (Calculations!$H20-Calculations!$K20) / (Calculations!$J20 + Calculations!$M20 + Calculations!$P20))</f>
        <v>2.366770542</v>
      </c>
      <c r="Y20" s="115">
        <f>MAX(1, (Calculations!$H20-Calculations!$K20) / (Calculations!$J20 + Calculations!$M20 + Calculations!$Q20))</f>
        <v>1.679919364</v>
      </c>
      <c r="Z20" s="115">
        <f>MAX(1, (Calculations!$H20-Calculations!$K20) / (Calculations!$J20 + Calculations!$N20 + Calculations!$O20))</f>
        <v>3.247983544</v>
      </c>
      <c r="AA20" s="115">
        <f>MAX(1, (Calculations!$H20-Calculations!$K20) / (Calculations!$J20 + Calculations!$N20 + Calculations!$P20))</f>
        <v>2.457706959</v>
      </c>
      <c r="AB20" s="115">
        <f>MAX(1, (Calculations!$H20-Calculations!$K20) / (Calculations!$J20 + Calculations!$N20 + Calculations!$Q20))</f>
        <v>1.725228593</v>
      </c>
      <c r="AC20" s="27"/>
      <c r="AD20" s="27"/>
    </row>
    <row r="21" ht="14.25" customHeight="1">
      <c r="A21" s="113" t="s">
        <v>264</v>
      </c>
      <c r="B21" s="113"/>
      <c r="C21" s="113" t="s">
        <v>52</v>
      </c>
      <c r="D21" s="115">
        <v>0.15</v>
      </c>
      <c r="E21" s="113"/>
      <c r="F21" s="113">
        <v>1.0</v>
      </c>
      <c r="G21" s="113">
        <f t="array" ref="G21">INDEX(Data!$U$2:$U$75,MATCH(Calculations!$A21,Data!$A$2:$A$75,0))</f>
        <v>20</v>
      </c>
      <c r="H21" s="113">
        <f t="array" ref="H21">INDEX(Data!$V$2:$V$75,MATCH(Calculations!$A21,Data!$A$2:$A$75,0))</f>
        <v>80</v>
      </c>
      <c r="I21" s="116">
        <f t="array" ref="I21">INDEX(Data!$F$2:$F$75,MATCH(Calculations!$A21,Data!$A$2:$A$75,0)) * Calculations!$E21 +
 INDEX(Data!$G$2:$G$75,MATCH(Calculations!$A21,Data!$A$2:$A$75,0)) * Calculations!$F21 +
INDEX(Data!$L$2:$L$75,MATCH(Calculations!$A21,Data!$A$2:$A$75,0)) * (0.6 +0.4*Calculations!$D21) * MIN(INDEX(Data!$O$2:$O$75,MATCH(Calculations!$A21,Data!$A$2:$A$75,0)), Calculations!$G21)</f>
        <v>5</v>
      </c>
      <c r="J21" s="116">
        <f>Calculations!$I21*OnFieldRight</f>
        <v>15</v>
      </c>
      <c r="K21" s="116"/>
      <c r="L21" s="116">
        <f>(Calculations!$D21*OnFieldOrb + (1-Calculations!$D21*OffFieldOrb)) * OrbsPerRun / (90/Calculations!$G21)</f>
        <v>2.115555556</v>
      </c>
      <c r="M21" s="116">
        <f>(Calculations!$D21*OnFieldOrb + (1-Calculations!$D21*OffFieldOrb)) * OrbsPerRun / (150/Calculations!$G21)</f>
        <v>1.269333333</v>
      </c>
      <c r="N21" s="116">
        <f>(Calculations!$D21*OnFieldOrb + (1-Calculations!$D21*OffFieldOrb)) * OrbsPerRun / (300/Calculations!$G21)</f>
        <v>0.6346666667</v>
      </c>
      <c r="O21" s="116">
        <f>LowEPS*Calculations!$G21</f>
        <v>7.38</v>
      </c>
      <c r="P21" s="116">
        <f>MedEPS*Calculations!$G21</f>
        <v>15.3</v>
      </c>
      <c r="Q21" s="116">
        <f>HighEPS*Calculations!$G21</f>
        <v>29.12</v>
      </c>
      <c r="R21" s="116">
        <f>VHighEPS*Calculations!$G21</f>
        <v>48.504</v>
      </c>
      <c r="S21" s="115">
        <f>MAX(1, (Calculations!$H21-Calculations!$K21) / (Calculations!$J21 + Calculations!$L21 + Calculations!$O21))</f>
        <v>3.265898576</v>
      </c>
      <c r="T21" s="115">
        <f>MAX(1, (Calculations!$H21-Calculations!$K21) / (Calculations!$J21 + Calculations!$L21 + Calculations!$P21))</f>
        <v>2.467950915</v>
      </c>
      <c r="U21" s="115">
        <f>MAX(1, (Calculations!$H21-Calculations!$K21) / (Calculations!$J21 + Calculations!$L21 + Calculations!$Q21))</f>
        <v>1.730270114</v>
      </c>
      <c r="V21" s="115">
        <f>MAX(1, (Calculations!$H21-Calculations!$K21) / (Calculations!$J21 + Calculations!$L21 + Calculations!$R21))</f>
        <v>1.219148763</v>
      </c>
      <c r="W21" s="115">
        <f>MAX(1, (Calculations!$H21-Calculations!$K21) / (Calculations!$J21 + Calculations!$M21 + Calculations!$O21))</f>
        <v>3.382759204</v>
      </c>
      <c r="X21" s="115">
        <f>MAX(1, (Calculations!$H21-Calculations!$K21) / (Calculations!$J21 + Calculations!$M21 + Calculations!$P21))</f>
        <v>2.534104827</v>
      </c>
      <c r="Y21" s="115">
        <f>MAX(1, (Calculations!$H21-Calculations!$K21) / (Calculations!$J21 + Calculations!$M21 + Calculations!$Q21))</f>
        <v>1.762528641</v>
      </c>
      <c r="Z21" s="115">
        <f>MAX(1, (Calculations!$H21-Calculations!$K21) / (Calculations!$J21 + Calculations!$N21 + Calculations!$O21))</f>
        <v>3.476044262</v>
      </c>
      <c r="AA21" s="115">
        <f>MAX(1, (Calculations!$H21-Calculations!$K21) / (Calculations!$J21 + Calculations!$N21 + Calculations!$P21))</f>
        <v>2.586095427</v>
      </c>
      <c r="AB21" s="115">
        <f>MAX(1, (Calculations!$H21-Calculations!$K21) / (Calculations!$J21 + Calculations!$N21 + Calculations!$Q21))</f>
        <v>1.787523089</v>
      </c>
      <c r="AC21" s="27"/>
      <c r="AD21" s="27"/>
    </row>
    <row r="22" ht="14.25" customHeight="1">
      <c r="A22" s="113" t="s">
        <v>269</v>
      </c>
      <c r="B22" s="113"/>
      <c r="C22" s="113" t="s">
        <v>56</v>
      </c>
      <c r="D22" s="115">
        <v>0.1</v>
      </c>
      <c r="E22" s="113">
        <v>1.0</v>
      </c>
      <c r="F22" s="113"/>
      <c r="G22" s="113">
        <f t="array" ref="G22">INDEX(Data!$U$2:$U$75,MATCH(Calculations!$A22,Data!$A$2:$A$75,0))</f>
        <v>15</v>
      </c>
      <c r="H22" s="113">
        <f t="array" ref="H22">INDEX(Data!$V$2:$V$75,MATCH(Calculations!$A22,Data!$A$2:$A$75,0))</f>
        <v>60</v>
      </c>
      <c r="I22" s="116">
        <f t="array" ref="I22">INDEX(Data!$F$2:$F$75,MATCH(Calculations!$A22,Data!$A$2:$A$75,0)) * Calculations!$E22 +
 INDEX(Data!$G$2:$G$75,MATCH(Calculations!$A22,Data!$A$2:$A$75,0)) * Calculations!$F22 +
INDEX(Data!$L$2:$L$75,MATCH(Calculations!$A22,Data!$A$2:$A$75,0)) * (0.6 +0.4*Calculations!$D22) * MIN(INDEX(Data!$O$2:$O$75,MATCH(Calculations!$A22,Data!$A$2:$A$75,0)), Calculations!$G22)</f>
        <v>3.33</v>
      </c>
      <c r="J22" s="116">
        <f>Calculations!$I22*OnFieldRight</f>
        <v>9.99</v>
      </c>
      <c r="K22" s="116"/>
      <c r="L22" s="116">
        <f>(Calculations!$D22*OnFieldOrb + (1-Calculations!$D22*OffFieldOrb)) * OrbsPerRun / (90/Calculations!$G22)</f>
        <v>1.446666667</v>
      </c>
      <c r="M22" s="116">
        <f>(Calculations!$D22*OnFieldOrb + (1-Calculations!$D22*OffFieldOrb)) * OrbsPerRun / (150/Calculations!$G22)</f>
        <v>0.868</v>
      </c>
      <c r="N22" s="116">
        <f>(Calculations!$D22*OnFieldOrb + (1-Calculations!$D22*OffFieldOrb)) * OrbsPerRun / (300/Calculations!$G22)</f>
        <v>0.434</v>
      </c>
      <c r="O22" s="116">
        <f>LowEPS*Calculations!$G22</f>
        <v>5.535</v>
      </c>
      <c r="P22" s="116">
        <f>MedEPS*Calculations!$G22</f>
        <v>11.475</v>
      </c>
      <c r="Q22" s="116">
        <f>HighEPS*Calculations!$G22</f>
        <v>21.84</v>
      </c>
      <c r="R22" s="116">
        <f>VHighEPS*Calculations!$G22</f>
        <v>36.378</v>
      </c>
      <c r="S22" s="115">
        <f>MAX(1, (Calculations!$H22-Calculations!$K22) / (Calculations!$J22 + Calculations!$L22 + Calculations!$O22))</f>
        <v>3.535303938</v>
      </c>
      <c r="T22" s="115">
        <f>MAX(1, (Calculations!$H22-Calculations!$K22) / (Calculations!$J22 + Calculations!$L22 + Calculations!$P22))</f>
        <v>2.618753183</v>
      </c>
      <c r="U22" s="115">
        <f>MAX(1, (Calculations!$H22-Calculations!$K22) / (Calculations!$J22 + Calculations!$L22 + Calculations!$Q22))</f>
        <v>1.803065211</v>
      </c>
      <c r="V22" s="115">
        <f>MAX(1, (Calculations!$H22-Calculations!$K22) / (Calculations!$J22 + Calculations!$L22 + Calculations!$R22))</f>
        <v>1.254845096</v>
      </c>
      <c r="W22" s="115">
        <f>MAX(1, (Calculations!$H22-Calculations!$K22) / (Calculations!$J22 + Calculations!$M22 + Calculations!$O22))</f>
        <v>3.660098823</v>
      </c>
      <c r="X22" s="115">
        <f>MAX(1, (Calculations!$H22-Calculations!$K22) / (Calculations!$J22 + Calculations!$M22 + Calculations!$P22))</f>
        <v>2.686607263</v>
      </c>
      <c r="Y22" s="115">
        <f>MAX(1, (Calculations!$H22-Calculations!$K22) / (Calculations!$J22 + Calculations!$M22 + Calculations!$Q22))</f>
        <v>1.834974616</v>
      </c>
      <c r="Z22" s="115">
        <f>MAX(1, (Calculations!$H22-Calculations!$K22) / (Calculations!$J22 + Calculations!$N22 + Calculations!$O22))</f>
        <v>3.759634062</v>
      </c>
      <c r="AA22" s="115">
        <f>MAX(1, (Calculations!$H22-Calculations!$K22) / (Calculations!$J22 + Calculations!$N22 + Calculations!$P22))</f>
        <v>2.739851135</v>
      </c>
      <c r="AB22" s="115">
        <f>MAX(1, (Calculations!$H22-Calculations!$K22) / (Calculations!$J22 + Calculations!$N22 + Calculations!$Q22))</f>
        <v>1.859657823</v>
      </c>
      <c r="AC22" s="27"/>
      <c r="AD22" s="27"/>
    </row>
    <row r="23" ht="14.25" customHeight="1">
      <c r="A23" s="113" t="s">
        <v>275</v>
      </c>
      <c r="B23" s="113" t="s">
        <v>591</v>
      </c>
      <c r="C23" s="113" t="s">
        <v>54</v>
      </c>
      <c r="D23" s="115">
        <v>0.6</v>
      </c>
      <c r="E23" s="113">
        <v>1.0</v>
      </c>
      <c r="F23" s="113"/>
      <c r="G23" s="113">
        <f t="array" ref="G23">INDEX(Data!$U$2:$U$75,MATCH(Calculations!$A23,Data!$A$2:$A$75,0))</f>
        <v>12</v>
      </c>
      <c r="H23" s="113">
        <f t="array" ref="H23">INDEX(Data!$V$2:$V$75,MATCH(Calculations!$A23,Data!$A$2:$A$75,0))</f>
        <v>40</v>
      </c>
      <c r="I23" s="116">
        <f t="array" ref="I23">INDEX(Data!$F$2:$F$75,MATCH(Calculations!$A23,Data!$A$2:$A$75,0)) * Calculations!$E23 +
 INDEX(Data!$G$2:$G$75,MATCH(Calculations!$A23,Data!$A$2:$A$75,0)) * Calculations!$F23 +
INDEX(Data!$L$2:$L$75,MATCH(Calculations!$A23,Data!$A$2:$A$75,0)) * (0.6 +0.4*Calculations!$D23) * MIN(INDEX(Data!$O$2:$O$75,MATCH(Calculations!$A23,Data!$A$2:$A$75,0)), Calculations!$G23)</f>
        <v>3.4</v>
      </c>
      <c r="J23" s="116">
        <f>Calculations!$I23*OnFieldRight</f>
        <v>10.2</v>
      </c>
      <c r="K23" s="116"/>
      <c r="L23" s="116">
        <f>(Calculations!$D23*OnFieldOrb + (1-Calculations!$D23*OffFieldOrb)) * OrbsPerRun / (90/Calculations!$G23)</f>
        <v>2.277333333</v>
      </c>
      <c r="M23" s="116">
        <f>(Calculations!$D23*OnFieldOrb + (1-Calculations!$D23*OffFieldOrb)) * OrbsPerRun / (150/Calculations!$G23)</f>
        <v>1.3664</v>
      </c>
      <c r="N23" s="116">
        <f>(Calculations!$D23*OnFieldOrb + (1-Calculations!$D23*OffFieldOrb)) * OrbsPerRun / (300/Calculations!$G23)</f>
        <v>0.6832</v>
      </c>
      <c r="O23" s="116">
        <f>LowEPS*Calculations!$G23</f>
        <v>4.428</v>
      </c>
      <c r="P23" s="116">
        <f>MedEPS*Calculations!$G23</f>
        <v>9.18</v>
      </c>
      <c r="Q23" s="116">
        <f>HighEPS*Calculations!$G23</f>
        <v>17.472</v>
      </c>
      <c r="R23" s="116">
        <f>VHighEPS*Calculations!$G23</f>
        <v>29.1024</v>
      </c>
      <c r="S23" s="115">
        <f>MAX(1, (Calculations!$H23-Calculations!$K23) / (Calculations!$J23 + Calculations!$L23 + Calculations!$O23))</f>
        <v>2.366117202</v>
      </c>
      <c r="T23" s="115">
        <f>MAX(1, (Calculations!$H23-Calculations!$K23) / (Calculations!$J23 + Calculations!$L23 + Calculations!$P23))</f>
        <v>1.846949455</v>
      </c>
      <c r="U23" s="115">
        <f>MAX(1, (Calculations!$H23-Calculations!$K23) / (Calculations!$J23 + Calculations!$L23 + Calculations!$Q23))</f>
        <v>1.335588995</v>
      </c>
      <c r="V23" s="115">
        <f>MAX(1, (Calculations!$H23-Calculations!$K23) / (Calculations!$J23 + Calculations!$L23 + Calculations!$R23))</f>
        <v>1</v>
      </c>
      <c r="W23" s="115">
        <f>MAX(1, (Calculations!$H23-Calculations!$K23) / (Calculations!$J23 + Calculations!$M23 + Calculations!$O23))</f>
        <v>2.500875306</v>
      </c>
      <c r="X23" s="115">
        <f>MAX(1, (Calculations!$H23-Calculations!$K23) / (Calculations!$J23 + Calculations!$M23 + Calculations!$P23))</f>
        <v>1.928045348</v>
      </c>
      <c r="Y23" s="115">
        <f>MAX(1, (Calculations!$H23-Calculations!$K23) / (Calculations!$J23 + Calculations!$M23 + Calculations!$Q23))</f>
        <v>1.377486363</v>
      </c>
      <c r="Z23" s="115">
        <f>MAX(1, (Calculations!$H23-Calculations!$K23) / (Calculations!$J23 + Calculations!$N23 + Calculations!$O23))</f>
        <v>2.612466691</v>
      </c>
      <c r="AA23" s="115">
        <f>MAX(1, (Calculations!$H23-Calculations!$K23) / (Calculations!$J23 + Calculations!$N23 + Calculations!$P23))</f>
        <v>1.993699908</v>
      </c>
      <c r="AB23" s="115">
        <f>MAX(1, (Calculations!$H23-Calculations!$K23) / (Calculations!$J23 + Calculations!$N23 + Calculations!$Q23))</f>
        <v>1.410675996</v>
      </c>
      <c r="AC23" s="27"/>
      <c r="AD23" s="27"/>
    </row>
    <row r="24" ht="14.25" customHeight="1">
      <c r="A24" s="113" t="s">
        <v>275</v>
      </c>
      <c r="B24" s="113" t="s">
        <v>592</v>
      </c>
      <c r="C24" s="113" t="s">
        <v>54</v>
      </c>
      <c r="D24" s="115">
        <v>0.15</v>
      </c>
      <c r="E24" s="113">
        <v>1.0</v>
      </c>
      <c r="F24" s="113"/>
      <c r="G24" s="113">
        <f t="array" ref="G24">INDEX(Data!$U$2:$U$75,MATCH(Calculations!$A24,Data!$A$2:$A$75,0))</f>
        <v>12</v>
      </c>
      <c r="H24" s="113">
        <f t="array" ref="H24">INDEX(Data!$V$2:$V$75,MATCH(Calculations!$A24,Data!$A$2:$A$75,0))</f>
        <v>40</v>
      </c>
      <c r="I24" s="116">
        <f t="array" ref="I24">INDEX(Data!$F$2:$F$75,MATCH(Calculations!$A24,Data!$A$2:$A$75,0)) * Calculations!$E24 +
 INDEX(Data!$G$2:$G$75,MATCH(Calculations!$A24,Data!$A$2:$A$75,0)) * Calculations!$F24 +
INDEX(Data!$L$2:$L$75,MATCH(Calculations!$A24,Data!$A$2:$A$75,0)) * (0.6 +0.4*Calculations!$D24) * MIN(INDEX(Data!$O$2:$O$75,MATCH(Calculations!$A24,Data!$A$2:$A$75,0)), Calculations!$G24)</f>
        <v>3.4</v>
      </c>
      <c r="J24" s="116">
        <f>Calculations!$I24*OnFieldRight</f>
        <v>10.2</v>
      </c>
      <c r="K24" s="116"/>
      <c r="L24" s="116">
        <f>(Calculations!$D24*OnFieldOrb + (1-Calculations!$D24*OffFieldOrb)) * OrbsPerRun / (90/Calculations!$G24)</f>
        <v>1.269333333</v>
      </c>
      <c r="M24" s="116">
        <f>(Calculations!$D24*OnFieldOrb + (1-Calculations!$D24*OffFieldOrb)) * OrbsPerRun / (150/Calculations!$G24)</f>
        <v>0.7616</v>
      </c>
      <c r="N24" s="116">
        <f>(Calculations!$D24*OnFieldOrb + (1-Calculations!$D24*OffFieldOrb)) * OrbsPerRun / (300/Calculations!$G24)</f>
        <v>0.3808</v>
      </c>
      <c r="O24" s="116">
        <f>LowEPS*Calculations!$G24</f>
        <v>4.428</v>
      </c>
      <c r="P24" s="116">
        <f>MedEPS*Calculations!$G24</f>
        <v>9.18</v>
      </c>
      <c r="Q24" s="116">
        <f>HighEPS*Calculations!$G24</f>
        <v>17.472</v>
      </c>
      <c r="R24" s="116">
        <f>VHighEPS*Calculations!$G24</f>
        <v>29.1024</v>
      </c>
      <c r="S24" s="115">
        <f>MAX(1, (Calculations!$H24-Calculations!$K24) / (Calculations!$J24 + Calculations!$L24 + Calculations!$O24))</f>
        <v>2.516145265</v>
      </c>
      <c r="T24" s="115">
        <f>MAX(1, (Calculations!$H24-Calculations!$K24) / (Calculations!$J24 + Calculations!$L24 + Calculations!$P24))</f>
        <v>1.937108543</v>
      </c>
      <c r="U24" s="115">
        <f>MAX(1, (Calculations!$H24-Calculations!$K24) / (Calculations!$J24 + Calculations!$L24 + Calculations!$Q24))</f>
        <v>1.38210633</v>
      </c>
      <c r="V24" s="115">
        <f>MAX(1, (Calculations!$H24-Calculations!$K24) / (Calculations!$J24 + Calculations!$L24 + Calculations!$R24))</f>
        <v>1</v>
      </c>
      <c r="W24" s="115">
        <f>MAX(1, (Calculations!$H24-Calculations!$K24) / (Calculations!$J24 + Calculations!$M24 + Calculations!$O24))</f>
        <v>2.599157873</v>
      </c>
      <c r="X24" s="115">
        <f>MAX(1, (Calculations!$H24-Calculations!$K24) / (Calculations!$J24 + Calculations!$M24 + Calculations!$P24))</f>
        <v>1.985939548</v>
      </c>
      <c r="Y24" s="115">
        <f>MAX(1, (Calculations!$H24-Calculations!$K24) / (Calculations!$J24 + Calculations!$M24 + Calculations!$Q24))</f>
        <v>1.406786337</v>
      </c>
      <c r="Z24" s="115">
        <f>MAX(1, (Calculations!$H24-Calculations!$K24) / (Calculations!$J24 + Calculations!$N24 + Calculations!$O24))</f>
        <v>2.665103139</v>
      </c>
      <c r="AA24" s="115">
        <f>MAX(1, (Calculations!$H24-Calculations!$K24) / (Calculations!$J24 + Calculations!$N24 + Calculations!$P24))</f>
        <v>2.024209546</v>
      </c>
      <c r="AB24" s="115">
        <f>MAX(1, (Calculations!$H24-Calculations!$K24) / (Calculations!$J24 + Calculations!$N24 + Calculations!$Q24))</f>
        <v>1.425882621</v>
      </c>
      <c r="AC24" s="27"/>
      <c r="AD24" s="27"/>
    </row>
    <row r="25" ht="14.25" customHeight="1">
      <c r="A25" s="113" t="s">
        <v>279</v>
      </c>
      <c r="B25" s="113"/>
      <c r="C25" s="113" t="s">
        <v>54</v>
      </c>
      <c r="D25" s="115">
        <v>0.7</v>
      </c>
      <c r="E25" s="113"/>
      <c r="F25" s="113"/>
      <c r="G25" s="113">
        <f t="array" ref="G25">INDEX(Data!$U$2:$U$75,MATCH(Calculations!$A25,Data!$A$2:$A$75,0))</f>
        <v>15</v>
      </c>
      <c r="H25" s="113">
        <f t="array" ref="H25">INDEX(Data!$V$2:$V$75,MATCH(Calculations!$A25,Data!$A$2:$A$75,0))</f>
        <v>60</v>
      </c>
      <c r="I25" s="116">
        <f t="array" ref="I25">INDEX(Data!$F$2:$F$75,MATCH(Calculations!$A25,Data!$A$2:$A$75,0)) * Calculations!$E25 +
 INDEX(Data!$G$2:$G$75,MATCH(Calculations!$A25,Data!$A$2:$A$75,0)) * Calculations!$F25 +
INDEX(Data!$L$2:$L$75,MATCH(Calculations!$A25,Data!$A$2:$A$75,0)) * (0.6 +0.4*Calculations!$D25) * MIN(INDEX(Data!$O$2:$O$75,MATCH(Calculations!$A25,Data!$A$2:$A$75,0)), Calculations!$G25)</f>
        <v>0</v>
      </c>
      <c r="J25" s="116">
        <f>Calculations!$I25*OnFieldRight</f>
        <v>0</v>
      </c>
      <c r="K25" s="116"/>
      <c r="L25" s="116">
        <f>(Calculations!$D25*OnFieldOrb + (1-Calculations!$D25*OffFieldOrb)) * OrbsPerRun / (90/Calculations!$G25)</f>
        <v>3.126666667</v>
      </c>
      <c r="M25" s="116">
        <f>(Calculations!$D25*OnFieldOrb + (1-Calculations!$D25*OffFieldOrb)) * OrbsPerRun / (150/Calculations!$G25)</f>
        <v>1.876</v>
      </c>
      <c r="N25" s="116">
        <f>(Calculations!$D25*OnFieldOrb + (1-Calculations!$D25*OffFieldOrb)) * OrbsPerRun / (300/Calculations!$G25)</f>
        <v>0.938</v>
      </c>
      <c r="O25" s="116">
        <f>LowEPS*Calculations!$G25</f>
        <v>5.535</v>
      </c>
      <c r="P25" s="116">
        <f>MedEPS*Calculations!$G25</f>
        <v>11.475</v>
      </c>
      <c r="Q25" s="116">
        <f>HighEPS*Calculations!$G25</f>
        <v>21.84</v>
      </c>
      <c r="R25" s="116">
        <f>VHighEPS*Calculations!$G25</f>
        <v>36.378</v>
      </c>
      <c r="S25" s="115">
        <f>MAX(1, (Calculations!$H25-Calculations!$K25) / (Calculations!$J25 + Calculations!$L25 + Calculations!$O25))</f>
        <v>6.927073312</v>
      </c>
      <c r="T25" s="115">
        <f>MAX(1, (Calculations!$H25-Calculations!$K25) / (Calculations!$J25 + Calculations!$L25 + Calculations!$P25))</f>
        <v>4.109119963</v>
      </c>
      <c r="U25" s="115">
        <f>MAX(1, (Calculations!$H25-Calculations!$K25) / (Calculations!$J25 + Calculations!$L25 + Calculations!$Q25))</f>
        <v>2.403204272</v>
      </c>
      <c r="V25" s="115">
        <f>MAX(1, (Calculations!$H25-Calculations!$K25) / (Calculations!$J25 + Calculations!$L25 + Calculations!$R25))</f>
        <v>1.518807905</v>
      </c>
      <c r="W25" s="115">
        <f>MAX(1, (Calculations!$H25-Calculations!$K25) / (Calculations!$J25 + Calculations!$M25 + Calculations!$O25))</f>
        <v>8.096073404</v>
      </c>
      <c r="X25" s="115">
        <f>MAX(1, (Calculations!$H25-Calculations!$K25) / (Calculations!$J25 + Calculations!$M25 + Calculations!$P25))</f>
        <v>4.49404539</v>
      </c>
      <c r="Y25" s="115">
        <f>MAX(1, (Calculations!$H25-Calculations!$K25) / (Calculations!$J25 + Calculations!$M25 + Calculations!$Q25))</f>
        <v>2.529937595</v>
      </c>
      <c r="Z25" s="115">
        <f>MAX(1, (Calculations!$H25-Calculations!$K25) / (Calculations!$J25 + Calculations!$N25 + Calculations!$O25))</f>
        <v>9.269272362</v>
      </c>
      <c r="AA25" s="115">
        <f>MAX(1, (Calculations!$H25-Calculations!$K25) / (Calculations!$J25 + Calculations!$N25 + Calculations!$P25))</f>
        <v>4.833642149</v>
      </c>
      <c r="AB25" s="115">
        <f>MAX(1, (Calculations!$H25-Calculations!$K25) / (Calculations!$J25 + Calculations!$N25 + Calculations!$Q25))</f>
        <v>2.634120643</v>
      </c>
      <c r="AC25" s="27"/>
      <c r="AD25" s="27"/>
    </row>
    <row r="26" ht="14.25" customHeight="1">
      <c r="A26" s="113" t="s">
        <v>281</v>
      </c>
      <c r="B26" s="113"/>
      <c r="C26" s="113" t="s">
        <v>48</v>
      </c>
      <c r="D26" s="115">
        <v>0.05</v>
      </c>
      <c r="E26" s="113"/>
      <c r="F26" s="113"/>
      <c r="G26" s="113">
        <f t="array" ref="G26">INDEX(Data!$U$2:$U$75,MATCH(Calculations!$A26,Data!$A$2:$A$75,0))</f>
        <v>20</v>
      </c>
      <c r="H26" s="113">
        <f t="array" ref="H26">INDEX(Data!$V$2:$V$75,MATCH(Calculations!$A26,Data!$A$2:$A$75,0))</f>
        <v>80</v>
      </c>
      <c r="I26" s="116">
        <f t="array" ref="I26">INDEX(Data!$F$2:$F$75,MATCH(Calculations!$A26,Data!$A$2:$A$75,0)) * Calculations!$E26 +
 INDEX(Data!$G$2:$G$75,MATCH(Calculations!$A26,Data!$A$2:$A$75,0)) * Calculations!$F26 +
INDEX(Data!$L$2:$L$75,MATCH(Calculations!$A26,Data!$A$2:$A$75,0)) * (0.6 +0.4*Calculations!$D26) * MIN(INDEX(Data!$O$2:$O$75,MATCH(Calculations!$A26,Data!$A$2:$A$75,0)), Calculations!$G26)</f>
        <v>0</v>
      </c>
      <c r="J26" s="116">
        <f>Calculations!$I26*OnFieldRight</f>
        <v>0</v>
      </c>
      <c r="K26" s="116"/>
      <c r="L26" s="116">
        <f>(Calculations!$D26*OnFieldOrb + (1-Calculations!$D26*OffFieldOrb)) * OrbsPerRun / (90/Calculations!$G26)</f>
        <v>1.742222222</v>
      </c>
      <c r="M26" s="116">
        <f>(Calculations!$D26*OnFieldOrb + (1-Calculations!$D26*OffFieldOrb)) * OrbsPerRun / (150/Calculations!$G26)</f>
        <v>1.045333333</v>
      </c>
      <c r="N26" s="116">
        <f>(Calculations!$D26*OnFieldOrb + (1-Calculations!$D26*OffFieldOrb)) * OrbsPerRun / (300/Calculations!$G26)</f>
        <v>0.5226666667</v>
      </c>
      <c r="O26" s="116">
        <f>LowEPS*Calculations!$G26</f>
        <v>7.38</v>
      </c>
      <c r="P26" s="116">
        <f>MedEPS*Calculations!$G26</f>
        <v>15.3</v>
      </c>
      <c r="Q26" s="116">
        <f>HighEPS*Calculations!$G26</f>
        <v>29.12</v>
      </c>
      <c r="R26" s="116">
        <f>VHighEPS*Calculations!$G26</f>
        <v>48.504</v>
      </c>
      <c r="S26" s="115">
        <f>MAX(1, (Calculations!$H26-Calculations!$K26) / (Calculations!$J26 + Calculations!$L26 + Calculations!$O26))</f>
        <v>8.769792935</v>
      </c>
      <c r="T26" s="115">
        <f>MAX(1, (Calculations!$H26-Calculations!$K26) / (Calculations!$J26 + Calculations!$L26 + Calculations!$P26))</f>
        <v>4.694223497</v>
      </c>
      <c r="U26" s="115">
        <f>MAX(1, (Calculations!$H26-Calculations!$K26) / (Calculations!$J26 + Calculations!$L26 + Calculations!$Q26))</f>
        <v>2.592165899</v>
      </c>
      <c r="V26" s="115">
        <f>MAX(1, (Calculations!$H26-Calculations!$K26) / (Calculations!$J26 + Calculations!$L26 + Calculations!$R26))</f>
        <v>1.592159499</v>
      </c>
      <c r="W26" s="115">
        <f>MAX(1, (Calculations!$H26-Calculations!$K26) / (Calculations!$J26 + Calculations!$M26 + Calculations!$O26))</f>
        <v>9.495173287</v>
      </c>
      <c r="X26" s="115">
        <f>MAX(1, (Calculations!$H26-Calculations!$K26) / (Calculations!$J26 + Calculations!$M26 + Calculations!$P26))</f>
        <v>4.894363325</v>
      </c>
      <c r="Y26" s="115">
        <f>MAX(1, (Calculations!$H26-Calculations!$K26) / (Calculations!$J26 + Calculations!$M26 + Calculations!$Q26))</f>
        <v>2.652050919</v>
      </c>
      <c r="Z26" s="115">
        <f>MAX(1, (Calculations!$H26-Calculations!$K26) / (Calculations!$J26 + Calculations!$N26 + Calculations!$O26))</f>
        <v>10.12316518</v>
      </c>
      <c r="AA26" s="115">
        <f>MAX(1, (Calculations!$H26-Calculations!$K26) / (Calculations!$J26 + Calculations!$N26 + Calculations!$P26))</f>
        <v>5.056037752</v>
      </c>
      <c r="AB26" s="115">
        <f>MAX(1, (Calculations!$H26-Calculations!$K26) / (Calculations!$J26 + Calculations!$N26 + Calculations!$Q26))</f>
        <v>2.698812522</v>
      </c>
      <c r="AC26" s="27"/>
      <c r="AD26" s="27"/>
    </row>
    <row r="27" ht="14.25" customHeight="1">
      <c r="A27" s="113" t="s">
        <v>285</v>
      </c>
      <c r="B27" s="113"/>
      <c r="C27" s="113" t="s">
        <v>52</v>
      </c>
      <c r="D27" s="115">
        <v>0.8</v>
      </c>
      <c r="E27" s="113">
        <v>2.0</v>
      </c>
      <c r="F27" s="113"/>
      <c r="G27" s="113">
        <f t="array" ref="G27">INDEX(Data!$U$2:$U$75,MATCH(Calculations!$A27,Data!$A$2:$A$75,0))</f>
        <v>20</v>
      </c>
      <c r="H27" s="113">
        <f t="array" ref="H27">INDEX(Data!$V$2:$V$75,MATCH(Calculations!$A27,Data!$A$2:$A$75,0))</f>
        <v>80</v>
      </c>
      <c r="I27" s="116">
        <f t="array" ref="I27">INDEX(Data!$F$2:$F$75,MATCH(Calculations!$A27,Data!$A$2:$A$75,0)) * Calculations!$E27 +
 INDEX(Data!$G$2:$G$75,MATCH(Calculations!$A27,Data!$A$2:$A$75,0)) * Calculations!$F27 +
INDEX(Data!$L$2:$L$75,MATCH(Calculations!$A27,Data!$A$2:$A$75,0)) * (0.6 +0.4*Calculations!$D27) * MIN(INDEX(Data!$O$2:$O$75,MATCH(Calculations!$A27,Data!$A$2:$A$75,0)), Calculations!$G27)</f>
        <v>6</v>
      </c>
      <c r="J27" s="116">
        <f>Calculations!$I27*OnFieldRight</f>
        <v>18</v>
      </c>
      <c r="K27" s="116"/>
      <c r="L27" s="116">
        <f>(Calculations!$D27*OnFieldOrb + (1-Calculations!$D27*OffFieldOrb)) * OrbsPerRun / (90/Calculations!$G27)</f>
        <v>4.542222222</v>
      </c>
      <c r="M27" s="116">
        <f>(Calculations!$D27*OnFieldOrb + (1-Calculations!$D27*OffFieldOrb)) * OrbsPerRun / (150/Calculations!$G27)</f>
        <v>2.725333333</v>
      </c>
      <c r="N27" s="116">
        <f>(Calculations!$D27*OnFieldOrb + (1-Calculations!$D27*OffFieldOrb)) * OrbsPerRun / (300/Calculations!$G27)</f>
        <v>1.362666667</v>
      </c>
      <c r="O27" s="116">
        <f>LowEPS*Calculations!$G27</f>
        <v>7.38</v>
      </c>
      <c r="P27" s="116">
        <f>MedEPS*Calculations!$G27</f>
        <v>15.3</v>
      </c>
      <c r="Q27" s="116">
        <f>HighEPS*Calculations!$G27</f>
        <v>29.12</v>
      </c>
      <c r="R27" s="116">
        <f>VHighEPS*Calculations!$G27</f>
        <v>48.504</v>
      </c>
      <c r="S27" s="115">
        <f>MAX(1, (Calculations!$H27-Calculations!$K27) / (Calculations!$J27 + Calculations!$L27 + Calculations!$O27))</f>
        <v>2.673598218</v>
      </c>
      <c r="T27" s="115">
        <f>MAX(1, (Calculations!$H27-Calculations!$K27) / (Calculations!$J27 + Calculations!$L27 + Calculations!$P27))</f>
        <v>2.114040754</v>
      </c>
      <c r="U27" s="115">
        <f>MAX(1, (Calculations!$H27-Calculations!$K27) / (Calculations!$J27 + Calculations!$L27 + Calculations!$Q27))</f>
        <v>1.548520303</v>
      </c>
      <c r="V27" s="115">
        <f>MAX(1, (Calculations!$H27-Calculations!$K27) / (Calculations!$J27 + Calculations!$L27 + Calculations!$R27))</f>
        <v>1.1260275</v>
      </c>
      <c r="W27" s="115">
        <f>MAX(1, (Calculations!$H27-Calculations!$K27) / (Calculations!$J27 + Calculations!$M27 + Calculations!$O27))</f>
        <v>2.84643484</v>
      </c>
      <c r="X27" s="115">
        <f>MAX(1, (Calculations!$H27-Calculations!$K27) / (Calculations!$J27 + Calculations!$M27 + Calculations!$P27))</f>
        <v>2.220659536</v>
      </c>
      <c r="Y27" s="115">
        <f>MAX(1, (Calculations!$H27-Calculations!$K27) / (Calculations!$J27 + Calculations!$M27 + Calculations!$Q27))</f>
        <v>1.604964691</v>
      </c>
      <c r="Z27" s="115">
        <f>MAX(1, (Calculations!$H27-Calculations!$K27) / (Calculations!$J27 + Calculations!$N27 + Calculations!$O27))</f>
        <v>2.991474298</v>
      </c>
      <c r="AA27" s="115">
        <f>MAX(1, (Calculations!$H27-Calculations!$K27) / (Calculations!$J27 + Calculations!$N27 + Calculations!$P27))</f>
        <v>2.307958611</v>
      </c>
      <c r="AB27" s="115">
        <f>MAX(1, (Calculations!$H27-Calculations!$K27) / (Calculations!$J27 + Calculations!$N27 + Calculations!$Q27))</f>
        <v>1.650074253</v>
      </c>
      <c r="AC27" s="27"/>
      <c r="AD27" s="27"/>
    </row>
    <row r="28" ht="14.25" customHeight="1">
      <c r="A28" s="113" t="s">
        <v>17</v>
      </c>
      <c r="B28" s="113"/>
      <c r="C28" s="113" t="s">
        <v>46</v>
      </c>
      <c r="D28" s="115">
        <v>0.1</v>
      </c>
      <c r="E28" s="113">
        <v>1.3</v>
      </c>
      <c r="F28" s="113"/>
      <c r="G28" s="113">
        <f t="array" ref="G28">INDEX(Data!$U$2:$U$75,MATCH(Calculations!$A28,Data!$A$2:$A$75,0))</f>
        <v>20</v>
      </c>
      <c r="H28" s="113">
        <f t="array" ref="H28">INDEX(Data!$V$2:$V$75,MATCH(Calculations!$A28,Data!$A$2:$A$75,0))</f>
        <v>80</v>
      </c>
      <c r="I28" s="116">
        <f t="array" ref="I28">INDEX(Data!$F$2:$F$75,MATCH(Calculations!$A28,Data!$A$2:$A$75,0)) * Calculations!$E28 +
 INDEX(Data!$G$2:$G$75,MATCH(Calculations!$A28,Data!$A$2:$A$75,0)) * Calculations!$F28 +
INDEX(Data!$L$2:$L$75,MATCH(Calculations!$A28,Data!$A$2:$A$75,0)) * (0.6 +0.4*Calculations!$D28) * MIN(INDEX(Data!$O$2:$O$75,MATCH(Calculations!$A28,Data!$A$2:$A$75,0)), Calculations!$G28)</f>
        <v>5.2</v>
      </c>
      <c r="J28" s="116">
        <f>Calculations!$I28*OnFieldRight</f>
        <v>15.6</v>
      </c>
      <c r="K28" s="116"/>
      <c r="L28" s="116">
        <f>(Calculations!$D28*OnFieldOrb + (1-Calculations!$D28*OffFieldOrb)) * OrbsPerRun / (90/Calculations!$G28)</f>
        <v>1.928888889</v>
      </c>
      <c r="M28" s="116">
        <f>(Calculations!$D28*OnFieldOrb + (1-Calculations!$D28*OffFieldOrb)) * OrbsPerRun / (150/Calculations!$G28)</f>
        <v>1.157333333</v>
      </c>
      <c r="N28" s="116">
        <f>(Calculations!$D28*OnFieldOrb + (1-Calculations!$D28*OffFieldOrb)) * OrbsPerRun / (300/Calculations!$G28)</f>
        <v>0.5786666667</v>
      </c>
      <c r="O28" s="116">
        <f>LowEPS*Calculations!$G28</f>
        <v>7.38</v>
      </c>
      <c r="P28" s="116">
        <f>MedEPS*Calculations!$G28</f>
        <v>15.3</v>
      </c>
      <c r="Q28" s="116">
        <f>HighEPS*Calculations!$G28</f>
        <v>29.12</v>
      </c>
      <c r="R28" s="116">
        <f>VHighEPS*Calculations!$G28</f>
        <v>48.504</v>
      </c>
      <c r="S28" s="115">
        <f>MAX(1, (Calculations!$H28-Calculations!$K28) / (Calculations!$J28 + Calculations!$L28 + Calculations!$O28))</f>
        <v>3.21170488</v>
      </c>
      <c r="T28" s="115">
        <f>MAX(1, (Calculations!$H28-Calculations!$K28) / (Calculations!$J28 + Calculations!$L28 + Calculations!$P28))</f>
        <v>2.436878088</v>
      </c>
      <c r="U28" s="115">
        <f>MAX(1, (Calculations!$H28-Calculations!$K28) / (Calculations!$J28 + Calculations!$L28 + Calculations!$Q28))</f>
        <v>1.714939024</v>
      </c>
      <c r="V28" s="115">
        <f>MAX(1, (Calculations!$H28-Calculations!$K28) / (Calculations!$J28 + Calculations!$L28 + Calculations!$R28))</f>
        <v>1.211517493</v>
      </c>
      <c r="W28" s="115">
        <f>MAX(1, (Calculations!$H28-Calculations!$K28) / (Calculations!$J28 + Calculations!$M28 + Calculations!$O28))</f>
        <v>3.314367784</v>
      </c>
      <c r="X28" s="115">
        <f>MAX(1, (Calculations!$H28-Calculations!$K28) / (Calculations!$J28 + Calculations!$M28 + Calculations!$P28))</f>
        <v>2.495528844</v>
      </c>
      <c r="Y28" s="115">
        <f>MAX(1, (Calculations!$H28-Calculations!$K28) / (Calculations!$J28 + Calculations!$M28 + Calculations!$Q28))</f>
        <v>1.743780516</v>
      </c>
      <c r="Z28" s="115">
        <f>MAX(1, (Calculations!$H28-Calculations!$K28) / (Calculations!$J28 + Calculations!$N28 + Calculations!$O28))</f>
        <v>3.395777916</v>
      </c>
      <c r="AA28" s="115">
        <f>MAX(1, (Calculations!$H28-Calculations!$K28) / (Calculations!$J28 + Calculations!$N28 + Calculations!$P28))</f>
        <v>2.541403702</v>
      </c>
      <c r="AB28" s="115">
        <f>MAX(1, (Calculations!$H28-Calculations!$K28) / (Calculations!$J28 + Calculations!$N28 + Calculations!$Q28))</f>
        <v>1.766056396</v>
      </c>
      <c r="AC28" s="27"/>
      <c r="AD28" s="27"/>
    </row>
    <row r="29" ht="14.25" customHeight="1">
      <c r="A29" s="113" t="s">
        <v>296</v>
      </c>
      <c r="B29" s="113" t="s">
        <v>595</v>
      </c>
      <c r="C29" s="113" t="s">
        <v>56</v>
      </c>
      <c r="D29" s="115">
        <v>0.5</v>
      </c>
      <c r="E29" s="113">
        <v>4.0</v>
      </c>
      <c r="F29" s="113"/>
      <c r="G29" s="113">
        <f t="array" ref="G29">INDEX(Data!$U$2:$U$75,MATCH(Calculations!$A29,Data!$A$2:$A$75,0))</f>
        <v>15</v>
      </c>
      <c r="H29" s="113">
        <f t="array" ref="H29">INDEX(Data!$V$2:$V$75,MATCH(Calculations!$A29,Data!$A$2:$A$75,0))</f>
        <v>60</v>
      </c>
      <c r="I29" s="116">
        <f t="array" ref="I29">INDEX(Data!$F$2:$F$75,MATCH(Calculations!$A29,Data!$A$2:$A$75,0)) * Calculations!$E29 +
 INDEX(Data!$G$2:$G$75,MATCH(Calculations!$A29,Data!$A$2:$A$75,0)) * Calculations!$F29 +
INDEX(Data!$L$2:$L$75,MATCH(Calculations!$A29,Data!$A$2:$A$75,0)) * (0.6 +0.4*Calculations!$D29) * MIN(INDEX(Data!$O$2:$O$75,MATCH(Calculations!$A29,Data!$A$2:$A$75,0)), Calculations!$G29)</f>
        <v>12</v>
      </c>
      <c r="J29" s="116">
        <f>Calculations!$I29*OnFieldRight</f>
        <v>36</v>
      </c>
      <c r="K29" s="116">
        <v>20.0</v>
      </c>
      <c r="L29" s="116">
        <f>(Calculations!$D29*OnFieldOrb + (1-Calculations!$D29*OffFieldOrb)) * OrbsPerRun / (90/Calculations!$G29)</f>
        <v>2.566666667</v>
      </c>
      <c r="M29" s="116">
        <f>(Calculations!$D29*OnFieldOrb + (1-Calculations!$D29*OffFieldOrb)) * OrbsPerRun / (150/Calculations!$G29)</f>
        <v>1.54</v>
      </c>
      <c r="N29" s="116">
        <f>(Calculations!$D29*OnFieldOrb + (1-Calculations!$D29*OffFieldOrb)) * OrbsPerRun / (300/Calculations!$G29)</f>
        <v>0.77</v>
      </c>
      <c r="O29" s="116">
        <f>LowEPS*Calculations!$G29</f>
        <v>5.535</v>
      </c>
      <c r="P29" s="116">
        <f>MedEPS*Calculations!$G29</f>
        <v>11.475</v>
      </c>
      <c r="Q29" s="116">
        <f>HighEPS*Calculations!$G29</f>
        <v>21.84</v>
      </c>
      <c r="R29" s="116">
        <f>VHighEPS*Calculations!$G29</f>
        <v>36.378</v>
      </c>
      <c r="S29" s="115">
        <f>MAX(1, (Calculations!$H29-Calculations!$K29) / (Calculations!$J29 + Calculations!$L29 + Calculations!$O29))</f>
        <v>1</v>
      </c>
      <c r="T29" s="115">
        <f>MAX(1, (Calculations!$H29-Calculations!$K29) / (Calculations!$J29 + Calculations!$L29 + Calculations!$P29))</f>
        <v>1</v>
      </c>
      <c r="U29" s="115">
        <f>MAX(1, (Calculations!$H29-Calculations!$K29) / (Calculations!$J29 + Calculations!$L29 + Calculations!$Q29))</f>
        <v>1</v>
      </c>
      <c r="V29" s="115">
        <f>MAX(1, (Calculations!$H29-Calculations!$K29) / (Calculations!$J29 + Calculations!$L29 + Calculations!$R29))</f>
        <v>1</v>
      </c>
      <c r="W29" s="115">
        <f>MAX(1, (Calculations!$H29-Calculations!$K29) / (Calculations!$J29 + Calculations!$M29 + Calculations!$O29))</f>
        <v>1</v>
      </c>
      <c r="X29" s="115">
        <f>MAX(1, (Calculations!$H29-Calculations!$K29) / (Calculations!$J29 + Calculations!$M29 + Calculations!$P29))</f>
        <v>1</v>
      </c>
      <c r="Y29" s="115">
        <f>MAX(1, (Calculations!$H29-Calculations!$K29) / (Calculations!$J29 + Calculations!$M29 + Calculations!$Q29))</f>
        <v>1</v>
      </c>
      <c r="Z29" s="115">
        <f>MAX(1, (Calculations!$H29-Calculations!$K29) / (Calculations!$J29 + Calculations!$N29 + Calculations!$O29))</f>
        <v>1</v>
      </c>
      <c r="AA29" s="115">
        <f>MAX(1, (Calculations!$H29-Calculations!$K29) / (Calculations!$J29 + Calculations!$N29 + Calculations!$P29))</f>
        <v>1</v>
      </c>
      <c r="AB29" s="115">
        <f>MAX(1, (Calculations!$H29-Calculations!$K29) / (Calculations!$J29 + Calculations!$N29 + Calculations!$Q29))</f>
        <v>1</v>
      </c>
      <c r="AC29" s="27"/>
      <c r="AD29" s="27"/>
    </row>
    <row r="30" ht="14.25" customHeight="1">
      <c r="A30" s="113" t="s">
        <v>296</v>
      </c>
      <c r="B30" s="113" t="s">
        <v>596</v>
      </c>
      <c r="C30" s="113" t="s">
        <v>56</v>
      </c>
      <c r="D30" s="115">
        <v>0.5</v>
      </c>
      <c r="E30" s="113">
        <v>4.0</v>
      </c>
      <c r="F30" s="113"/>
      <c r="G30" s="113">
        <f t="array" ref="G30">INDEX(Data!$U$2:$U$75,MATCH(Calculations!$A30,Data!$A$2:$A$75,0))</f>
        <v>15</v>
      </c>
      <c r="H30" s="113">
        <f t="array" ref="H30">INDEX(Data!$V$2:$V$75,MATCH(Calculations!$A30,Data!$A$2:$A$75,0))</f>
        <v>60</v>
      </c>
      <c r="I30" s="116">
        <f t="array" ref="I30">INDEX(Data!$F$2:$F$75,MATCH(Calculations!$A30,Data!$A$2:$A$75,0)) * Calculations!$E30 +
 INDEX(Data!$G$2:$G$75,MATCH(Calculations!$A30,Data!$A$2:$A$75,0)) * Calculations!$F30 +
INDEX(Data!$L$2:$L$75,MATCH(Calculations!$A30,Data!$A$2:$A$75,0)) * (0.6 +0.4*Calculations!$D30) * MIN(INDEX(Data!$O$2:$O$75,MATCH(Calculations!$A30,Data!$A$2:$A$75,0)), Calculations!$G30)</f>
        <v>12</v>
      </c>
      <c r="J30" s="116">
        <f>Calculations!$I30*OnFieldRight</f>
        <v>36</v>
      </c>
      <c r="K30" s="116"/>
      <c r="L30" s="116">
        <f>(Calculations!$D30*OnFieldOrb + (1-Calculations!$D30*OffFieldOrb)) * OrbsPerRun / (90/Calculations!$G30)</f>
        <v>2.566666667</v>
      </c>
      <c r="M30" s="116">
        <f>(Calculations!$D30*OnFieldOrb + (1-Calculations!$D30*OffFieldOrb)) * OrbsPerRun / (150/Calculations!$G30)</f>
        <v>1.54</v>
      </c>
      <c r="N30" s="116">
        <f>(Calculations!$D30*OnFieldOrb + (1-Calculations!$D30*OffFieldOrb)) * OrbsPerRun / (300/Calculations!$G30)</f>
        <v>0.77</v>
      </c>
      <c r="O30" s="116">
        <f>LowEPS*Calculations!$G30</f>
        <v>5.535</v>
      </c>
      <c r="P30" s="116">
        <f>MedEPS*Calculations!$G30</f>
        <v>11.475</v>
      </c>
      <c r="Q30" s="116">
        <f>HighEPS*Calculations!$G30</f>
        <v>21.84</v>
      </c>
      <c r="R30" s="116">
        <f>VHighEPS*Calculations!$G30</f>
        <v>36.378</v>
      </c>
      <c r="S30" s="115">
        <f>MAX(1, (Calculations!$H30-Calculations!$K30) / (Calculations!$J30 + Calculations!$L30 + Calculations!$O30))</f>
        <v>1.360492801</v>
      </c>
      <c r="T30" s="115">
        <f>MAX(1, (Calculations!$H30-Calculations!$K30) / (Calculations!$J30 + Calculations!$L30 + Calculations!$P30))</f>
        <v>1.199000833</v>
      </c>
      <c r="U30" s="115">
        <f>MAX(1, (Calculations!$H30-Calculations!$K30) / (Calculations!$J30 + Calculations!$L30 + Calculations!$Q30))</f>
        <v>1</v>
      </c>
      <c r="V30" s="115">
        <f>MAX(1, (Calculations!$H30-Calculations!$K30) / (Calculations!$J30 + Calculations!$L30 + Calculations!$R30))</f>
        <v>1</v>
      </c>
      <c r="W30" s="115">
        <f>MAX(1, (Calculations!$H30-Calculations!$K30) / (Calculations!$J30 + Calculations!$M30 + Calculations!$O30))</f>
        <v>1.392919327</v>
      </c>
      <c r="X30" s="115">
        <f>MAX(1, (Calculations!$H30-Calculations!$K30) / (Calculations!$J30 + Calculations!$M30 + Calculations!$P30))</f>
        <v>1.224115067</v>
      </c>
      <c r="Y30" s="115">
        <f>MAX(1, (Calculations!$H30-Calculations!$K30) / (Calculations!$J30 + Calculations!$M30 + Calculations!$Q30))</f>
        <v>1.010441226</v>
      </c>
      <c r="Z30" s="115">
        <f>MAX(1, (Calculations!$H30-Calculations!$K30) / (Calculations!$J30 + Calculations!$N30 + Calculations!$O30))</f>
        <v>1.418272072</v>
      </c>
      <c r="AA30" s="115">
        <f>MAX(1, (Calculations!$H30-Calculations!$K30) / (Calculations!$J30 + Calculations!$N30 + Calculations!$P30))</f>
        <v>1.243652192</v>
      </c>
      <c r="AB30" s="115">
        <f>MAX(1, (Calculations!$H30-Calculations!$K30) / (Calculations!$J30 + Calculations!$N30 + Calculations!$Q30))</f>
        <v>1.023716089</v>
      </c>
      <c r="AC30" s="27"/>
      <c r="AD30" s="27"/>
    </row>
    <row r="31" ht="14.25" customHeight="1">
      <c r="A31" s="113" t="s">
        <v>305</v>
      </c>
      <c r="B31" s="113"/>
      <c r="C31" s="113" t="s">
        <v>46</v>
      </c>
      <c r="D31" s="115">
        <v>0.1</v>
      </c>
      <c r="E31" s="113"/>
      <c r="F31" s="113">
        <v>1.0</v>
      </c>
      <c r="G31" s="113">
        <f t="array" ref="G31">INDEX(Data!$U$2:$U$75,MATCH(Calculations!$A31,Data!$A$2:$A$75,0))</f>
        <v>15</v>
      </c>
      <c r="H31" s="113">
        <f t="array" ref="H31">INDEX(Data!$V$2:$V$75,MATCH(Calculations!$A31,Data!$A$2:$A$75,0))</f>
        <v>60</v>
      </c>
      <c r="I31" s="116">
        <f t="array" ref="I31">INDEX(Data!$F$2:$F$75,MATCH(Calculations!$A31,Data!$A$2:$A$75,0)) * Calculations!$E31 +
 INDEX(Data!$G$2:$G$75,MATCH(Calculations!$A31,Data!$A$2:$A$75,0)) * Calculations!$F31 +
INDEX(Data!$L$2:$L$75,MATCH(Calculations!$A31,Data!$A$2:$A$75,0)) * (0.6 +0.4*Calculations!$D31) * MIN(INDEX(Data!$O$2:$O$75,MATCH(Calculations!$A31,Data!$A$2:$A$75,0)), Calculations!$G31)</f>
        <v>3.33</v>
      </c>
      <c r="J31" s="116">
        <f>Calculations!$I31*OnFieldRight</f>
        <v>9.99</v>
      </c>
      <c r="K31" s="116"/>
      <c r="L31" s="116">
        <f>(Calculations!$D31*OnFieldOrb + (1-Calculations!$D31*OffFieldOrb)) * OrbsPerRun / (90/Calculations!$G31)</f>
        <v>1.446666667</v>
      </c>
      <c r="M31" s="116">
        <f>(Calculations!$D31*OnFieldOrb + (1-Calculations!$D31*OffFieldOrb)) * OrbsPerRun / (150/Calculations!$G31)</f>
        <v>0.868</v>
      </c>
      <c r="N31" s="116">
        <f>(Calculations!$D31*OnFieldOrb + (1-Calculations!$D31*OffFieldOrb)) * OrbsPerRun / (300/Calculations!$G31)</f>
        <v>0.434</v>
      </c>
      <c r="O31" s="116">
        <f>LowEPS*Calculations!$G31</f>
        <v>5.535</v>
      </c>
      <c r="P31" s="116">
        <f>MedEPS*Calculations!$G31</f>
        <v>11.475</v>
      </c>
      <c r="Q31" s="116">
        <f>HighEPS*Calculations!$G31</f>
        <v>21.84</v>
      </c>
      <c r="R31" s="116">
        <f>VHighEPS*Calculations!$G31</f>
        <v>36.378</v>
      </c>
      <c r="S31" s="115">
        <f>MAX(1, (Calculations!$H31-Calculations!$K31) / (Calculations!$J31 + Calculations!$L31 + Calculations!$O31))</f>
        <v>3.535303938</v>
      </c>
      <c r="T31" s="115">
        <f>MAX(1, (Calculations!$H31-Calculations!$K31) / (Calculations!$J31 + Calculations!$L31 + Calculations!$P31))</f>
        <v>2.618753183</v>
      </c>
      <c r="U31" s="115">
        <f>MAX(1, (Calculations!$H31-Calculations!$K31) / (Calculations!$J31 + Calculations!$L31 + Calculations!$Q31))</f>
        <v>1.803065211</v>
      </c>
      <c r="V31" s="115">
        <f>MAX(1, (Calculations!$H31-Calculations!$K31) / (Calculations!$J31 + Calculations!$L31 + Calculations!$R31))</f>
        <v>1.254845096</v>
      </c>
      <c r="W31" s="115">
        <f>MAX(1, (Calculations!$H31-Calculations!$K31) / (Calculations!$J31 + Calculations!$M31 + Calculations!$O31))</f>
        <v>3.660098823</v>
      </c>
      <c r="X31" s="115">
        <f>MAX(1, (Calculations!$H31-Calculations!$K31) / (Calculations!$J31 + Calculations!$M31 + Calculations!$P31))</f>
        <v>2.686607263</v>
      </c>
      <c r="Y31" s="115">
        <f>MAX(1, (Calculations!$H31-Calculations!$K31) / (Calculations!$J31 + Calculations!$M31 + Calculations!$Q31))</f>
        <v>1.834974616</v>
      </c>
      <c r="Z31" s="115">
        <f>MAX(1, (Calculations!$H31-Calculations!$K31) / (Calculations!$J31 + Calculations!$N31 + Calculations!$O31))</f>
        <v>3.759634062</v>
      </c>
      <c r="AA31" s="115">
        <f>MAX(1, (Calculations!$H31-Calculations!$K31) / (Calculations!$J31 + Calculations!$N31 + Calculations!$P31))</f>
        <v>2.739851135</v>
      </c>
      <c r="AB31" s="115">
        <f>MAX(1, (Calculations!$H31-Calculations!$K31) / (Calculations!$J31 + Calculations!$N31 + Calculations!$Q31))</f>
        <v>1.859657823</v>
      </c>
      <c r="AC31" s="27"/>
      <c r="AD31" s="27"/>
    </row>
    <row r="32" ht="14.25" customHeight="1">
      <c r="A32" s="113" t="s">
        <v>311</v>
      </c>
      <c r="B32" s="113" t="s">
        <v>593</v>
      </c>
      <c r="C32" s="113" t="s">
        <v>54</v>
      </c>
      <c r="D32" s="115">
        <v>0.15</v>
      </c>
      <c r="E32" s="113">
        <v>1.0</v>
      </c>
      <c r="F32" s="113"/>
      <c r="G32" s="113">
        <f t="array" ref="G32">INDEX(Data!$U$2:$U$75,MATCH(Calculations!$A32,Data!$A$2:$A$75,0))</f>
        <v>15</v>
      </c>
      <c r="H32" s="113">
        <f t="array" ref="H32">INDEX(Data!$V$2:$V$75,MATCH(Calculations!$A32,Data!$A$2:$A$75,0))</f>
        <v>60</v>
      </c>
      <c r="I32" s="116">
        <f t="array" ref="I32">INDEX(Data!$F$2:$F$75,MATCH(Calculations!$A32,Data!$A$2:$A$75,0)) * Calculations!$E32 +
 INDEX(Data!$G$2:$G$75,MATCH(Calculations!$A32,Data!$A$2:$A$75,0)) * Calculations!$F32 +
INDEX(Data!$L$2:$L$75,MATCH(Calculations!$A32,Data!$A$2:$A$75,0)) * (0.6 +0.4*Calculations!$D32) * MIN(INDEX(Data!$O$2:$O$75,MATCH(Calculations!$A32,Data!$A$2:$A$75,0)), Calculations!$G32)</f>
        <v>3.33</v>
      </c>
      <c r="J32" s="116">
        <f>Calculations!$I32*OnFieldRight</f>
        <v>9.99</v>
      </c>
      <c r="K32" s="116">
        <v>10.0</v>
      </c>
      <c r="L32" s="116">
        <f>(Calculations!$D32*OnFieldOrb + (1-Calculations!$D32*OffFieldOrb)) * OrbsPerRun / (90/Calculations!$G32)</f>
        <v>1.586666667</v>
      </c>
      <c r="M32" s="116">
        <f>(Calculations!$D32*OnFieldOrb + (1-Calculations!$D32*OffFieldOrb)) * OrbsPerRun / (150/Calculations!$G32)</f>
        <v>0.952</v>
      </c>
      <c r="N32" s="116">
        <f>(Calculations!$D32*OnFieldOrb + (1-Calculations!$D32*OffFieldOrb)) * OrbsPerRun / (300/Calculations!$G32)</f>
        <v>0.476</v>
      </c>
      <c r="O32" s="116">
        <f>LowEPS*Calculations!$G32</f>
        <v>5.535</v>
      </c>
      <c r="P32" s="116">
        <f>MedEPS*Calculations!$G32</f>
        <v>11.475</v>
      </c>
      <c r="Q32" s="116">
        <f>HighEPS*Calculations!$G32</f>
        <v>21.84</v>
      </c>
      <c r="R32" s="116">
        <f>VHighEPS*Calculations!$G32</f>
        <v>36.378</v>
      </c>
      <c r="S32" s="115">
        <f>MAX(1, (Calculations!$H32-Calculations!$K32) / (Calculations!$J32 + Calculations!$L32 + Calculations!$O32))</f>
        <v>2.921983052</v>
      </c>
      <c r="T32" s="115">
        <f>MAX(1, (Calculations!$H32-Calculations!$K32) / (Calculations!$J32 + Calculations!$L32 + Calculations!$P32))</f>
        <v>2.169040561</v>
      </c>
      <c r="U32" s="115">
        <f>MAX(1, (Calculations!$H32-Calculations!$K32) / (Calculations!$J32 + Calculations!$L32 + Calculations!$Q32))</f>
        <v>1.496259352</v>
      </c>
      <c r="V32" s="115">
        <f>MAX(1, (Calculations!$H32-Calculations!$K32) / (Calculations!$J32 + Calculations!$L32 + Calculations!$R32))</f>
        <v>1.042651393</v>
      </c>
      <c r="W32" s="115">
        <f>MAX(1, (Calculations!$H32-Calculations!$K32) / (Calculations!$J32 + Calculations!$M32 + Calculations!$O32))</f>
        <v>3.034532985</v>
      </c>
      <c r="X32" s="115">
        <f>MAX(1, (Calculations!$H32-Calculations!$K32) / (Calculations!$J32 + Calculations!$M32 + Calculations!$P32))</f>
        <v>2.230450105</v>
      </c>
      <c r="Y32" s="115">
        <f>MAX(1, (Calculations!$H32-Calculations!$K32) / (Calculations!$J32 + Calculations!$M32 + Calculations!$Q32))</f>
        <v>1.525227259</v>
      </c>
      <c r="Z32" s="115">
        <f>MAX(1, (Calculations!$H32-Calculations!$K32) / (Calculations!$J32 + Calculations!$N32 + Calculations!$O32))</f>
        <v>3.1248047</v>
      </c>
      <c r="AA32" s="115">
        <f>MAX(1, (Calculations!$H32-Calculations!$K32) / (Calculations!$J32 + Calculations!$N32 + Calculations!$P32))</f>
        <v>2.278838704</v>
      </c>
      <c r="AB32" s="115">
        <f>MAX(1, (Calculations!$H32-Calculations!$K32) / (Calculations!$J32 + Calculations!$N32 + Calculations!$Q32))</f>
        <v>1.547700118</v>
      </c>
      <c r="AC32" s="27"/>
      <c r="AD32" s="27"/>
    </row>
    <row r="33" ht="14.25" customHeight="1">
      <c r="A33" s="113" t="s">
        <v>311</v>
      </c>
      <c r="B33" s="113" t="s">
        <v>594</v>
      </c>
      <c r="C33" s="113" t="s">
        <v>54</v>
      </c>
      <c r="D33" s="115">
        <v>0.15</v>
      </c>
      <c r="E33" s="113">
        <v>2.0</v>
      </c>
      <c r="F33" s="113"/>
      <c r="G33" s="113">
        <f t="array" ref="G33">INDEX(Data!$U$2:$U$75,MATCH(Calculations!$A33,Data!$A$2:$A$75,0))</f>
        <v>15</v>
      </c>
      <c r="H33" s="113">
        <f t="array" ref="H33">INDEX(Data!$V$2:$V$75,MATCH(Calculations!$A33,Data!$A$2:$A$75,0))</f>
        <v>60</v>
      </c>
      <c r="I33" s="116">
        <f t="array" ref="I33">INDEX(Data!$F$2:$F$75,MATCH(Calculations!$A33,Data!$A$2:$A$75,0)) * Calculations!$E33 +
 INDEX(Data!$G$2:$G$75,MATCH(Calculations!$A33,Data!$A$2:$A$75,0)) * Calculations!$F33 +
INDEX(Data!$L$2:$L$75,MATCH(Calculations!$A33,Data!$A$2:$A$75,0)) * (0.6 +0.4*Calculations!$D33) * MIN(INDEX(Data!$O$2:$O$75,MATCH(Calculations!$A33,Data!$A$2:$A$75,0)), Calculations!$G33)</f>
        <v>6.66</v>
      </c>
      <c r="J33" s="116">
        <f>Calculations!$I33*OnFieldRight</f>
        <v>19.98</v>
      </c>
      <c r="K33" s="116">
        <v>10.0</v>
      </c>
      <c r="L33" s="116">
        <f>(Calculations!$D33*OnFieldOrb + (1-Calculations!$D33*OffFieldOrb)) * OrbsPerRun / (90/Calculations!$G33)</f>
        <v>1.586666667</v>
      </c>
      <c r="M33" s="116">
        <f>(Calculations!$D33*OnFieldOrb + (1-Calculations!$D33*OffFieldOrb)) * OrbsPerRun / (150/Calculations!$G33)</f>
        <v>0.952</v>
      </c>
      <c r="N33" s="116">
        <f>(Calculations!$D33*OnFieldOrb + (1-Calculations!$D33*OffFieldOrb)) * OrbsPerRun / (300/Calculations!$G33)</f>
        <v>0.476</v>
      </c>
      <c r="O33" s="116">
        <f>LowEPS*Calculations!$G33</f>
        <v>5.535</v>
      </c>
      <c r="P33" s="116">
        <f>MedEPS*Calculations!$G33</f>
        <v>11.475</v>
      </c>
      <c r="Q33" s="116">
        <f>HighEPS*Calculations!$G33</f>
        <v>21.84</v>
      </c>
      <c r="R33" s="116">
        <f>VHighEPS*Calculations!$G33</f>
        <v>36.378</v>
      </c>
      <c r="S33" s="115">
        <f>MAX(1, (Calculations!$H33-Calculations!$K33) / (Calculations!$J33 + Calculations!$L33 + Calculations!$O33))</f>
        <v>1.844904987</v>
      </c>
      <c r="T33" s="115">
        <f>MAX(1, (Calculations!$H33-Calculations!$K33) / (Calculations!$J33 + Calculations!$L33 + Calculations!$P33))</f>
        <v>1.513240858</v>
      </c>
      <c r="U33" s="115">
        <f>MAX(1, (Calculations!$H33-Calculations!$K33) / (Calculations!$J33 + Calculations!$L33 + Calculations!$Q33))</f>
        <v>1.15189679</v>
      </c>
      <c r="V33" s="115">
        <f>MAX(1, (Calculations!$H33-Calculations!$K33) / (Calculations!$J33 + Calculations!$L33 + Calculations!$R33))</f>
        <v>1</v>
      </c>
      <c r="W33" s="115">
        <f>MAX(1, (Calculations!$H33-Calculations!$K33) / (Calculations!$J33 + Calculations!$M33 + Calculations!$O33))</f>
        <v>1.889144973</v>
      </c>
      <c r="X33" s="115">
        <f>MAX(1, (Calculations!$H33-Calculations!$K33) / (Calculations!$J33 + Calculations!$M33 + Calculations!$P33))</f>
        <v>1.542876539</v>
      </c>
      <c r="Y33" s="115">
        <f>MAX(1, (Calculations!$H33-Calculations!$K33) / (Calculations!$J33 + Calculations!$M33 + Calculations!$Q33))</f>
        <v>1.168989058</v>
      </c>
      <c r="Z33" s="115">
        <f>MAX(1, (Calculations!$H33-Calculations!$K33) / (Calculations!$J33 + Calculations!$N33 + Calculations!$O33))</f>
        <v>1.923742834</v>
      </c>
      <c r="AA33" s="115">
        <f>MAX(1, (Calculations!$H33-Calculations!$K33) / (Calculations!$J33 + Calculations!$N33 + Calculations!$P33))</f>
        <v>1.565876421</v>
      </c>
      <c r="AB33" s="115">
        <f>MAX(1, (Calculations!$H33-Calculations!$K33) / (Calculations!$J33 + Calculations!$N33 + Calculations!$Q33))</f>
        <v>1.182144884</v>
      </c>
      <c r="AC33" s="27"/>
      <c r="AD33" s="27"/>
    </row>
    <row r="34" ht="14.25" customHeight="1">
      <c r="A34" s="113" t="s">
        <v>314</v>
      </c>
      <c r="B34" s="113" t="s">
        <v>593</v>
      </c>
      <c r="C34" s="113" t="s">
        <v>46</v>
      </c>
      <c r="D34" s="115">
        <v>0.15</v>
      </c>
      <c r="E34" s="113">
        <v>1.0</v>
      </c>
      <c r="F34" s="113"/>
      <c r="G34" s="113">
        <f t="array" ref="G34">INDEX(Data!$U$2:$U$75,MATCH(Calculations!$A34,Data!$A$2:$A$75,0))</f>
        <v>15</v>
      </c>
      <c r="H34" s="113">
        <f t="array" ref="H34">INDEX(Data!$V$2:$V$75,MATCH(Calculations!$A34,Data!$A$2:$A$75,0))</f>
        <v>60</v>
      </c>
      <c r="I34" s="116">
        <f t="array" ref="I34">INDEX(Data!$F$2:$F$75,MATCH(Calculations!$A34,Data!$A$2:$A$75,0)) * Calculations!$E34 +
 INDEX(Data!$G$2:$G$75,MATCH(Calculations!$A34,Data!$A$2:$A$75,0)) * Calculations!$F34 +
INDEX(Data!$L$2:$L$75,MATCH(Calculations!$A34,Data!$A$2:$A$75,0)) * (0.6 +0.4*Calculations!$D34) * MIN(INDEX(Data!$O$2:$O$75,MATCH(Calculations!$A34,Data!$A$2:$A$75,0)), Calculations!$G34)</f>
        <v>3</v>
      </c>
      <c r="J34" s="116">
        <f>Calculations!$I34*OnFieldRight</f>
        <v>9</v>
      </c>
      <c r="K34" s="116">
        <v>15.0</v>
      </c>
      <c r="L34" s="116">
        <f>(Calculations!$D34*OnFieldOrb + (1-Calculations!$D34*OffFieldOrb)) * OrbsPerRun / (90/Calculations!$G34)</f>
        <v>1.586666667</v>
      </c>
      <c r="M34" s="116">
        <f>(Calculations!$D34*OnFieldOrb + (1-Calculations!$D34*OffFieldOrb)) * OrbsPerRun / (150/Calculations!$G34)</f>
        <v>0.952</v>
      </c>
      <c r="N34" s="116">
        <f>(Calculations!$D34*OnFieldOrb + (1-Calculations!$D34*OffFieldOrb)) * OrbsPerRun / (300/Calculations!$G34)</f>
        <v>0.476</v>
      </c>
      <c r="O34" s="116">
        <f>LowEPS*Calculations!$G34</f>
        <v>5.535</v>
      </c>
      <c r="P34" s="116">
        <f>MedEPS*Calculations!$G34</f>
        <v>11.475</v>
      </c>
      <c r="Q34" s="116">
        <f>HighEPS*Calculations!$G34</f>
        <v>21.84</v>
      </c>
      <c r="R34" s="116">
        <f>VHighEPS*Calculations!$G34</f>
        <v>36.378</v>
      </c>
      <c r="S34" s="115">
        <f>MAX(1, (Calculations!$H34-Calculations!$K34) / (Calculations!$J34 + Calculations!$L34 + Calculations!$O34))</f>
        <v>2.791274682</v>
      </c>
      <c r="T34" s="115">
        <f>MAX(1, (Calculations!$H34-Calculations!$K34) / (Calculations!$J34 + Calculations!$L34 + Calculations!$P34))</f>
        <v>2.039737101</v>
      </c>
      <c r="U34" s="115">
        <f>MAX(1, (Calculations!$H34-Calculations!$K34) / (Calculations!$J34 + Calculations!$L34 + Calculations!$Q34))</f>
        <v>1.387746711</v>
      </c>
      <c r="V34" s="115">
        <f>MAX(1, (Calculations!$H34-Calculations!$K34) / (Calculations!$J34 + Calculations!$L34 + Calculations!$R34))</f>
        <v>1</v>
      </c>
      <c r="W34" s="115">
        <f>MAX(1, (Calculations!$H34-Calculations!$K34) / (Calculations!$J34 + Calculations!$M34 + Calculations!$O34))</f>
        <v>2.905662814</v>
      </c>
      <c r="X34" s="115">
        <f>MAX(1, (Calculations!$H34-Calculations!$K34) / (Calculations!$J34 + Calculations!$M34 + Calculations!$P34))</f>
        <v>2.100154011</v>
      </c>
      <c r="Y34" s="115">
        <f>MAX(1, (Calculations!$H34-Calculations!$K34) / (Calculations!$J34 + Calculations!$M34 + Calculations!$Q34))</f>
        <v>1.415450428</v>
      </c>
      <c r="Z34" s="115">
        <f>MAX(1, (Calculations!$H34-Calculations!$K34) / (Calculations!$J34 + Calculations!$N34 + Calculations!$O34))</f>
        <v>2.997801612</v>
      </c>
      <c r="AA34" s="115">
        <f>MAX(1, (Calculations!$H34-Calculations!$K34) / (Calculations!$J34 + Calculations!$N34 + Calculations!$P34))</f>
        <v>2.147868837</v>
      </c>
      <c r="AB34" s="115">
        <f>MAX(1, (Calculations!$H34-Calculations!$K34) / (Calculations!$J34 + Calculations!$N34 + Calculations!$Q34))</f>
        <v>1.43696513</v>
      </c>
      <c r="AC34" s="27"/>
      <c r="AD34" s="27"/>
    </row>
    <row r="35" ht="14.25" customHeight="1">
      <c r="A35" s="113" t="s">
        <v>314</v>
      </c>
      <c r="B35" s="113" t="s">
        <v>594</v>
      </c>
      <c r="C35" s="113" t="s">
        <v>46</v>
      </c>
      <c r="D35" s="115">
        <v>0.15</v>
      </c>
      <c r="E35" s="113">
        <v>2.0</v>
      </c>
      <c r="F35" s="113"/>
      <c r="G35" s="113">
        <f t="array" ref="G35">INDEX(Data!$U$2:$U$75,MATCH(Calculations!$A35,Data!$A$2:$A$75,0))</f>
        <v>15</v>
      </c>
      <c r="H35" s="113">
        <f t="array" ref="H35">INDEX(Data!$V$2:$V$75,MATCH(Calculations!$A35,Data!$A$2:$A$75,0))</f>
        <v>60</v>
      </c>
      <c r="I35" s="116">
        <f t="array" ref="I35">INDEX(Data!$F$2:$F$75,MATCH(Calculations!$A35,Data!$A$2:$A$75,0)) * Calculations!$E35 +
 INDEX(Data!$G$2:$G$75,MATCH(Calculations!$A35,Data!$A$2:$A$75,0)) * Calculations!$F35 +
INDEX(Data!$L$2:$L$75,MATCH(Calculations!$A35,Data!$A$2:$A$75,0)) * (0.6 +0.4*Calculations!$D35) * MIN(INDEX(Data!$O$2:$O$75,MATCH(Calculations!$A35,Data!$A$2:$A$75,0)), Calculations!$G35)</f>
        <v>6</v>
      </c>
      <c r="J35" s="116">
        <f>Calculations!$I35*OnFieldRight</f>
        <v>18</v>
      </c>
      <c r="K35" s="116">
        <v>15.0</v>
      </c>
      <c r="L35" s="116">
        <f>(Calculations!$D35*OnFieldOrb + (1-Calculations!$D35*OffFieldOrb)) * OrbsPerRun / (90/Calculations!$G35)</f>
        <v>1.586666667</v>
      </c>
      <c r="M35" s="116">
        <f>(Calculations!$D35*OnFieldOrb + (1-Calculations!$D35*OffFieldOrb)) * OrbsPerRun / (150/Calculations!$G35)</f>
        <v>0.952</v>
      </c>
      <c r="N35" s="116">
        <f>(Calculations!$D35*OnFieldOrb + (1-Calculations!$D35*OffFieldOrb)) * OrbsPerRun / (300/Calculations!$G35)</f>
        <v>0.476</v>
      </c>
      <c r="O35" s="116">
        <f>LowEPS*Calculations!$G35</f>
        <v>5.535</v>
      </c>
      <c r="P35" s="116">
        <f>MedEPS*Calculations!$G35</f>
        <v>11.475</v>
      </c>
      <c r="Q35" s="116">
        <f>HighEPS*Calculations!$G35</f>
        <v>21.84</v>
      </c>
      <c r="R35" s="116">
        <f>VHighEPS*Calculations!$G35</f>
        <v>36.378</v>
      </c>
      <c r="S35" s="115">
        <f>MAX(1, (Calculations!$H35-Calculations!$K35) / (Calculations!$J35 + Calculations!$L35 + Calculations!$O35))</f>
        <v>1.791282426</v>
      </c>
      <c r="T35" s="115">
        <f>MAX(1, (Calculations!$H35-Calculations!$K35) / (Calculations!$J35 + Calculations!$L35 + Calculations!$P35))</f>
        <v>1.448731019</v>
      </c>
      <c r="U35" s="115">
        <f>MAX(1, (Calculations!$H35-Calculations!$K35) / (Calculations!$J35 + Calculations!$L35 + Calculations!$Q35))</f>
        <v>1.086256839</v>
      </c>
      <c r="V35" s="115">
        <f>MAX(1, (Calculations!$H35-Calculations!$K35) / (Calculations!$J35 + Calculations!$L35 + Calculations!$R35))</f>
        <v>1</v>
      </c>
      <c r="W35" s="115">
        <f>MAX(1, (Calculations!$H35-Calculations!$K35) / (Calculations!$J35 + Calculations!$M35 + Calculations!$O35))</f>
        <v>1.837709805</v>
      </c>
      <c r="X35" s="115">
        <f>MAX(1, (Calculations!$H35-Calculations!$K35) / (Calculations!$J35 + Calculations!$M35 + Calculations!$P35))</f>
        <v>1.478949617</v>
      </c>
      <c r="Y35" s="115">
        <f>MAX(1, (Calculations!$H35-Calculations!$K35) / (Calculations!$J35 + Calculations!$M35 + Calculations!$Q35))</f>
        <v>1.103157482</v>
      </c>
      <c r="Z35" s="115">
        <f>MAX(1, (Calculations!$H35-Calculations!$K35) / (Calculations!$J35 + Calculations!$N35 + Calculations!$O35))</f>
        <v>1.874141019</v>
      </c>
      <c r="AA35" s="115">
        <f>MAX(1, (Calculations!$H35-Calculations!$K35) / (Calculations!$J35 + Calculations!$N35 + Calculations!$P35))</f>
        <v>1.502454008</v>
      </c>
      <c r="AB35" s="115">
        <f>MAX(1, (Calculations!$H35-Calculations!$K35) / (Calculations!$J35 + Calculations!$N35 + Calculations!$Q35))</f>
        <v>1.116182161</v>
      </c>
      <c r="AC35" s="27"/>
      <c r="AD35" s="27"/>
    </row>
    <row r="36" ht="14.25" customHeight="1">
      <c r="A36" s="113" t="s">
        <v>321</v>
      </c>
      <c r="B36" s="113" t="s">
        <v>592</v>
      </c>
      <c r="C36" s="113" t="s">
        <v>63</v>
      </c>
      <c r="D36" s="115">
        <v>0.1</v>
      </c>
      <c r="E36" s="113">
        <v>1.0</v>
      </c>
      <c r="F36" s="113"/>
      <c r="G36" s="113">
        <f t="array" ref="G36">INDEX(Data!$U$2:$U$75,MATCH(Calculations!$A36,Data!$A$2:$A$75,0))</f>
        <v>20</v>
      </c>
      <c r="H36" s="113">
        <f t="array" ref="H36">INDEX(Data!$V$2:$V$75,MATCH(Calculations!$A36,Data!$A$2:$A$75,0))</f>
        <v>80</v>
      </c>
      <c r="I36" s="116">
        <f t="array" ref="I36">INDEX(Data!$F$2:$F$75,MATCH(Calculations!$A36,Data!$A$2:$A$75,0)) * Calculations!$E36 +
 INDEX(Data!$G$2:$G$75,MATCH(Calculations!$A36,Data!$A$2:$A$75,0)) * Calculations!$F36 +
INDEX(Data!$L$2:$L$75,MATCH(Calculations!$A36,Data!$A$2:$A$75,0)) * (0.6 +0.4*Calculations!$D36) * MIN(INDEX(Data!$O$2:$O$75,MATCH(Calculations!$A36,Data!$A$2:$A$75,0)), Calculations!$G36)</f>
        <v>2.56</v>
      </c>
      <c r="J36" s="116">
        <f>Calculations!$I36*OnFieldRight</f>
        <v>7.68</v>
      </c>
      <c r="K36" s="116"/>
      <c r="L36" s="116">
        <f>(Calculations!$D36*OnFieldOrb + (1-Calculations!$D36*OffFieldOrb)) * OrbsPerRun / (90/Calculations!$G36)</f>
        <v>1.928888889</v>
      </c>
      <c r="M36" s="116">
        <f>(Calculations!$D36*OnFieldOrb + (1-Calculations!$D36*OffFieldOrb)) * OrbsPerRun / (150/Calculations!$G36)</f>
        <v>1.157333333</v>
      </c>
      <c r="N36" s="116">
        <f>(Calculations!$D36*OnFieldOrb + (1-Calculations!$D36*OffFieldOrb)) * OrbsPerRun / (300/Calculations!$G36)</f>
        <v>0.5786666667</v>
      </c>
      <c r="O36" s="116">
        <f>LowEPS*Calculations!$G36</f>
        <v>7.38</v>
      </c>
      <c r="P36" s="116">
        <f>MedEPS*Calculations!$G36</f>
        <v>15.3</v>
      </c>
      <c r="Q36" s="116">
        <f>HighEPS*Calculations!$G36</f>
        <v>29.12</v>
      </c>
      <c r="R36" s="116">
        <f>VHighEPS*Calculations!$G36</f>
        <v>48.504</v>
      </c>
      <c r="S36" s="115">
        <f>MAX(1, (Calculations!$H36-Calculations!$K36) / (Calculations!$J36 + Calculations!$L36 + Calculations!$O36))</f>
        <v>4.708960105</v>
      </c>
      <c r="T36" s="115">
        <f>MAX(1, (Calculations!$H36-Calculations!$K36) / (Calculations!$J36 + Calculations!$L36 + Calculations!$P36))</f>
        <v>3.21170488</v>
      </c>
      <c r="U36" s="115">
        <f>MAX(1, (Calculations!$H36-Calculations!$K36) / (Calculations!$J36 + Calculations!$L36 + Calculations!$Q36))</f>
        <v>2.065641496</v>
      </c>
      <c r="V36" s="115">
        <f>MAX(1, (Calculations!$H36-Calculations!$K36) / (Calculations!$J36 + Calculations!$L36 + Calculations!$R36))</f>
        <v>1.376630925</v>
      </c>
      <c r="W36" s="115">
        <f>MAX(1, (Calculations!$H36-Calculations!$K36) / (Calculations!$J36 + Calculations!$M36 + Calculations!$O36))</f>
        <v>4.932993505</v>
      </c>
      <c r="X36" s="115">
        <f>MAX(1, (Calculations!$H36-Calculations!$K36) / (Calculations!$J36 + Calculations!$M36 + Calculations!$P36))</f>
        <v>3.314367784</v>
      </c>
      <c r="Y36" s="115">
        <f>MAX(1, (Calculations!$H36-Calculations!$K36) / (Calculations!$J36 + Calculations!$M36 + Calculations!$Q36))</f>
        <v>2.107629619</v>
      </c>
      <c r="Z36" s="115">
        <f>MAX(1, (Calculations!$H36-Calculations!$K36) / (Calculations!$J36 + Calculations!$N36 + Calculations!$O36))</f>
        <v>5.11552562</v>
      </c>
      <c r="AA36" s="115">
        <f>MAX(1, (Calculations!$H36-Calculations!$K36) / (Calculations!$J36 + Calculations!$N36 + Calculations!$P36))</f>
        <v>3.395777916</v>
      </c>
      <c r="AB36" s="115">
        <f>MAX(1, (Calculations!$H36-Calculations!$K36) / (Calculations!$J36 + Calculations!$N36 + Calculations!$Q36))</f>
        <v>2.140258258</v>
      </c>
      <c r="AC36" s="27"/>
      <c r="AD36" s="27"/>
    </row>
    <row r="37" ht="14.25" customHeight="1">
      <c r="A37" s="113" t="s">
        <v>323</v>
      </c>
      <c r="B37" s="113"/>
      <c r="C37" s="113" t="s">
        <v>46</v>
      </c>
      <c r="D37" s="115">
        <v>0.8</v>
      </c>
      <c r="E37" s="113">
        <v>2.0</v>
      </c>
      <c r="F37" s="113"/>
      <c r="G37" s="113">
        <f t="array" ref="G37">INDEX(Data!$U$2:$U$75,MATCH(Calculations!$A37,Data!$A$2:$A$75,0))</f>
        <v>18</v>
      </c>
      <c r="H37" s="113">
        <f t="array" ref="H37">INDEX(Data!$V$2:$V$75,MATCH(Calculations!$A37,Data!$A$2:$A$75,0))</f>
        <v>70</v>
      </c>
      <c r="I37" s="116">
        <f t="array" ref="I37">INDEX(Data!$F$2:$F$75,MATCH(Calculations!$A37,Data!$A$2:$A$75,0)) * Calculations!$E37 +
 INDEX(Data!$G$2:$G$75,MATCH(Calculations!$A37,Data!$A$2:$A$75,0)) * Calculations!$F37 +
INDEX(Data!$L$2:$L$75,MATCH(Calculations!$A37,Data!$A$2:$A$75,0)) * (0.6 +0.4*Calculations!$D37) * MIN(INDEX(Data!$O$2:$O$75,MATCH(Calculations!$A37,Data!$A$2:$A$75,0)), Calculations!$G37)</f>
        <v>6</v>
      </c>
      <c r="J37" s="116">
        <f>Calculations!$I37*OnFieldRight</f>
        <v>18</v>
      </c>
      <c r="K37" s="116"/>
      <c r="L37" s="116">
        <f>(Calculations!$D37*OnFieldOrb + (1-Calculations!$D37*OffFieldOrb)) * OrbsPerRun / (90/Calculations!$G37)</f>
        <v>4.088</v>
      </c>
      <c r="M37" s="116">
        <f>(Calculations!$D37*OnFieldOrb + (1-Calculations!$D37*OffFieldOrb)) * OrbsPerRun / (150/Calculations!$G37)</f>
        <v>2.4528</v>
      </c>
      <c r="N37" s="116">
        <f>(Calculations!$D37*OnFieldOrb + (1-Calculations!$D37*OffFieldOrb)) * OrbsPerRun / (300/Calculations!$G37)</f>
        <v>1.2264</v>
      </c>
      <c r="O37" s="116">
        <f>LowEPS*Calculations!$G37</f>
        <v>6.642</v>
      </c>
      <c r="P37" s="116">
        <f>MedEPS*Calculations!$G37</f>
        <v>13.77</v>
      </c>
      <c r="Q37" s="116">
        <f>HighEPS*Calculations!$G37</f>
        <v>26.208</v>
      </c>
      <c r="R37" s="116">
        <f>VHighEPS*Calculations!$G37</f>
        <v>43.6536</v>
      </c>
      <c r="S37" s="115">
        <f>MAX(1, (Calculations!$H37-Calculations!$K37) / (Calculations!$J37 + Calculations!$L37 + Calculations!$O37))</f>
        <v>2.43647755</v>
      </c>
      <c r="T37" s="115">
        <f>MAX(1, (Calculations!$H37-Calculations!$K37) / (Calculations!$J37 + Calculations!$L37 + Calculations!$P37))</f>
        <v>1.95214457</v>
      </c>
      <c r="U37" s="115">
        <f>MAX(1, (Calculations!$H37-Calculations!$K37) / (Calculations!$J37 + Calculations!$L37 + Calculations!$Q37))</f>
        <v>1.449395395</v>
      </c>
      <c r="V37" s="115">
        <f>MAX(1, (Calculations!$H37-Calculations!$K37) / (Calculations!$J37 + Calculations!$L37 + Calculations!$R37))</f>
        <v>1.064774815</v>
      </c>
      <c r="W37" s="115">
        <f>MAX(1, (Calculations!$H37-Calculations!$K37) / (Calculations!$J37 + Calculations!$M37 + Calculations!$O37))</f>
        <v>2.583521561</v>
      </c>
      <c r="X37" s="115">
        <f>MAX(1, (Calculations!$H37-Calculations!$K37) / (Calculations!$J37 + Calculations!$M37 + Calculations!$P37))</f>
        <v>2.045420012</v>
      </c>
      <c r="Y37" s="115">
        <f>MAX(1, (Calculations!$H37-Calculations!$K37) / (Calculations!$J37 + Calculations!$M37 + Calculations!$Q37))</f>
        <v>1.500188595</v>
      </c>
      <c r="Z37" s="115">
        <f>MAX(1, (Calculations!$H37-Calculations!$K37) / (Calculations!$J37 + Calculations!$N37 + Calculations!$O37))</f>
        <v>2.706004237</v>
      </c>
      <c r="AA37" s="115">
        <f>MAX(1, (Calculations!$H37-Calculations!$K37) / (Calculations!$J37 + Calculations!$N37 + Calculations!$P37))</f>
        <v>2.121443551</v>
      </c>
      <c r="AB37" s="115">
        <f>MAX(1, (Calculations!$H37-Calculations!$K37) / (Calculations!$J37 + Calculations!$N37 + Calculations!$Q37))</f>
        <v>1.540682831</v>
      </c>
      <c r="AC37" s="27"/>
      <c r="AD37" s="27"/>
    </row>
    <row r="38" ht="14.25" customHeight="1">
      <c r="A38" s="113" t="s">
        <v>324</v>
      </c>
      <c r="B38" s="113"/>
      <c r="C38" s="113" t="s">
        <v>56</v>
      </c>
      <c r="D38" s="115">
        <v>0.1</v>
      </c>
      <c r="E38" s="113">
        <v>1.0</v>
      </c>
      <c r="F38" s="113"/>
      <c r="G38" s="113">
        <f t="array" ref="G38">INDEX(Data!$U$2:$U$75,MATCH(Calculations!$A38,Data!$A$2:$A$75,0))</f>
        <v>20</v>
      </c>
      <c r="H38" s="113">
        <f t="array" ref="H38">INDEX(Data!$V$2:$V$75,MATCH(Calculations!$A38,Data!$A$2:$A$75,0))</f>
        <v>80</v>
      </c>
      <c r="I38" s="116">
        <f t="array" ref="I38">INDEX(Data!$F$2:$F$75,MATCH(Calculations!$A38,Data!$A$2:$A$75,0)) * Calculations!$E38 +
 INDEX(Data!$G$2:$G$75,MATCH(Calculations!$A38,Data!$A$2:$A$75,0)) * Calculations!$F38 +
INDEX(Data!$L$2:$L$75,MATCH(Calculations!$A38,Data!$A$2:$A$75,0)) * (0.6 +0.4*Calculations!$D38) * MIN(INDEX(Data!$O$2:$O$75,MATCH(Calculations!$A38,Data!$A$2:$A$75,0)), Calculations!$G38)</f>
        <v>5</v>
      </c>
      <c r="J38" s="116">
        <f>Calculations!$I38*OnFieldRight</f>
        <v>15</v>
      </c>
      <c r="K38" s="116"/>
      <c r="L38" s="116">
        <f>(Calculations!$D38*OnFieldOrb + (1-Calculations!$D38*OffFieldOrb)) * OrbsPerRun / (90/Calculations!$G38)</f>
        <v>1.928888889</v>
      </c>
      <c r="M38" s="116">
        <f>(Calculations!$D38*OnFieldOrb + (1-Calculations!$D38*OffFieldOrb)) * OrbsPerRun / (150/Calculations!$G38)</f>
        <v>1.157333333</v>
      </c>
      <c r="N38" s="116">
        <f>(Calculations!$D38*OnFieldOrb + (1-Calculations!$D38*OffFieldOrb)) * OrbsPerRun / (300/Calculations!$G38)</f>
        <v>0.5786666667</v>
      </c>
      <c r="O38" s="116">
        <f>LowEPS*Calculations!$G38</f>
        <v>7.38</v>
      </c>
      <c r="P38" s="116">
        <f>MedEPS*Calculations!$G38</f>
        <v>15.3</v>
      </c>
      <c r="Q38" s="116">
        <f>HighEPS*Calculations!$G38</f>
        <v>29.12</v>
      </c>
      <c r="R38" s="116">
        <f>VHighEPS*Calculations!$G38</f>
        <v>48.504</v>
      </c>
      <c r="S38" s="115">
        <f>MAX(1, (Calculations!$H38-Calculations!$K38) / (Calculations!$J38 + Calculations!$L38 + Calculations!$O38))</f>
        <v>3.290977237</v>
      </c>
      <c r="T38" s="115">
        <f>MAX(1, (Calculations!$H38-Calculations!$K38) / (Calculations!$J38 + Calculations!$L38 + Calculations!$P38))</f>
        <v>2.482245053</v>
      </c>
      <c r="U38" s="115">
        <f>MAX(1, (Calculations!$H38-Calculations!$K38) / (Calculations!$J38 + Calculations!$L38 + Calculations!$Q38))</f>
        <v>1.737284046</v>
      </c>
      <c r="V38" s="115">
        <f>MAX(1, (Calculations!$H38-Calculations!$K38) / (Calculations!$J38 + Calculations!$L38 + Calculations!$R38))</f>
        <v>1.222626746</v>
      </c>
      <c r="W38" s="115">
        <f>MAX(1, (Calculations!$H38-Calculations!$K38) / (Calculations!$J38 + Calculations!$M38 + Calculations!$O38))</f>
        <v>3.398855719</v>
      </c>
      <c r="X38" s="115">
        <f>MAX(1, (Calculations!$H38-Calculations!$K38) / (Calculations!$J38 + Calculations!$M38 + Calculations!$P38))</f>
        <v>2.543127199</v>
      </c>
      <c r="Y38" s="115">
        <f>MAX(1, (Calculations!$H38-Calculations!$K38) / (Calculations!$J38 + Calculations!$M38 + Calculations!$Q38))</f>
        <v>1.766888509</v>
      </c>
      <c r="Z38" s="115">
        <f>MAX(1, (Calculations!$H38-Calculations!$K38) / (Calculations!$J38 + Calculations!$N38 + Calculations!$O38))</f>
        <v>3.484522911</v>
      </c>
      <c r="AA38" s="115">
        <f>MAX(1, (Calculations!$H38-Calculations!$K38) / (Calculations!$J38 + Calculations!$N38 + Calculations!$P38))</f>
        <v>2.59078544</v>
      </c>
      <c r="AB38" s="115">
        <f>MAX(1, (Calculations!$H38-Calculations!$K38) / (Calculations!$J38 + Calculations!$N38 + Calculations!$Q38))</f>
        <v>1.789762558</v>
      </c>
      <c r="AC38" s="27"/>
      <c r="AD38" s="27"/>
    </row>
    <row r="39" ht="14.25" customHeight="1">
      <c r="A39" s="113" t="s">
        <v>324</v>
      </c>
      <c r="B39" s="113" t="s">
        <v>597</v>
      </c>
      <c r="C39" s="113" t="s">
        <v>56</v>
      </c>
      <c r="D39" s="115">
        <v>0.1</v>
      </c>
      <c r="E39" s="113">
        <v>2.0</v>
      </c>
      <c r="F39" s="113"/>
      <c r="G39" s="113">
        <f t="array" ref="G39">INDEX(Data!$U$2:$U$75,MATCH(Calculations!$A39,Data!$A$2:$A$75,0))</f>
        <v>20</v>
      </c>
      <c r="H39" s="113">
        <f t="array" ref="H39">INDEX(Data!$V$2:$V$75,MATCH(Calculations!$A39,Data!$A$2:$A$75,0))</f>
        <v>80</v>
      </c>
      <c r="I39" s="116">
        <f t="array" ref="I39">INDEX(Data!$F$2:$F$75,MATCH(Calculations!$A39,Data!$A$2:$A$75,0)) * Calculations!$E39 +
 INDEX(Data!$G$2:$G$75,MATCH(Calculations!$A39,Data!$A$2:$A$75,0)) * Calculations!$F39 +
INDEX(Data!$L$2:$L$75,MATCH(Calculations!$A39,Data!$A$2:$A$75,0)) * (0.6 +0.4*Calculations!$D39) * MIN(INDEX(Data!$O$2:$O$75,MATCH(Calculations!$A39,Data!$A$2:$A$75,0)), Calculations!$G39)</f>
        <v>10</v>
      </c>
      <c r="J39" s="116">
        <f>Calculations!$I39*OnFieldRight</f>
        <v>30</v>
      </c>
      <c r="K39" s="116"/>
      <c r="L39" s="116">
        <f>(Calculations!$D39*OnFieldOrb + (1-Calculations!$D39*OffFieldOrb)) * OrbsPerRun / (90/Calculations!$G39)</f>
        <v>1.928888889</v>
      </c>
      <c r="M39" s="116">
        <f>(Calculations!$D39*OnFieldOrb + (1-Calculations!$D39*OffFieldOrb)) * OrbsPerRun / (150/Calculations!$G39)</f>
        <v>1.157333333</v>
      </c>
      <c r="N39" s="116">
        <f>(Calculations!$D39*OnFieldOrb + (1-Calculations!$D39*OffFieldOrb)) * OrbsPerRun / (300/Calculations!$G39)</f>
        <v>0.5786666667</v>
      </c>
      <c r="O39" s="116">
        <f>LowEPS*Calculations!$G39</f>
        <v>7.38</v>
      </c>
      <c r="P39" s="116">
        <f>MedEPS*Calculations!$G39</f>
        <v>15.3</v>
      </c>
      <c r="Q39" s="116">
        <f>HighEPS*Calculations!$G39</f>
        <v>29.12</v>
      </c>
      <c r="R39" s="116">
        <f>VHighEPS*Calculations!$G39</f>
        <v>48.504</v>
      </c>
      <c r="S39" s="115">
        <f>MAX(1, (Calculations!$H39-Calculations!$K39) / (Calculations!$J39 + Calculations!$L39 + Calculations!$O39))</f>
        <v>2.035163096</v>
      </c>
      <c r="T39" s="115">
        <f>MAX(1, (Calculations!$H39-Calculations!$K39) / (Calculations!$J39 + Calculations!$L39 + Calculations!$P39))</f>
        <v>1.693878511</v>
      </c>
      <c r="U39" s="115">
        <f>MAX(1, (Calculations!$H39-Calculations!$K39) / (Calculations!$J39 + Calculations!$L39 + Calculations!$Q39))</f>
        <v>1.31042516</v>
      </c>
      <c r="V39" s="115">
        <f>MAX(1, (Calculations!$H39-Calculations!$K39) / (Calculations!$J39 + Calculations!$L39 + Calculations!$R39))</f>
        <v>1</v>
      </c>
      <c r="W39" s="115">
        <f>MAX(1, (Calculations!$H39-Calculations!$K39) / (Calculations!$J39 + Calculations!$M39 + Calculations!$O39))</f>
        <v>2.075909075</v>
      </c>
      <c r="X39" s="115">
        <f>MAX(1, (Calculations!$H39-Calculations!$K39) / (Calculations!$J39 + Calculations!$M39 + Calculations!$P39))</f>
        <v>1.72201016</v>
      </c>
      <c r="Y39" s="115">
        <f>MAX(1, (Calculations!$H39-Calculations!$K39) / (Calculations!$J39 + Calculations!$M39 + Calculations!$Q39))</f>
        <v>1.327198726</v>
      </c>
      <c r="Z39" s="115">
        <f>MAX(1, (Calculations!$H39-Calculations!$K39) / (Calculations!$J39 + Calculations!$N39 + Calculations!$O39))</f>
        <v>2.107555587</v>
      </c>
      <c r="AA39" s="115">
        <f>MAX(1, (Calculations!$H39-Calculations!$K39) / (Calculations!$J39 + Calculations!$N39 + Calculations!$P39))</f>
        <v>1.743729838</v>
      </c>
      <c r="AB39" s="115">
        <f>MAX(1, (Calculations!$H39-Calculations!$K39) / (Calculations!$J39 + Calculations!$N39 + Calculations!$Q39))</f>
        <v>1.34006343</v>
      </c>
      <c r="AC39" s="27"/>
      <c r="AD39" s="27"/>
    </row>
    <row r="40" ht="14.25" customHeight="1">
      <c r="A40" s="113" t="s">
        <v>328</v>
      </c>
      <c r="B40" s="113"/>
      <c r="C40" s="113" t="s">
        <v>63</v>
      </c>
      <c r="D40" s="115">
        <v>0.1</v>
      </c>
      <c r="E40" s="113">
        <v>1.0</v>
      </c>
      <c r="F40" s="113"/>
      <c r="G40" s="113">
        <f t="array" ref="G40">INDEX(Data!$U$2:$U$75,MATCH(Calculations!$A40,Data!$A$2:$A$75,0))</f>
        <v>15</v>
      </c>
      <c r="H40" s="113">
        <f t="array" ref="H40">INDEX(Data!$V$2:$V$75,MATCH(Calculations!$A40,Data!$A$2:$A$75,0))</f>
        <v>60</v>
      </c>
      <c r="I40" s="116">
        <f t="array" ref="I40">INDEX(Data!$F$2:$F$75,MATCH(Calculations!$A40,Data!$A$2:$A$75,0)) * Calculations!$E40 +
 INDEX(Data!$G$2:$G$75,MATCH(Calculations!$A40,Data!$A$2:$A$75,0)) * Calculations!$F40 +
INDEX(Data!$L$2:$L$75,MATCH(Calculations!$A40,Data!$A$2:$A$75,0)) * (0.6 +0.4*Calculations!$D40) * MIN(INDEX(Data!$O$2:$O$75,MATCH(Calculations!$A40,Data!$A$2:$A$75,0)), Calculations!$G40)</f>
        <v>4</v>
      </c>
      <c r="J40" s="116">
        <f>Calculations!$I40*OnFieldRight</f>
        <v>12</v>
      </c>
      <c r="K40" s="116"/>
      <c r="L40" s="116">
        <f>(Calculations!$D40*OnFieldOrb + (1-Calculations!$D40*OffFieldOrb)) * OrbsPerRun / (90/Calculations!$G40)</f>
        <v>1.446666667</v>
      </c>
      <c r="M40" s="116">
        <f>(Calculations!$D40*OnFieldOrb + (1-Calculations!$D40*OffFieldOrb)) * OrbsPerRun / (150/Calculations!$G40)</f>
        <v>0.868</v>
      </c>
      <c r="N40" s="116">
        <f>(Calculations!$D40*OnFieldOrb + (1-Calculations!$D40*OffFieldOrb)) * OrbsPerRun / (300/Calculations!$G40)</f>
        <v>0.434</v>
      </c>
      <c r="O40" s="116">
        <f>LowEPS*Calculations!$G40</f>
        <v>5.535</v>
      </c>
      <c r="P40" s="116">
        <f>MedEPS*Calculations!$G40</f>
        <v>11.475</v>
      </c>
      <c r="Q40" s="116">
        <f>HighEPS*Calculations!$G40</f>
        <v>21.84</v>
      </c>
      <c r="R40" s="116">
        <f>VHighEPS*Calculations!$G40</f>
        <v>36.378</v>
      </c>
      <c r="S40" s="115">
        <f>MAX(1, (Calculations!$H40-Calculations!$K40) / (Calculations!$J40 + Calculations!$L40 + Calculations!$O40))</f>
        <v>3.160944771</v>
      </c>
      <c r="T40" s="115">
        <f>MAX(1, (Calculations!$H40-Calculations!$K40) / (Calculations!$J40 + Calculations!$L40 + Calculations!$P40))</f>
        <v>2.407543637</v>
      </c>
      <c r="U40" s="115">
        <f>MAX(1, (Calculations!$H40-Calculations!$K40) / (Calculations!$J40 + Calculations!$L40 + Calculations!$Q40))</f>
        <v>1.700358965</v>
      </c>
      <c r="V40" s="115">
        <f>MAX(1, (Calculations!$H40-Calculations!$K40) / (Calculations!$J40 + Calculations!$L40 + Calculations!$R40))</f>
        <v>1.204222808</v>
      </c>
      <c r="W40" s="115">
        <f>MAX(1, (Calculations!$H40-Calculations!$K40) / (Calculations!$J40 + Calculations!$M40 + Calculations!$O40))</f>
        <v>3.260337988</v>
      </c>
      <c r="X40" s="115">
        <f>MAX(1, (Calculations!$H40-Calculations!$K40) / (Calculations!$J40 + Calculations!$M40 + Calculations!$P40))</f>
        <v>2.464774268</v>
      </c>
      <c r="Y40" s="115">
        <f>MAX(1, (Calculations!$H40-Calculations!$K40) / (Calculations!$J40 + Calculations!$M40 + Calculations!$Q40))</f>
        <v>1.728708079</v>
      </c>
      <c r="Z40" s="115">
        <f>MAX(1, (Calculations!$H40-Calculations!$K40) / (Calculations!$J40 + Calculations!$N40 + Calculations!$O40))</f>
        <v>3.339083978</v>
      </c>
      <c r="AA40" s="115">
        <f>MAX(1, (Calculations!$H40-Calculations!$K40) / (Calculations!$J40 + Calculations!$N40 + Calculations!$P40))</f>
        <v>2.509515245</v>
      </c>
      <c r="AB40" s="115">
        <f>MAX(1, (Calculations!$H40-Calculations!$K40) / (Calculations!$J40 + Calculations!$N40 + Calculations!$Q40))</f>
        <v>1.750598121</v>
      </c>
      <c r="AC40" s="27"/>
      <c r="AD40" s="27"/>
    </row>
    <row r="41" ht="14.25" customHeight="1">
      <c r="A41" s="113" t="s">
        <v>341</v>
      </c>
      <c r="B41" s="113"/>
      <c r="C41" s="113" t="s">
        <v>54</v>
      </c>
      <c r="D41" s="115">
        <v>0.1</v>
      </c>
      <c r="E41" s="113"/>
      <c r="F41" s="113"/>
      <c r="G41" s="113">
        <f t="array" ref="G41">INDEX(Data!$U$2:$U$75,MATCH(Calculations!$A41,Data!$A$2:$A$75,0))</f>
        <v>12</v>
      </c>
      <c r="H41" s="113">
        <f t="array" ref="H41">INDEX(Data!$V$2:$V$75,MATCH(Calculations!$A41,Data!$A$2:$A$75,0))</f>
        <v>40</v>
      </c>
      <c r="I41" s="116">
        <f t="array" ref="I41">INDEX(Data!$F$2:$F$75,MATCH(Calculations!$A41,Data!$A$2:$A$75,0)) * Calculations!$E41 +
 INDEX(Data!$G$2:$G$75,MATCH(Calculations!$A41,Data!$A$2:$A$75,0)) * Calculations!$F41 +
INDEX(Data!$L$2:$L$75,MATCH(Calculations!$A41,Data!$A$2:$A$75,0)) * (0.6 +0.4*Calculations!$D41) * MIN(INDEX(Data!$O$2:$O$75,MATCH(Calculations!$A41,Data!$A$2:$A$75,0)), Calculations!$G41)</f>
        <v>1.92</v>
      </c>
      <c r="J41" s="116">
        <f>Calculations!$I41*OnFieldRight</f>
        <v>5.76</v>
      </c>
      <c r="K41" s="116"/>
      <c r="L41" s="116">
        <f>(Calculations!$D41*OnFieldOrb + (1-Calculations!$D41*OffFieldOrb)) * OrbsPerRun / (90/Calculations!$G41)</f>
        <v>1.157333333</v>
      </c>
      <c r="M41" s="116">
        <f>(Calculations!$D41*OnFieldOrb + (1-Calculations!$D41*OffFieldOrb)) * OrbsPerRun / (150/Calculations!$G41)</f>
        <v>0.6944</v>
      </c>
      <c r="N41" s="116">
        <f>(Calculations!$D41*OnFieldOrb + (1-Calculations!$D41*OffFieldOrb)) * OrbsPerRun / (300/Calculations!$G41)</f>
        <v>0.3472</v>
      </c>
      <c r="O41" s="116">
        <f>LowEPS*Calculations!$G41</f>
        <v>4.428</v>
      </c>
      <c r="P41" s="116">
        <f>MedEPS*Calculations!$G41</f>
        <v>9.18</v>
      </c>
      <c r="Q41" s="116">
        <f>HighEPS*Calculations!$G41</f>
        <v>17.472</v>
      </c>
      <c r="R41" s="116">
        <f>VHighEPS*Calculations!$G41</f>
        <v>29.1024</v>
      </c>
      <c r="S41" s="115">
        <f>MAX(1, (Calculations!$H41-Calculations!$K41) / (Calculations!$J41 + Calculations!$L41 + Calculations!$O41))</f>
        <v>3.525678693</v>
      </c>
      <c r="T41" s="115">
        <f>MAX(1, (Calculations!$H41-Calculations!$K41) / (Calculations!$J41 + Calculations!$L41 + Calculations!$P41))</f>
        <v>2.484883625</v>
      </c>
      <c r="U41" s="115">
        <f>MAX(1, (Calculations!$H41-Calculations!$K41) / (Calculations!$J41 + Calculations!$L41 + Calculations!$Q41))</f>
        <v>1.640061229</v>
      </c>
      <c r="V41" s="115">
        <f>MAX(1, (Calculations!$H41-Calculations!$K41) / (Calculations!$J41 + Calculations!$L41 + Calculations!$R41))</f>
        <v>1.110502391</v>
      </c>
      <c r="W41" s="115">
        <f>MAX(1, (Calculations!$H41-Calculations!$K41) / (Calculations!$J41 + Calculations!$M41 + Calculations!$O41))</f>
        <v>3.675659781</v>
      </c>
      <c r="X41" s="115">
        <f>MAX(1, (Calculations!$H41-Calculations!$K41) / (Calculations!$J41 + Calculations!$M41 + Calculations!$P41))</f>
        <v>2.55846083</v>
      </c>
      <c r="Y41" s="115">
        <f>MAX(1, (Calculations!$H41-Calculations!$K41) / (Calculations!$J41 + Calculations!$M41 + Calculations!$Q41))</f>
        <v>1.6717935</v>
      </c>
      <c r="Z41" s="115">
        <f>MAX(1, (Calculations!$H41-Calculations!$K41) / (Calculations!$J41 + Calculations!$N41 + Calculations!$O41))</f>
        <v>3.796795505</v>
      </c>
      <c r="AA41" s="115">
        <f>MAX(1, (Calculations!$H41-Calculations!$K41) / (Calculations!$J41 + Calculations!$N41 + Calculations!$P41))</f>
        <v>2.616568109</v>
      </c>
      <c r="AB41" s="115">
        <f>MAX(1, (Calculations!$H41-Calculations!$K41) / (Calculations!$J41 + Calculations!$N41 + Calculations!$Q41))</f>
        <v>1.696410396</v>
      </c>
      <c r="AC41" s="27"/>
      <c r="AD41" s="27"/>
    </row>
    <row r="42" ht="14.25" customHeight="1">
      <c r="D42" s="27"/>
    </row>
    <row r="43" ht="14.25" customHeight="1">
      <c r="D43" s="27"/>
    </row>
    <row r="44" ht="14.25" customHeight="1">
      <c r="D44" s="27"/>
    </row>
    <row r="45" ht="14.25" customHeight="1">
      <c r="D45" s="27"/>
    </row>
    <row r="46" ht="14.25" customHeight="1">
      <c r="D46" s="27"/>
    </row>
    <row r="47" ht="14.25" customHeight="1">
      <c r="D47" s="27"/>
    </row>
    <row r="48" ht="14.25" customHeight="1">
      <c r="D48" s="27"/>
    </row>
    <row r="49" ht="14.25" customHeight="1">
      <c r="D49" s="27"/>
    </row>
    <row r="50" ht="14.25" customHeight="1">
      <c r="D50" s="27"/>
    </row>
    <row r="51" ht="14.25" customHeight="1">
      <c r="D51" s="27"/>
    </row>
    <row r="52" ht="14.25" customHeight="1">
      <c r="D52" s="27"/>
    </row>
    <row r="53" ht="14.25" customHeight="1">
      <c r="D53" s="27"/>
    </row>
    <row r="54" ht="14.25" customHeight="1">
      <c r="D54" s="27"/>
    </row>
    <row r="55" ht="14.25" customHeight="1">
      <c r="D55" s="27"/>
    </row>
    <row r="56" ht="14.25" customHeight="1">
      <c r="D56" s="27"/>
    </row>
    <row r="57" ht="14.25" customHeight="1">
      <c r="D57" s="27"/>
    </row>
    <row r="58" ht="14.25" customHeight="1">
      <c r="D58" s="27"/>
    </row>
    <row r="59" ht="14.25" customHeight="1">
      <c r="D59" s="27"/>
    </row>
    <row r="60" ht="14.25" customHeight="1">
      <c r="D60" s="27"/>
    </row>
    <row r="61" ht="14.25" customHeight="1">
      <c r="D61" s="27"/>
    </row>
    <row r="62" ht="14.25" customHeight="1">
      <c r="D62" s="27"/>
    </row>
    <row r="63" ht="14.25" customHeight="1">
      <c r="D63" s="27"/>
    </row>
    <row r="64" ht="14.25" customHeight="1">
      <c r="D64" s="27"/>
    </row>
    <row r="65" ht="14.25" customHeight="1">
      <c r="D65" s="27"/>
    </row>
    <row r="66" ht="14.25" customHeight="1">
      <c r="D66" s="27"/>
    </row>
    <row r="67" ht="14.25" customHeight="1">
      <c r="D67" s="27"/>
    </row>
    <row r="68" ht="14.25" customHeight="1">
      <c r="D68" s="27"/>
    </row>
    <row r="69" ht="14.25" customHeight="1">
      <c r="D69" s="27"/>
    </row>
    <row r="70" ht="14.25" customHeight="1">
      <c r="D70" s="27"/>
    </row>
    <row r="71" ht="14.25" customHeight="1">
      <c r="D71" s="27"/>
    </row>
    <row r="72" ht="14.25" customHeight="1">
      <c r="D72" s="27"/>
    </row>
    <row r="73" ht="14.25" customHeight="1">
      <c r="D73" s="27"/>
    </row>
    <row r="74" ht="14.25" customHeight="1">
      <c r="D74" s="27"/>
    </row>
    <row r="75" ht="14.25" customHeight="1">
      <c r="D75" s="27"/>
    </row>
    <row r="76" ht="14.25" customHeight="1">
      <c r="D76" s="27"/>
    </row>
    <row r="77" ht="14.25" customHeight="1">
      <c r="D77" s="27"/>
    </row>
    <row r="78" ht="14.25" customHeight="1">
      <c r="D78" s="27"/>
    </row>
    <row r="79" ht="14.25" customHeight="1">
      <c r="D79" s="27"/>
    </row>
    <row r="80" ht="14.25" customHeight="1">
      <c r="D80" s="27"/>
    </row>
    <row r="81" ht="14.25" customHeight="1">
      <c r="D81" s="27"/>
    </row>
    <row r="82" ht="14.25" customHeight="1">
      <c r="D82" s="27"/>
    </row>
    <row r="83" ht="14.25" customHeight="1">
      <c r="D83" s="27"/>
    </row>
    <row r="84" ht="14.25" customHeight="1">
      <c r="D84" s="27"/>
    </row>
    <row r="85" ht="14.25" customHeight="1">
      <c r="D85" s="27"/>
    </row>
    <row r="86" ht="14.25" customHeight="1">
      <c r="D86" s="27"/>
    </row>
    <row r="87" ht="14.25" customHeight="1">
      <c r="D87" s="27"/>
    </row>
    <row r="88" ht="14.25" customHeight="1">
      <c r="D88" s="27"/>
    </row>
    <row r="89" ht="14.25" customHeight="1">
      <c r="D89" s="27"/>
    </row>
    <row r="90" ht="14.25" customHeight="1">
      <c r="D90" s="27"/>
    </row>
    <row r="91" ht="14.25" customHeight="1">
      <c r="D91" s="27"/>
    </row>
    <row r="92" ht="14.25" customHeight="1">
      <c r="D92" s="27"/>
    </row>
    <row r="93" ht="14.25" customHeight="1">
      <c r="D93" s="27"/>
    </row>
    <row r="94" ht="14.25" customHeight="1">
      <c r="D94" s="27"/>
    </row>
    <row r="95" ht="14.25" customHeight="1">
      <c r="D95" s="27"/>
    </row>
    <row r="96" ht="14.25" customHeight="1">
      <c r="D96" s="27"/>
    </row>
    <row r="97" ht="14.25" customHeight="1">
      <c r="D97" s="27"/>
    </row>
    <row r="98" ht="14.25" customHeight="1">
      <c r="D98" s="27"/>
    </row>
    <row r="99" ht="14.25" customHeight="1">
      <c r="D99" s="27"/>
    </row>
    <row r="100" ht="14.25" customHeight="1">
      <c r="D100" s="27"/>
    </row>
    <row r="101" ht="14.25" customHeight="1">
      <c r="D101" s="27"/>
    </row>
    <row r="102" ht="14.25" customHeight="1">
      <c r="D102" s="27"/>
    </row>
    <row r="103" ht="14.25" customHeight="1">
      <c r="D103" s="27"/>
    </row>
    <row r="104" ht="14.25" customHeight="1">
      <c r="D104" s="27"/>
    </row>
    <row r="105" ht="14.25" customHeight="1">
      <c r="D105" s="27"/>
    </row>
    <row r="106" ht="14.25" customHeight="1">
      <c r="D106" s="27"/>
    </row>
    <row r="107" ht="14.25" customHeight="1">
      <c r="D107" s="27"/>
    </row>
    <row r="108" ht="14.25" customHeight="1">
      <c r="D108" s="27"/>
    </row>
    <row r="109" ht="14.25" customHeight="1">
      <c r="D109" s="27"/>
    </row>
    <row r="110" ht="14.25" customHeight="1">
      <c r="D110" s="27"/>
    </row>
    <row r="111" ht="14.25" customHeight="1">
      <c r="D111" s="27"/>
    </row>
    <row r="112" ht="14.25" customHeight="1">
      <c r="D112" s="27"/>
    </row>
    <row r="113" ht="14.25" customHeight="1">
      <c r="D113" s="27"/>
    </row>
    <row r="114" ht="14.25" customHeight="1">
      <c r="D114" s="27"/>
    </row>
    <row r="115" ht="14.25" customHeight="1">
      <c r="D115" s="27"/>
    </row>
    <row r="116" ht="14.25" customHeight="1">
      <c r="D116" s="27"/>
    </row>
    <row r="117" ht="14.25" customHeight="1">
      <c r="D117" s="27"/>
    </row>
    <row r="118" ht="14.25" customHeight="1">
      <c r="D118" s="27"/>
    </row>
    <row r="119" ht="14.25" customHeight="1">
      <c r="D119" s="27"/>
    </row>
    <row r="120" ht="14.25" customHeight="1">
      <c r="D120" s="27"/>
    </row>
    <row r="121" ht="14.25" customHeight="1">
      <c r="D121" s="27"/>
    </row>
    <row r="122" ht="14.25" customHeight="1">
      <c r="D122" s="27"/>
    </row>
    <row r="123" ht="14.25" customHeight="1">
      <c r="D123" s="27"/>
    </row>
    <row r="124" ht="14.25" customHeight="1">
      <c r="D124" s="27"/>
    </row>
    <row r="125" ht="14.25" customHeight="1">
      <c r="D125" s="27"/>
    </row>
    <row r="126" ht="14.25" customHeight="1">
      <c r="D126" s="27"/>
    </row>
    <row r="127" ht="14.25" customHeight="1">
      <c r="D127" s="27"/>
    </row>
    <row r="128" ht="14.25" customHeight="1">
      <c r="D128" s="27"/>
    </row>
    <row r="129" ht="14.25" customHeight="1">
      <c r="D129" s="27"/>
    </row>
    <row r="130" ht="14.25" customHeight="1">
      <c r="D130" s="27"/>
    </row>
    <row r="131" ht="14.25" customHeight="1">
      <c r="D131" s="27"/>
    </row>
    <row r="132" ht="14.25" customHeight="1">
      <c r="D132" s="27"/>
    </row>
    <row r="133" ht="14.25" customHeight="1">
      <c r="D133" s="27"/>
    </row>
    <row r="134" ht="14.25" customHeight="1">
      <c r="D134" s="27"/>
    </row>
    <row r="135" ht="14.25" customHeight="1">
      <c r="D135" s="27"/>
    </row>
    <row r="136" ht="14.25" customHeight="1">
      <c r="D136" s="27"/>
    </row>
    <row r="137" ht="14.25" customHeight="1">
      <c r="D137" s="27"/>
    </row>
    <row r="138" ht="14.25" customHeight="1">
      <c r="D138" s="27"/>
    </row>
    <row r="139" ht="14.25" customHeight="1">
      <c r="D139" s="27"/>
    </row>
    <row r="140" ht="14.25" customHeight="1">
      <c r="D140" s="27"/>
    </row>
    <row r="141" ht="14.25" customHeight="1">
      <c r="D141" s="27"/>
    </row>
    <row r="142" ht="14.25" customHeight="1">
      <c r="D142" s="27"/>
    </row>
    <row r="143" ht="14.25" customHeight="1">
      <c r="D143" s="27"/>
    </row>
    <row r="144" ht="14.25" customHeight="1">
      <c r="D144" s="27"/>
    </row>
    <row r="145" ht="14.25" customHeight="1">
      <c r="D145" s="27"/>
    </row>
    <row r="146" ht="14.25" customHeight="1">
      <c r="D146" s="27"/>
    </row>
    <row r="147" ht="14.25" customHeight="1">
      <c r="D147" s="27"/>
    </row>
    <row r="148" ht="14.25" customHeight="1">
      <c r="D148" s="27"/>
    </row>
    <row r="149" ht="14.25" customHeight="1">
      <c r="D149" s="27"/>
    </row>
    <row r="150" ht="14.25" customHeight="1">
      <c r="D150" s="27"/>
    </row>
    <row r="151" ht="14.25" customHeight="1">
      <c r="D151" s="27"/>
    </row>
    <row r="152" ht="14.25" customHeight="1">
      <c r="D152" s="27"/>
    </row>
    <row r="153" ht="14.25" customHeight="1">
      <c r="D153" s="27"/>
    </row>
    <row r="154" ht="14.25" customHeight="1">
      <c r="D154" s="27"/>
    </row>
    <row r="155" ht="14.25" customHeight="1">
      <c r="D155" s="27"/>
    </row>
    <row r="156" ht="14.25" customHeight="1">
      <c r="D156" s="27"/>
    </row>
    <row r="157" ht="14.25" customHeight="1">
      <c r="D157" s="27"/>
    </row>
    <row r="158" ht="14.25" customHeight="1">
      <c r="D158" s="27"/>
    </row>
    <row r="159" ht="14.25" customHeight="1">
      <c r="D159" s="27"/>
    </row>
    <row r="160" ht="14.25" customHeight="1">
      <c r="D160" s="27"/>
    </row>
    <row r="161" ht="14.25" customHeight="1">
      <c r="D161" s="27"/>
    </row>
    <row r="162" ht="14.25" customHeight="1">
      <c r="D162" s="27"/>
    </row>
    <row r="163" ht="14.25" customHeight="1">
      <c r="D163" s="27"/>
    </row>
    <row r="164" ht="14.25" customHeight="1">
      <c r="D164" s="27"/>
    </row>
    <row r="165" ht="14.25" customHeight="1">
      <c r="D165" s="27"/>
    </row>
    <row r="166" ht="14.25" customHeight="1">
      <c r="D166" s="27"/>
    </row>
    <row r="167" ht="14.25" customHeight="1">
      <c r="D167" s="27"/>
    </row>
    <row r="168" ht="14.25" customHeight="1">
      <c r="D168" s="27"/>
    </row>
    <row r="169" ht="14.25" customHeight="1">
      <c r="D169" s="27"/>
    </row>
    <row r="170" ht="14.25" customHeight="1">
      <c r="D170" s="27"/>
    </row>
    <row r="171" ht="14.25" customHeight="1">
      <c r="D171" s="27"/>
    </row>
    <row r="172" ht="14.25" customHeight="1">
      <c r="D172" s="27"/>
    </row>
    <row r="173" ht="14.25" customHeight="1">
      <c r="D173" s="27"/>
    </row>
    <row r="174" ht="14.25" customHeight="1">
      <c r="D174" s="27"/>
    </row>
    <row r="175" ht="14.25" customHeight="1">
      <c r="D175" s="27"/>
    </row>
    <row r="176" ht="14.25" customHeight="1">
      <c r="D176" s="27"/>
    </row>
    <row r="177" ht="14.25" customHeight="1">
      <c r="D177" s="27"/>
    </row>
    <row r="178" ht="14.25" customHeight="1">
      <c r="D178" s="27"/>
    </row>
    <row r="179" ht="14.25" customHeight="1">
      <c r="D179" s="27"/>
    </row>
    <row r="180" ht="14.25" customHeight="1">
      <c r="D180" s="27"/>
    </row>
    <row r="181" ht="14.25" customHeight="1">
      <c r="D181" s="27"/>
    </row>
    <row r="182" ht="14.25" customHeight="1">
      <c r="D182" s="27"/>
    </row>
    <row r="183" ht="14.25" customHeight="1">
      <c r="D183" s="27"/>
    </row>
    <row r="184" ht="14.25" customHeight="1">
      <c r="D184" s="27"/>
    </row>
    <row r="185" ht="14.25" customHeight="1">
      <c r="D185" s="27"/>
    </row>
    <row r="186" ht="14.25" customHeight="1">
      <c r="D186" s="27"/>
    </row>
    <row r="187" ht="14.25" customHeight="1">
      <c r="D187" s="27"/>
    </row>
    <row r="188" ht="14.25" customHeight="1">
      <c r="D188" s="27"/>
    </row>
    <row r="189" ht="14.25" customHeight="1">
      <c r="D189" s="27"/>
    </row>
    <row r="190" ht="14.25" customHeight="1">
      <c r="D190" s="27"/>
    </row>
    <row r="191" ht="14.25" customHeight="1">
      <c r="D191" s="27"/>
    </row>
    <row r="192" ht="14.25" customHeight="1">
      <c r="D192" s="27"/>
    </row>
    <row r="193" ht="14.25" customHeight="1">
      <c r="D193" s="27"/>
    </row>
    <row r="194" ht="14.25" customHeight="1">
      <c r="D194" s="27"/>
    </row>
    <row r="195" ht="14.25" customHeight="1">
      <c r="D195" s="27"/>
    </row>
    <row r="196" ht="14.25" customHeight="1">
      <c r="D196" s="27"/>
    </row>
    <row r="197" ht="14.25" customHeight="1">
      <c r="D197" s="27"/>
    </row>
    <row r="198" ht="14.25" customHeight="1">
      <c r="D198" s="27"/>
    </row>
    <row r="199" ht="14.25" customHeight="1">
      <c r="D199" s="27"/>
    </row>
    <row r="200" ht="14.25" customHeight="1">
      <c r="D200" s="27"/>
    </row>
    <row r="201" ht="14.25" customHeight="1">
      <c r="D201" s="27"/>
    </row>
    <row r="202" ht="14.25" customHeight="1">
      <c r="D202" s="27"/>
    </row>
    <row r="203" ht="14.25" customHeight="1">
      <c r="D203" s="27"/>
    </row>
    <row r="204" ht="14.25" customHeight="1">
      <c r="D204" s="27"/>
    </row>
    <row r="205" ht="14.25" customHeight="1">
      <c r="D205" s="27"/>
    </row>
    <row r="206" ht="14.25" customHeight="1">
      <c r="D206" s="27"/>
    </row>
    <row r="207" ht="14.25" customHeight="1">
      <c r="D207" s="27"/>
    </row>
    <row r="208" ht="14.25" customHeight="1">
      <c r="D208" s="27"/>
    </row>
    <row r="209" ht="14.25" customHeight="1">
      <c r="D209" s="27"/>
    </row>
    <row r="210" ht="14.25" customHeight="1">
      <c r="D210" s="27"/>
    </row>
    <row r="211" ht="14.25" customHeight="1">
      <c r="D211" s="27"/>
    </row>
    <row r="212" ht="14.25" customHeight="1">
      <c r="D212" s="27"/>
    </row>
    <row r="213" ht="14.25" customHeight="1">
      <c r="D213" s="27"/>
    </row>
    <row r="214" ht="14.25" customHeight="1">
      <c r="D214" s="27"/>
    </row>
    <row r="215" ht="14.25" customHeight="1">
      <c r="D215" s="27"/>
    </row>
    <row r="216" ht="14.25" customHeight="1">
      <c r="D216" s="27"/>
    </row>
    <row r="217" ht="14.25" customHeight="1">
      <c r="D217" s="27"/>
    </row>
    <row r="218" ht="14.25" customHeight="1">
      <c r="D218" s="27"/>
    </row>
    <row r="219" ht="14.25" customHeight="1">
      <c r="D219" s="27"/>
    </row>
    <row r="220" ht="14.25" customHeight="1">
      <c r="D220" s="27"/>
    </row>
    <row r="221" ht="14.25" customHeight="1">
      <c r="D221" s="27"/>
    </row>
    <row r="222" ht="14.25" customHeight="1">
      <c r="D222" s="27"/>
    </row>
    <row r="223" ht="14.25" customHeight="1">
      <c r="D223" s="27"/>
    </row>
    <row r="224" ht="14.25" customHeight="1">
      <c r="D224" s="27"/>
    </row>
    <row r="225" ht="14.25" customHeight="1">
      <c r="D225" s="27"/>
    </row>
    <row r="226" ht="14.25" customHeight="1">
      <c r="D226" s="27"/>
    </row>
    <row r="227" ht="14.25" customHeight="1">
      <c r="D227" s="27"/>
    </row>
    <row r="228" ht="14.25" customHeight="1">
      <c r="D228" s="27"/>
    </row>
    <row r="229" ht="14.25" customHeight="1">
      <c r="D229" s="27"/>
    </row>
    <row r="230" ht="14.25" customHeight="1">
      <c r="D230" s="27"/>
    </row>
    <row r="231" ht="14.25" customHeight="1">
      <c r="D231" s="27"/>
    </row>
    <row r="232" ht="14.25" customHeight="1">
      <c r="D232" s="27"/>
    </row>
    <row r="233" ht="14.25" customHeight="1">
      <c r="D233" s="27"/>
    </row>
    <row r="234" ht="14.25" customHeight="1">
      <c r="D234" s="27"/>
    </row>
    <row r="235" ht="14.25" customHeight="1">
      <c r="D235" s="27"/>
    </row>
    <row r="236" ht="14.25" customHeight="1">
      <c r="D236" s="27"/>
    </row>
    <row r="237" ht="14.25" customHeight="1">
      <c r="D237" s="27"/>
    </row>
    <row r="238" ht="14.25" customHeight="1">
      <c r="D238" s="27"/>
    </row>
    <row r="239" ht="14.25" customHeight="1">
      <c r="D239" s="27"/>
    </row>
    <row r="240" ht="14.25" customHeight="1">
      <c r="D240" s="27"/>
    </row>
    <row r="241" ht="14.25" customHeight="1">
      <c r="D241" s="27"/>
    </row>
    <row r="242" ht="14.25" customHeight="1">
      <c r="D242" s="27"/>
    </row>
    <row r="243" ht="14.25" customHeight="1">
      <c r="D243" s="27"/>
    </row>
    <row r="244" ht="14.25" customHeight="1">
      <c r="D244" s="27"/>
    </row>
    <row r="245" ht="14.25" customHeight="1">
      <c r="D245" s="27"/>
    </row>
    <row r="246" ht="14.25" customHeight="1">
      <c r="D246" s="27"/>
    </row>
    <row r="247" ht="14.25" customHeight="1">
      <c r="D247" s="27"/>
    </row>
    <row r="248" ht="14.25" customHeight="1">
      <c r="D248" s="27"/>
    </row>
    <row r="249" ht="14.25" customHeight="1">
      <c r="D249" s="27"/>
    </row>
    <row r="250" ht="14.25" customHeight="1">
      <c r="D250" s="27"/>
    </row>
    <row r="251" ht="14.25" customHeight="1">
      <c r="D251" s="27"/>
    </row>
    <row r="252" ht="14.25" customHeight="1">
      <c r="D252" s="27"/>
    </row>
    <row r="253" ht="14.25" customHeight="1">
      <c r="D253" s="27"/>
    </row>
    <row r="254" ht="14.25" customHeight="1">
      <c r="D254" s="27"/>
    </row>
    <row r="255" ht="14.25" customHeight="1">
      <c r="D255" s="27"/>
    </row>
    <row r="256" ht="14.25" customHeight="1">
      <c r="D256" s="27"/>
    </row>
    <row r="257" ht="14.25" customHeight="1">
      <c r="D257" s="27"/>
    </row>
    <row r="258" ht="14.25" customHeight="1">
      <c r="D258" s="27"/>
    </row>
    <row r="259" ht="14.25" customHeight="1">
      <c r="D259" s="27"/>
    </row>
    <row r="260" ht="14.25" customHeight="1">
      <c r="D260" s="27"/>
    </row>
    <row r="261" ht="14.25" customHeight="1">
      <c r="D261" s="27"/>
    </row>
    <row r="262" ht="14.25" customHeight="1">
      <c r="D262" s="27"/>
    </row>
    <row r="263" ht="14.25" customHeight="1">
      <c r="D263" s="27"/>
    </row>
    <row r="264" ht="14.25" customHeight="1">
      <c r="D264" s="27"/>
    </row>
    <row r="265" ht="14.25" customHeight="1">
      <c r="D265" s="27"/>
    </row>
    <row r="266" ht="14.25" customHeight="1">
      <c r="D266" s="27"/>
    </row>
    <row r="267" ht="14.25" customHeight="1">
      <c r="D267" s="27"/>
    </row>
    <row r="268" ht="14.25" customHeight="1">
      <c r="D268" s="27"/>
    </row>
    <row r="269" ht="14.25" customHeight="1">
      <c r="D269" s="27"/>
    </row>
    <row r="270" ht="14.25" customHeight="1">
      <c r="D270" s="27"/>
    </row>
    <row r="271" ht="14.25" customHeight="1">
      <c r="D271" s="27"/>
    </row>
    <row r="272" ht="14.25" customHeight="1">
      <c r="D272" s="27"/>
    </row>
    <row r="273" ht="14.25" customHeight="1">
      <c r="D273" s="27"/>
    </row>
    <row r="274" ht="14.25" customHeight="1">
      <c r="D274" s="27"/>
    </row>
    <row r="275" ht="14.25" customHeight="1">
      <c r="D275" s="27"/>
    </row>
    <row r="276" ht="14.25" customHeight="1">
      <c r="D276" s="27"/>
    </row>
    <row r="277" ht="14.25" customHeight="1">
      <c r="D277" s="27"/>
    </row>
    <row r="278" ht="14.25" customHeight="1">
      <c r="D278" s="27"/>
    </row>
    <row r="279" ht="14.25" customHeight="1">
      <c r="D279" s="27"/>
    </row>
    <row r="280" ht="14.25" customHeight="1">
      <c r="D280" s="27"/>
    </row>
    <row r="281" ht="14.25" customHeight="1">
      <c r="D281" s="27"/>
    </row>
    <row r="282" ht="14.25" customHeight="1">
      <c r="D282" s="27"/>
    </row>
    <row r="283" ht="14.25" customHeight="1">
      <c r="D283" s="27"/>
    </row>
    <row r="284" ht="14.25" customHeight="1">
      <c r="D284" s="27"/>
    </row>
    <row r="285" ht="14.25" customHeight="1">
      <c r="D285" s="27"/>
    </row>
    <row r="286" ht="14.25" customHeight="1">
      <c r="D286" s="27"/>
    </row>
    <row r="287" ht="14.25" customHeight="1">
      <c r="D287" s="27"/>
    </row>
    <row r="288" ht="14.25" customHeight="1">
      <c r="D288" s="27"/>
    </row>
    <row r="289" ht="14.25" customHeight="1">
      <c r="D289" s="27"/>
    </row>
    <row r="290" ht="14.25" customHeight="1">
      <c r="D290" s="27"/>
    </row>
    <row r="291" ht="14.25" customHeight="1">
      <c r="D291" s="27"/>
    </row>
    <row r="292" ht="14.25" customHeight="1">
      <c r="D292" s="27"/>
    </row>
    <row r="293" ht="14.25" customHeight="1">
      <c r="D293" s="27"/>
    </row>
    <row r="294" ht="14.25" customHeight="1">
      <c r="D294" s="27"/>
    </row>
    <row r="295" ht="14.25" customHeight="1">
      <c r="D295" s="27"/>
    </row>
    <row r="296" ht="14.25" customHeight="1">
      <c r="D296" s="27"/>
    </row>
    <row r="297" ht="14.25" customHeight="1">
      <c r="D297" s="27"/>
    </row>
    <row r="298" ht="14.25" customHeight="1">
      <c r="D298" s="27"/>
    </row>
    <row r="299" ht="14.25" customHeight="1">
      <c r="D299" s="27"/>
    </row>
    <row r="300" ht="14.25" customHeight="1">
      <c r="D300" s="27"/>
    </row>
    <row r="301" ht="14.25" customHeight="1">
      <c r="D301" s="27"/>
    </row>
    <row r="302" ht="14.25" customHeight="1">
      <c r="D302" s="27"/>
    </row>
    <row r="303" ht="14.25" customHeight="1">
      <c r="D303" s="27"/>
    </row>
    <row r="304" ht="14.25" customHeight="1">
      <c r="D304" s="27"/>
    </row>
    <row r="305" ht="14.25" customHeight="1">
      <c r="D305" s="27"/>
    </row>
    <row r="306" ht="14.25" customHeight="1">
      <c r="D306" s="27"/>
    </row>
    <row r="307" ht="14.25" customHeight="1">
      <c r="D307" s="27"/>
    </row>
    <row r="308" ht="14.25" customHeight="1">
      <c r="D308" s="27"/>
    </row>
    <row r="309" ht="14.25" customHeight="1">
      <c r="D309" s="27"/>
    </row>
    <row r="310" ht="14.25" customHeight="1">
      <c r="D310" s="27"/>
    </row>
    <row r="311" ht="14.25" customHeight="1">
      <c r="D311" s="27"/>
    </row>
    <row r="312" ht="14.25" customHeight="1">
      <c r="D312" s="27"/>
    </row>
    <row r="313" ht="14.25" customHeight="1">
      <c r="D313" s="27"/>
    </row>
    <row r="314" ht="14.25" customHeight="1">
      <c r="D314" s="27"/>
    </row>
    <row r="315" ht="14.25" customHeight="1">
      <c r="D315" s="27"/>
    </row>
    <row r="316" ht="14.25" customHeight="1">
      <c r="D316" s="27"/>
    </row>
    <row r="317" ht="14.25" customHeight="1">
      <c r="D317" s="27"/>
    </row>
    <row r="318" ht="14.25" customHeight="1">
      <c r="D318" s="27"/>
    </row>
    <row r="319" ht="14.25" customHeight="1">
      <c r="D319" s="27"/>
    </row>
    <row r="320" ht="14.25" customHeight="1">
      <c r="D320" s="27"/>
    </row>
    <row r="321" ht="14.25" customHeight="1">
      <c r="D321" s="27"/>
    </row>
    <row r="322" ht="14.25" customHeight="1">
      <c r="D322" s="27"/>
    </row>
    <row r="323" ht="14.25" customHeight="1">
      <c r="D323" s="27"/>
    </row>
    <row r="324" ht="14.25" customHeight="1">
      <c r="D324" s="27"/>
    </row>
    <row r="325" ht="14.25" customHeight="1">
      <c r="D325" s="27"/>
    </row>
    <row r="326" ht="14.25" customHeight="1">
      <c r="D326" s="27"/>
    </row>
    <row r="327" ht="14.25" customHeight="1">
      <c r="D327" s="27"/>
    </row>
    <row r="328" ht="14.25" customHeight="1">
      <c r="D328" s="27"/>
    </row>
    <row r="329" ht="14.25" customHeight="1">
      <c r="D329" s="27"/>
    </row>
    <row r="330" ht="14.25" customHeight="1">
      <c r="D330" s="27"/>
    </row>
    <row r="331" ht="14.25" customHeight="1">
      <c r="D331" s="27"/>
    </row>
    <row r="332" ht="14.25" customHeight="1">
      <c r="D332" s="27"/>
    </row>
    <row r="333" ht="14.25" customHeight="1">
      <c r="D333" s="27"/>
    </row>
    <row r="334" ht="14.25" customHeight="1">
      <c r="D334" s="27"/>
    </row>
    <row r="335" ht="14.25" customHeight="1">
      <c r="D335" s="27"/>
    </row>
    <row r="336" ht="14.25" customHeight="1">
      <c r="D336" s="27"/>
    </row>
    <row r="337" ht="14.25" customHeight="1">
      <c r="D337" s="27"/>
    </row>
    <row r="338" ht="14.25" customHeight="1">
      <c r="D338" s="27"/>
    </row>
    <row r="339" ht="14.25" customHeight="1">
      <c r="D339" s="27"/>
    </row>
    <row r="340" ht="14.25" customHeight="1">
      <c r="D340" s="27"/>
    </row>
    <row r="341" ht="14.25" customHeight="1">
      <c r="D341" s="27"/>
    </row>
    <row r="342" ht="14.25" customHeight="1">
      <c r="D342" s="27"/>
    </row>
    <row r="343" ht="14.25" customHeight="1">
      <c r="D343" s="27"/>
    </row>
    <row r="344" ht="14.25" customHeight="1">
      <c r="D344" s="27"/>
    </row>
    <row r="345" ht="14.25" customHeight="1">
      <c r="D345" s="27"/>
    </row>
    <row r="346" ht="14.25" customHeight="1">
      <c r="D346" s="27"/>
    </row>
    <row r="347" ht="14.25" customHeight="1">
      <c r="D347" s="27"/>
    </row>
    <row r="348" ht="14.25" customHeight="1">
      <c r="D348" s="27"/>
    </row>
    <row r="349" ht="14.25" customHeight="1">
      <c r="D349" s="27"/>
    </row>
    <row r="350" ht="14.25" customHeight="1">
      <c r="D350" s="27"/>
    </row>
    <row r="351" ht="14.25" customHeight="1">
      <c r="D351" s="27"/>
    </row>
    <row r="352" ht="14.25" customHeight="1">
      <c r="D352" s="27"/>
    </row>
    <row r="353" ht="14.25" customHeight="1">
      <c r="D353" s="27"/>
    </row>
    <row r="354" ht="14.25" customHeight="1">
      <c r="D354" s="27"/>
    </row>
    <row r="355" ht="14.25" customHeight="1">
      <c r="D355" s="27"/>
    </row>
    <row r="356" ht="14.25" customHeight="1">
      <c r="D356" s="27"/>
    </row>
    <row r="357" ht="14.25" customHeight="1">
      <c r="D357" s="27"/>
    </row>
    <row r="358" ht="14.25" customHeight="1">
      <c r="D358" s="27"/>
    </row>
    <row r="359" ht="14.25" customHeight="1">
      <c r="D359" s="27"/>
    </row>
    <row r="360" ht="14.25" customHeight="1">
      <c r="D360" s="27"/>
    </row>
    <row r="361" ht="14.25" customHeight="1">
      <c r="D361" s="27"/>
    </row>
    <row r="362" ht="14.25" customHeight="1">
      <c r="D362" s="27"/>
    </row>
    <row r="363" ht="14.25" customHeight="1">
      <c r="D363" s="27"/>
    </row>
    <row r="364" ht="14.25" customHeight="1">
      <c r="D364" s="27"/>
    </row>
    <row r="365" ht="14.25" customHeight="1">
      <c r="D365" s="27"/>
    </row>
    <row r="366" ht="14.25" customHeight="1">
      <c r="D366" s="27"/>
    </row>
    <row r="367" ht="14.25" customHeight="1">
      <c r="D367" s="27"/>
    </row>
    <row r="368" ht="14.25" customHeight="1">
      <c r="D368" s="27"/>
    </row>
    <row r="369" ht="14.25" customHeight="1">
      <c r="D369" s="27"/>
    </row>
    <row r="370" ht="14.25" customHeight="1">
      <c r="D370" s="27"/>
    </row>
    <row r="371" ht="14.25" customHeight="1">
      <c r="D371" s="27"/>
    </row>
    <row r="372" ht="14.25" customHeight="1">
      <c r="D372" s="27"/>
    </row>
    <row r="373" ht="14.25" customHeight="1">
      <c r="D373" s="27"/>
    </row>
    <row r="374" ht="14.25" customHeight="1">
      <c r="D374" s="27"/>
    </row>
    <row r="375" ht="14.25" customHeight="1">
      <c r="D375" s="27"/>
    </row>
    <row r="376" ht="14.25" customHeight="1">
      <c r="D376" s="27"/>
    </row>
    <row r="377" ht="14.25" customHeight="1">
      <c r="D377" s="27"/>
    </row>
    <row r="378" ht="14.25" customHeight="1">
      <c r="D378" s="27"/>
    </row>
    <row r="379" ht="14.25" customHeight="1">
      <c r="D379" s="27"/>
    </row>
    <row r="380" ht="14.25" customHeight="1">
      <c r="D380" s="27"/>
    </row>
    <row r="381" ht="14.25" customHeight="1">
      <c r="D381" s="27"/>
    </row>
    <row r="382" ht="14.25" customHeight="1">
      <c r="D382" s="27"/>
    </row>
    <row r="383" ht="14.25" customHeight="1">
      <c r="D383" s="27"/>
    </row>
    <row r="384" ht="14.25" customHeight="1">
      <c r="D384" s="27"/>
    </row>
    <row r="385" ht="14.25" customHeight="1">
      <c r="D385" s="27"/>
    </row>
    <row r="386" ht="14.25" customHeight="1">
      <c r="D386" s="27"/>
    </row>
    <row r="387" ht="14.25" customHeight="1">
      <c r="D387" s="27"/>
    </row>
    <row r="388" ht="14.25" customHeight="1">
      <c r="D388" s="27"/>
    </row>
    <row r="389" ht="14.25" customHeight="1">
      <c r="D389" s="27"/>
    </row>
    <row r="390" ht="14.25" customHeight="1">
      <c r="D390" s="27"/>
    </row>
    <row r="391" ht="14.25" customHeight="1">
      <c r="D391" s="27"/>
    </row>
    <row r="392" ht="14.25" customHeight="1">
      <c r="D392" s="27"/>
    </row>
    <row r="393" ht="14.25" customHeight="1">
      <c r="D393" s="27"/>
    </row>
    <row r="394" ht="14.25" customHeight="1">
      <c r="D394" s="27"/>
    </row>
    <row r="395" ht="14.25" customHeight="1">
      <c r="D395" s="27"/>
    </row>
    <row r="396" ht="14.25" customHeight="1">
      <c r="D396" s="27"/>
    </row>
    <row r="397" ht="14.25" customHeight="1">
      <c r="D397" s="27"/>
    </row>
    <row r="398" ht="14.25" customHeight="1">
      <c r="D398" s="27"/>
    </row>
    <row r="399" ht="14.25" customHeight="1">
      <c r="D399" s="27"/>
    </row>
    <row r="400" ht="14.25" customHeight="1">
      <c r="D400" s="27"/>
    </row>
    <row r="401" ht="14.25" customHeight="1">
      <c r="D401" s="27"/>
    </row>
    <row r="402" ht="14.25" customHeight="1">
      <c r="D402" s="27"/>
    </row>
    <row r="403" ht="14.25" customHeight="1">
      <c r="D403" s="27"/>
    </row>
    <row r="404" ht="14.25" customHeight="1">
      <c r="D404" s="27"/>
    </row>
    <row r="405" ht="14.25" customHeight="1">
      <c r="D405" s="27"/>
    </row>
    <row r="406" ht="14.25" customHeight="1">
      <c r="D406" s="27"/>
    </row>
    <row r="407" ht="14.25" customHeight="1">
      <c r="D407" s="27"/>
    </row>
    <row r="408" ht="14.25" customHeight="1">
      <c r="D408" s="27"/>
    </row>
    <row r="409" ht="14.25" customHeight="1">
      <c r="D409" s="27"/>
    </row>
    <row r="410" ht="14.25" customHeight="1">
      <c r="D410" s="27"/>
    </row>
    <row r="411" ht="14.25" customHeight="1">
      <c r="D411" s="27"/>
    </row>
    <row r="412" ht="14.25" customHeight="1">
      <c r="D412" s="27"/>
    </row>
    <row r="413" ht="14.25" customHeight="1">
      <c r="D413" s="27"/>
    </row>
    <row r="414" ht="14.25" customHeight="1">
      <c r="D414" s="27"/>
    </row>
    <row r="415" ht="14.25" customHeight="1">
      <c r="D415" s="27"/>
    </row>
    <row r="416" ht="14.25" customHeight="1">
      <c r="D416" s="27"/>
    </row>
    <row r="417" ht="14.25" customHeight="1">
      <c r="D417" s="27"/>
    </row>
    <row r="418" ht="14.25" customHeight="1">
      <c r="D418" s="27"/>
    </row>
    <row r="419" ht="14.25" customHeight="1">
      <c r="D419" s="27"/>
    </row>
    <row r="420" ht="14.25" customHeight="1">
      <c r="D420" s="27"/>
    </row>
    <row r="421" ht="14.25" customHeight="1">
      <c r="D421" s="27"/>
    </row>
    <row r="422" ht="14.25" customHeight="1">
      <c r="D422" s="27"/>
    </row>
    <row r="423" ht="14.25" customHeight="1">
      <c r="D423" s="27"/>
    </row>
    <row r="424" ht="14.25" customHeight="1">
      <c r="D424" s="27"/>
    </row>
    <row r="425" ht="14.25" customHeight="1">
      <c r="D425" s="27"/>
    </row>
    <row r="426" ht="14.25" customHeight="1">
      <c r="D426" s="27"/>
    </row>
    <row r="427" ht="14.25" customHeight="1">
      <c r="D427" s="27"/>
    </row>
    <row r="428" ht="14.25" customHeight="1">
      <c r="D428" s="27"/>
    </row>
    <row r="429" ht="14.25" customHeight="1">
      <c r="D429" s="27"/>
    </row>
    <row r="430" ht="14.25" customHeight="1">
      <c r="D430" s="27"/>
    </row>
    <row r="431" ht="14.25" customHeight="1">
      <c r="D431" s="27"/>
    </row>
    <row r="432" ht="14.25" customHeight="1">
      <c r="D432" s="27"/>
    </row>
    <row r="433" ht="14.25" customHeight="1">
      <c r="D433" s="27"/>
    </row>
    <row r="434" ht="14.25" customHeight="1">
      <c r="D434" s="27"/>
    </row>
    <row r="435" ht="14.25" customHeight="1">
      <c r="D435" s="27"/>
    </row>
    <row r="436" ht="14.25" customHeight="1">
      <c r="D436" s="27"/>
    </row>
    <row r="437" ht="14.25" customHeight="1">
      <c r="D437" s="27"/>
    </row>
    <row r="438" ht="14.25" customHeight="1">
      <c r="D438" s="27"/>
    </row>
    <row r="439" ht="14.25" customHeight="1">
      <c r="D439" s="27"/>
    </row>
    <row r="440" ht="14.25" customHeight="1">
      <c r="D440" s="27"/>
    </row>
    <row r="441" ht="14.25" customHeight="1">
      <c r="D441" s="27"/>
    </row>
    <row r="442" ht="14.25" customHeight="1">
      <c r="D442" s="27"/>
    </row>
    <row r="443" ht="14.25" customHeight="1">
      <c r="D443" s="27"/>
    </row>
    <row r="444" ht="14.25" customHeight="1">
      <c r="D444" s="27"/>
    </row>
    <row r="445" ht="14.25" customHeight="1">
      <c r="D445" s="27"/>
    </row>
    <row r="446" ht="14.25" customHeight="1">
      <c r="D446" s="27"/>
    </row>
    <row r="447" ht="14.25" customHeight="1">
      <c r="D447" s="27"/>
    </row>
    <row r="448" ht="14.25" customHeight="1">
      <c r="D448" s="27"/>
    </row>
    <row r="449" ht="14.25" customHeight="1">
      <c r="D449" s="27"/>
    </row>
    <row r="450" ht="14.25" customHeight="1">
      <c r="D450" s="27"/>
    </row>
    <row r="451" ht="14.25" customHeight="1">
      <c r="D451" s="27"/>
    </row>
    <row r="452" ht="14.25" customHeight="1">
      <c r="D452" s="27"/>
    </row>
    <row r="453" ht="14.25" customHeight="1">
      <c r="D453" s="27"/>
    </row>
    <row r="454" ht="14.25" customHeight="1">
      <c r="D454" s="27"/>
    </row>
    <row r="455" ht="14.25" customHeight="1">
      <c r="D455" s="27"/>
    </row>
    <row r="456" ht="14.25" customHeight="1">
      <c r="D456" s="27"/>
    </row>
    <row r="457" ht="14.25" customHeight="1">
      <c r="D457" s="27"/>
    </row>
    <row r="458" ht="14.25" customHeight="1">
      <c r="D458" s="27"/>
    </row>
    <row r="459" ht="14.25" customHeight="1">
      <c r="D459" s="27"/>
    </row>
    <row r="460" ht="14.25" customHeight="1">
      <c r="D460" s="27"/>
    </row>
    <row r="461" ht="14.25" customHeight="1">
      <c r="D461" s="27"/>
    </row>
    <row r="462" ht="14.25" customHeight="1">
      <c r="D462" s="27"/>
    </row>
    <row r="463" ht="14.25" customHeight="1">
      <c r="D463" s="27"/>
    </row>
    <row r="464" ht="14.25" customHeight="1">
      <c r="D464" s="27"/>
    </row>
    <row r="465" ht="14.25" customHeight="1">
      <c r="D465" s="27"/>
    </row>
    <row r="466" ht="14.25" customHeight="1">
      <c r="D466" s="27"/>
    </row>
    <row r="467" ht="14.25" customHeight="1">
      <c r="D467" s="27"/>
    </row>
    <row r="468" ht="14.25" customHeight="1">
      <c r="D468" s="27"/>
    </row>
    <row r="469" ht="14.25" customHeight="1">
      <c r="D469" s="27"/>
    </row>
    <row r="470" ht="14.25" customHeight="1">
      <c r="D470" s="27"/>
    </row>
    <row r="471" ht="14.25" customHeight="1">
      <c r="D471" s="27"/>
    </row>
    <row r="472" ht="14.25" customHeight="1">
      <c r="D472" s="27"/>
    </row>
    <row r="473" ht="14.25" customHeight="1">
      <c r="D473" s="27"/>
    </row>
    <row r="474" ht="14.25" customHeight="1">
      <c r="D474" s="27"/>
    </row>
    <row r="475" ht="14.25" customHeight="1">
      <c r="D475" s="27"/>
    </row>
    <row r="476" ht="14.25" customHeight="1">
      <c r="D476" s="27"/>
    </row>
    <row r="477" ht="14.25" customHeight="1">
      <c r="D477" s="27"/>
    </row>
    <row r="478" ht="14.25" customHeight="1">
      <c r="D478" s="27"/>
    </row>
    <row r="479" ht="14.25" customHeight="1">
      <c r="D479" s="27"/>
    </row>
    <row r="480" ht="14.25" customHeight="1">
      <c r="D480" s="27"/>
    </row>
    <row r="481" ht="14.25" customHeight="1">
      <c r="D481" s="27"/>
    </row>
    <row r="482" ht="14.25" customHeight="1">
      <c r="D482" s="27"/>
    </row>
    <row r="483" ht="14.25" customHeight="1">
      <c r="D483" s="27"/>
    </row>
    <row r="484" ht="14.25" customHeight="1">
      <c r="D484" s="27"/>
    </row>
    <row r="485" ht="14.25" customHeight="1">
      <c r="D485" s="27"/>
    </row>
    <row r="486" ht="14.25" customHeight="1">
      <c r="D486" s="27"/>
    </row>
    <row r="487" ht="14.25" customHeight="1">
      <c r="D487" s="27"/>
    </row>
    <row r="488" ht="14.25" customHeight="1">
      <c r="D488" s="27"/>
    </row>
    <row r="489" ht="14.25" customHeight="1">
      <c r="D489" s="27"/>
    </row>
    <row r="490" ht="14.25" customHeight="1">
      <c r="D490" s="27"/>
    </row>
    <row r="491" ht="14.25" customHeight="1">
      <c r="D491" s="27"/>
    </row>
    <row r="492" ht="14.25" customHeight="1">
      <c r="D492" s="27"/>
    </row>
    <row r="493" ht="14.25" customHeight="1">
      <c r="D493" s="27"/>
    </row>
    <row r="494" ht="14.25" customHeight="1">
      <c r="D494" s="27"/>
    </row>
    <row r="495" ht="14.25" customHeight="1">
      <c r="D495" s="27"/>
    </row>
    <row r="496" ht="14.25" customHeight="1">
      <c r="D496" s="27"/>
    </row>
    <row r="497" ht="14.25" customHeight="1">
      <c r="D497" s="27"/>
    </row>
    <row r="498" ht="14.25" customHeight="1">
      <c r="D498" s="27"/>
    </row>
    <row r="499" ht="14.25" customHeight="1">
      <c r="D499" s="27"/>
    </row>
    <row r="500" ht="14.25" customHeight="1">
      <c r="D500" s="27"/>
    </row>
    <row r="501" ht="14.25" customHeight="1">
      <c r="D501" s="27"/>
    </row>
    <row r="502" ht="14.25" customHeight="1">
      <c r="D502" s="27"/>
    </row>
    <row r="503" ht="14.25" customHeight="1">
      <c r="D503" s="27"/>
    </row>
    <row r="504" ht="14.25" customHeight="1">
      <c r="D504" s="27"/>
    </row>
    <row r="505" ht="14.25" customHeight="1">
      <c r="D505" s="27"/>
    </row>
    <row r="506" ht="14.25" customHeight="1">
      <c r="D506" s="27"/>
    </row>
    <row r="507" ht="14.25" customHeight="1">
      <c r="D507" s="27"/>
    </row>
    <row r="508" ht="14.25" customHeight="1">
      <c r="D508" s="27"/>
    </row>
    <row r="509" ht="14.25" customHeight="1">
      <c r="D509" s="27"/>
    </row>
    <row r="510" ht="14.25" customHeight="1">
      <c r="D510" s="27"/>
    </row>
    <row r="511" ht="14.25" customHeight="1">
      <c r="D511" s="27"/>
    </row>
    <row r="512" ht="14.25" customHeight="1">
      <c r="D512" s="27"/>
    </row>
    <row r="513" ht="14.25" customHeight="1">
      <c r="D513" s="27"/>
    </row>
    <row r="514" ht="14.25" customHeight="1">
      <c r="D514" s="27"/>
    </row>
    <row r="515" ht="14.25" customHeight="1">
      <c r="D515" s="27"/>
    </row>
    <row r="516" ht="14.25" customHeight="1">
      <c r="D516" s="27"/>
    </row>
    <row r="517" ht="14.25" customHeight="1">
      <c r="D517" s="27"/>
    </row>
    <row r="518" ht="14.25" customHeight="1">
      <c r="D518" s="27"/>
    </row>
    <row r="519" ht="14.25" customHeight="1">
      <c r="D519" s="27"/>
    </row>
    <row r="520" ht="14.25" customHeight="1">
      <c r="D520" s="27"/>
    </row>
    <row r="521" ht="14.25" customHeight="1">
      <c r="D521" s="27"/>
    </row>
    <row r="522" ht="14.25" customHeight="1">
      <c r="D522" s="27"/>
    </row>
    <row r="523" ht="14.25" customHeight="1">
      <c r="D523" s="27"/>
    </row>
    <row r="524" ht="14.25" customHeight="1">
      <c r="D524" s="27"/>
    </row>
    <row r="525" ht="14.25" customHeight="1">
      <c r="D525" s="27"/>
    </row>
    <row r="526" ht="14.25" customHeight="1">
      <c r="D526" s="27"/>
    </row>
    <row r="527" ht="14.25" customHeight="1">
      <c r="D527" s="27"/>
    </row>
    <row r="528" ht="14.25" customHeight="1">
      <c r="D528" s="27"/>
    </row>
    <row r="529" ht="14.25" customHeight="1">
      <c r="D529" s="27"/>
    </row>
    <row r="530" ht="14.25" customHeight="1">
      <c r="D530" s="27"/>
    </row>
    <row r="531" ht="14.25" customHeight="1">
      <c r="D531" s="27"/>
    </row>
    <row r="532" ht="14.25" customHeight="1">
      <c r="D532" s="27"/>
    </row>
    <row r="533" ht="14.25" customHeight="1">
      <c r="D533" s="27"/>
    </row>
    <row r="534" ht="14.25" customHeight="1">
      <c r="D534" s="27"/>
    </row>
    <row r="535" ht="14.25" customHeight="1">
      <c r="D535" s="27"/>
    </row>
    <row r="536" ht="14.25" customHeight="1">
      <c r="D536" s="27"/>
    </row>
    <row r="537" ht="14.25" customHeight="1">
      <c r="D537" s="27"/>
    </row>
    <row r="538" ht="14.25" customHeight="1">
      <c r="D538" s="27"/>
    </row>
    <row r="539" ht="14.25" customHeight="1">
      <c r="D539" s="27"/>
    </row>
    <row r="540" ht="14.25" customHeight="1">
      <c r="D540" s="27"/>
    </row>
    <row r="541" ht="14.25" customHeight="1">
      <c r="D541" s="27"/>
    </row>
    <row r="542" ht="14.25" customHeight="1">
      <c r="D542" s="27"/>
    </row>
    <row r="543" ht="14.25" customHeight="1">
      <c r="D543" s="27"/>
    </row>
    <row r="544" ht="14.25" customHeight="1">
      <c r="D544" s="27"/>
    </row>
    <row r="545" ht="14.25" customHeight="1">
      <c r="D545" s="27"/>
    </row>
    <row r="546" ht="14.25" customHeight="1">
      <c r="D546" s="27"/>
    </row>
    <row r="547" ht="14.25" customHeight="1">
      <c r="D547" s="27"/>
    </row>
    <row r="548" ht="14.25" customHeight="1">
      <c r="D548" s="27"/>
    </row>
    <row r="549" ht="14.25" customHeight="1">
      <c r="D549" s="27"/>
    </row>
    <row r="550" ht="14.25" customHeight="1">
      <c r="D550" s="27"/>
    </row>
    <row r="551" ht="14.25" customHeight="1">
      <c r="D551" s="27"/>
    </row>
    <row r="552" ht="14.25" customHeight="1">
      <c r="D552" s="27"/>
    </row>
    <row r="553" ht="14.25" customHeight="1">
      <c r="D553" s="27"/>
    </row>
    <row r="554" ht="14.25" customHeight="1">
      <c r="D554" s="27"/>
    </row>
    <row r="555" ht="14.25" customHeight="1">
      <c r="D555" s="27"/>
    </row>
    <row r="556" ht="14.25" customHeight="1">
      <c r="D556" s="27"/>
    </row>
    <row r="557" ht="14.25" customHeight="1">
      <c r="D557" s="27"/>
    </row>
    <row r="558" ht="14.25" customHeight="1">
      <c r="D558" s="27"/>
    </row>
    <row r="559" ht="14.25" customHeight="1">
      <c r="D559" s="27"/>
    </row>
    <row r="560" ht="14.25" customHeight="1">
      <c r="D560" s="27"/>
    </row>
    <row r="561" ht="14.25" customHeight="1">
      <c r="D561" s="27"/>
    </row>
    <row r="562" ht="14.25" customHeight="1">
      <c r="D562" s="27"/>
    </row>
    <row r="563" ht="14.25" customHeight="1">
      <c r="D563" s="27"/>
    </row>
    <row r="564" ht="14.25" customHeight="1">
      <c r="D564" s="27"/>
    </row>
    <row r="565" ht="14.25" customHeight="1">
      <c r="D565" s="27"/>
    </row>
    <row r="566" ht="14.25" customHeight="1">
      <c r="D566" s="27"/>
    </row>
    <row r="567" ht="14.25" customHeight="1">
      <c r="D567" s="27"/>
    </row>
    <row r="568" ht="14.25" customHeight="1">
      <c r="D568" s="27"/>
    </row>
    <row r="569" ht="14.25" customHeight="1">
      <c r="D569" s="27"/>
    </row>
    <row r="570" ht="14.25" customHeight="1">
      <c r="D570" s="27"/>
    </row>
    <row r="571" ht="14.25" customHeight="1">
      <c r="D571" s="27"/>
    </row>
    <row r="572" ht="14.25" customHeight="1">
      <c r="D572" s="27"/>
    </row>
    <row r="573" ht="14.25" customHeight="1">
      <c r="D573" s="27"/>
    </row>
    <row r="574" ht="14.25" customHeight="1">
      <c r="D574" s="27"/>
    </row>
    <row r="575" ht="14.25" customHeight="1">
      <c r="D575" s="27"/>
    </row>
    <row r="576" ht="14.25" customHeight="1">
      <c r="D576" s="27"/>
    </row>
    <row r="577" ht="14.25" customHeight="1">
      <c r="D577" s="27"/>
    </row>
    <row r="578" ht="14.25" customHeight="1">
      <c r="D578" s="27"/>
    </row>
    <row r="579" ht="14.25" customHeight="1">
      <c r="D579" s="27"/>
    </row>
    <row r="580" ht="14.25" customHeight="1">
      <c r="D580" s="27"/>
    </row>
    <row r="581" ht="14.25" customHeight="1">
      <c r="D581" s="27"/>
    </row>
    <row r="582" ht="14.25" customHeight="1">
      <c r="D582" s="27"/>
    </row>
    <row r="583" ht="14.25" customHeight="1">
      <c r="D583" s="27"/>
    </row>
    <row r="584" ht="14.25" customHeight="1">
      <c r="D584" s="27"/>
    </row>
    <row r="585" ht="14.25" customHeight="1">
      <c r="D585" s="27"/>
    </row>
    <row r="586" ht="14.25" customHeight="1">
      <c r="D586" s="27"/>
    </row>
    <row r="587" ht="14.25" customHeight="1">
      <c r="D587" s="27"/>
    </row>
    <row r="588" ht="14.25" customHeight="1">
      <c r="D588" s="27"/>
    </row>
    <row r="589" ht="14.25" customHeight="1">
      <c r="D589" s="27"/>
    </row>
    <row r="590" ht="14.25" customHeight="1">
      <c r="D590" s="27"/>
    </row>
    <row r="591" ht="14.25" customHeight="1">
      <c r="D591" s="27"/>
    </row>
    <row r="592" ht="14.25" customHeight="1">
      <c r="D592" s="27"/>
    </row>
    <row r="593" ht="14.25" customHeight="1">
      <c r="D593" s="27"/>
    </row>
    <row r="594" ht="14.25" customHeight="1">
      <c r="D594" s="27"/>
    </row>
    <row r="595" ht="14.25" customHeight="1">
      <c r="D595" s="27"/>
    </row>
    <row r="596" ht="14.25" customHeight="1">
      <c r="D596" s="27"/>
    </row>
    <row r="597" ht="14.25" customHeight="1">
      <c r="D597" s="27"/>
    </row>
    <row r="598" ht="14.25" customHeight="1">
      <c r="D598" s="27"/>
    </row>
    <row r="599" ht="14.25" customHeight="1">
      <c r="D599" s="27"/>
    </row>
    <row r="600" ht="14.25" customHeight="1">
      <c r="D600" s="27"/>
    </row>
    <row r="601" ht="14.25" customHeight="1">
      <c r="D601" s="27"/>
    </row>
    <row r="602" ht="14.25" customHeight="1">
      <c r="D602" s="27"/>
    </row>
    <row r="603" ht="14.25" customHeight="1">
      <c r="D603" s="27"/>
    </row>
    <row r="604" ht="14.25" customHeight="1">
      <c r="D604" s="27"/>
    </row>
    <row r="605" ht="14.25" customHeight="1">
      <c r="D605" s="27"/>
    </row>
    <row r="606" ht="14.25" customHeight="1">
      <c r="D606" s="27"/>
    </row>
    <row r="607" ht="14.25" customHeight="1">
      <c r="D607" s="27"/>
    </row>
    <row r="608" ht="14.25" customHeight="1">
      <c r="D608" s="27"/>
    </row>
    <row r="609" ht="14.25" customHeight="1">
      <c r="D609" s="27"/>
    </row>
    <row r="610" ht="14.25" customHeight="1">
      <c r="D610" s="27"/>
    </row>
    <row r="611" ht="14.25" customHeight="1">
      <c r="D611" s="27"/>
    </row>
    <row r="612" ht="14.25" customHeight="1">
      <c r="D612" s="27"/>
    </row>
    <row r="613" ht="14.25" customHeight="1">
      <c r="D613" s="27"/>
    </row>
    <row r="614" ht="14.25" customHeight="1">
      <c r="D614" s="27"/>
    </row>
    <row r="615" ht="14.25" customHeight="1">
      <c r="D615" s="27"/>
    </row>
    <row r="616" ht="14.25" customHeight="1">
      <c r="D616" s="27"/>
    </row>
    <row r="617" ht="14.25" customHeight="1">
      <c r="D617" s="27"/>
    </row>
    <row r="618" ht="14.25" customHeight="1">
      <c r="D618" s="27"/>
    </row>
    <row r="619" ht="14.25" customHeight="1">
      <c r="D619" s="27"/>
    </row>
    <row r="620" ht="14.25" customHeight="1">
      <c r="D620" s="27"/>
    </row>
    <row r="621" ht="14.25" customHeight="1">
      <c r="D621" s="27"/>
    </row>
    <row r="622" ht="14.25" customHeight="1">
      <c r="D622" s="27"/>
    </row>
    <row r="623" ht="14.25" customHeight="1">
      <c r="D623" s="27"/>
    </row>
    <row r="624" ht="14.25" customHeight="1">
      <c r="D624" s="27"/>
    </row>
    <row r="625" ht="14.25" customHeight="1">
      <c r="D625" s="27"/>
    </row>
    <row r="626" ht="14.25" customHeight="1">
      <c r="D626" s="27"/>
    </row>
    <row r="627" ht="14.25" customHeight="1">
      <c r="D627" s="27"/>
    </row>
    <row r="628" ht="14.25" customHeight="1">
      <c r="D628" s="27"/>
    </row>
    <row r="629" ht="14.25" customHeight="1">
      <c r="D629" s="27"/>
    </row>
    <row r="630" ht="14.25" customHeight="1">
      <c r="D630" s="27"/>
    </row>
    <row r="631" ht="14.25" customHeight="1">
      <c r="D631" s="27"/>
    </row>
    <row r="632" ht="14.25" customHeight="1">
      <c r="D632" s="27"/>
    </row>
    <row r="633" ht="14.25" customHeight="1">
      <c r="D633" s="27"/>
    </row>
    <row r="634" ht="14.25" customHeight="1">
      <c r="D634" s="27"/>
    </row>
    <row r="635" ht="14.25" customHeight="1">
      <c r="D635" s="27"/>
    </row>
    <row r="636" ht="14.25" customHeight="1">
      <c r="D636" s="27"/>
    </row>
    <row r="637" ht="14.25" customHeight="1">
      <c r="D637" s="27"/>
    </row>
    <row r="638" ht="14.25" customHeight="1">
      <c r="D638" s="27"/>
    </row>
    <row r="639" ht="14.25" customHeight="1">
      <c r="D639" s="27"/>
    </row>
    <row r="640" ht="14.25" customHeight="1">
      <c r="D640" s="27"/>
    </row>
    <row r="641" ht="14.25" customHeight="1">
      <c r="D641" s="27"/>
    </row>
    <row r="642" ht="14.25" customHeight="1">
      <c r="D642" s="27"/>
    </row>
    <row r="643" ht="14.25" customHeight="1">
      <c r="D643" s="27"/>
    </row>
    <row r="644" ht="14.25" customHeight="1">
      <c r="D644" s="27"/>
    </row>
    <row r="645" ht="14.25" customHeight="1">
      <c r="D645" s="27"/>
    </row>
    <row r="646" ht="14.25" customHeight="1">
      <c r="D646" s="27"/>
    </row>
    <row r="647" ht="14.25" customHeight="1">
      <c r="D647" s="27"/>
    </row>
    <row r="648" ht="14.25" customHeight="1">
      <c r="D648" s="27"/>
    </row>
    <row r="649" ht="14.25" customHeight="1">
      <c r="D649" s="27"/>
    </row>
    <row r="650" ht="14.25" customHeight="1">
      <c r="D650" s="27"/>
    </row>
    <row r="651" ht="14.25" customHeight="1">
      <c r="D651" s="27"/>
    </row>
    <row r="652" ht="14.25" customHeight="1">
      <c r="D652" s="27"/>
    </row>
    <row r="653" ht="14.25" customHeight="1">
      <c r="D653" s="27"/>
    </row>
    <row r="654" ht="14.25" customHeight="1">
      <c r="D654" s="27"/>
    </row>
    <row r="655" ht="14.25" customHeight="1">
      <c r="D655" s="27"/>
    </row>
    <row r="656" ht="14.25" customHeight="1">
      <c r="D656" s="27"/>
    </row>
    <row r="657" ht="14.25" customHeight="1">
      <c r="D657" s="27"/>
    </row>
    <row r="658" ht="14.25" customHeight="1">
      <c r="D658" s="27"/>
    </row>
    <row r="659" ht="14.25" customHeight="1">
      <c r="D659" s="27"/>
    </row>
    <row r="660" ht="14.25" customHeight="1">
      <c r="D660" s="27"/>
    </row>
    <row r="661" ht="14.25" customHeight="1">
      <c r="D661" s="27"/>
    </row>
    <row r="662" ht="14.25" customHeight="1">
      <c r="D662" s="27"/>
    </row>
    <row r="663" ht="14.25" customHeight="1">
      <c r="D663" s="27"/>
    </row>
    <row r="664" ht="14.25" customHeight="1">
      <c r="D664" s="27"/>
    </row>
    <row r="665" ht="14.25" customHeight="1">
      <c r="D665" s="27"/>
    </row>
    <row r="666" ht="14.25" customHeight="1">
      <c r="D666" s="27"/>
    </row>
    <row r="667" ht="14.25" customHeight="1">
      <c r="D667" s="27"/>
    </row>
    <row r="668" ht="14.25" customHeight="1">
      <c r="D668" s="27"/>
    </row>
    <row r="669" ht="14.25" customHeight="1">
      <c r="D669" s="27"/>
    </row>
    <row r="670" ht="14.25" customHeight="1">
      <c r="D670" s="27"/>
    </row>
    <row r="671" ht="14.25" customHeight="1">
      <c r="D671" s="27"/>
    </row>
    <row r="672" ht="14.25" customHeight="1">
      <c r="D672" s="27"/>
    </row>
    <row r="673" ht="14.25" customHeight="1">
      <c r="D673" s="27"/>
    </row>
    <row r="674" ht="14.25" customHeight="1">
      <c r="D674" s="27"/>
    </row>
    <row r="675" ht="14.25" customHeight="1">
      <c r="D675" s="27"/>
    </row>
    <row r="676" ht="14.25" customHeight="1">
      <c r="D676" s="27"/>
    </row>
    <row r="677" ht="14.25" customHeight="1">
      <c r="D677" s="27"/>
    </row>
    <row r="678" ht="14.25" customHeight="1">
      <c r="D678" s="27"/>
    </row>
    <row r="679" ht="14.25" customHeight="1">
      <c r="D679" s="27"/>
    </row>
    <row r="680" ht="14.25" customHeight="1">
      <c r="D680" s="27"/>
    </row>
    <row r="681" ht="14.25" customHeight="1">
      <c r="D681" s="27"/>
    </row>
    <row r="682" ht="14.25" customHeight="1">
      <c r="D682" s="27"/>
    </row>
    <row r="683" ht="14.25" customHeight="1">
      <c r="D683" s="27"/>
    </row>
    <row r="684" ht="14.25" customHeight="1">
      <c r="D684" s="27"/>
    </row>
    <row r="685" ht="14.25" customHeight="1">
      <c r="D685" s="27"/>
    </row>
    <row r="686" ht="14.25" customHeight="1">
      <c r="D686" s="27"/>
    </row>
    <row r="687" ht="14.25" customHeight="1">
      <c r="D687" s="27"/>
    </row>
    <row r="688" ht="14.25" customHeight="1">
      <c r="D688" s="27"/>
    </row>
    <row r="689" ht="14.25" customHeight="1">
      <c r="D689" s="27"/>
    </row>
    <row r="690" ht="14.25" customHeight="1">
      <c r="D690" s="27"/>
    </row>
    <row r="691" ht="14.25" customHeight="1">
      <c r="D691" s="27"/>
    </row>
    <row r="692" ht="14.25" customHeight="1">
      <c r="D692" s="27"/>
    </row>
    <row r="693" ht="14.25" customHeight="1">
      <c r="D693" s="27"/>
    </row>
    <row r="694" ht="14.25" customHeight="1">
      <c r="D694" s="27"/>
    </row>
    <row r="695" ht="14.25" customHeight="1">
      <c r="D695" s="27"/>
    </row>
    <row r="696" ht="14.25" customHeight="1">
      <c r="D696" s="27"/>
    </row>
    <row r="697" ht="14.25" customHeight="1">
      <c r="D697" s="27"/>
    </row>
    <row r="698" ht="14.25" customHeight="1">
      <c r="D698" s="27"/>
    </row>
    <row r="699" ht="14.25" customHeight="1">
      <c r="D699" s="27"/>
    </row>
    <row r="700" ht="14.25" customHeight="1">
      <c r="D700" s="27"/>
    </row>
    <row r="701" ht="14.25" customHeight="1">
      <c r="D701" s="27"/>
    </row>
    <row r="702" ht="14.25" customHeight="1">
      <c r="D702" s="27"/>
    </row>
    <row r="703" ht="14.25" customHeight="1">
      <c r="D703" s="27"/>
    </row>
    <row r="704" ht="14.25" customHeight="1">
      <c r="D704" s="27"/>
    </row>
    <row r="705" ht="14.25" customHeight="1">
      <c r="D705" s="27"/>
    </row>
    <row r="706" ht="14.25" customHeight="1">
      <c r="D706" s="27"/>
    </row>
    <row r="707" ht="14.25" customHeight="1">
      <c r="D707" s="27"/>
    </row>
    <row r="708" ht="14.25" customHeight="1">
      <c r="D708" s="27"/>
    </row>
    <row r="709" ht="14.25" customHeight="1">
      <c r="D709" s="27"/>
    </row>
    <row r="710" ht="14.25" customHeight="1">
      <c r="D710" s="27"/>
    </row>
    <row r="711" ht="14.25" customHeight="1">
      <c r="D711" s="27"/>
    </row>
    <row r="712" ht="14.25" customHeight="1">
      <c r="D712" s="27"/>
    </row>
    <row r="713" ht="14.25" customHeight="1">
      <c r="D713" s="27"/>
    </row>
    <row r="714" ht="14.25" customHeight="1">
      <c r="D714" s="27"/>
    </row>
    <row r="715" ht="14.25" customHeight="1">
      <c r="D715" s="27"/>
    </row>
    <row r="716" ht="14.25" customHeight="1">
      <c r="D716" s="27"/>
    </row>
    <row r="717" ht="14.25" customHeight="1">
      <c r="D717" s="27"/>
    </row>
    <row r="718" ht="14.25" customHeight="1">
      <c r="D718" s="27"/>
    </row>
    <row r="719" ht="14.25" customHeight="1">
      <c r="D719" s="27"/>
    </row>
    <row r="720" ht="14.25" customHeight="1">
      <c r="D720" s="27"/>
    </row>
    <row r="721" ht="14.25" customHeight="1">
      <c r="D721" s="27"/>
    </row>
    <row r="722" ht="14.25" customHeight="1">
      <c r="D722" s="27"/>
    </row>
    <row r="723" ht="14.25" customHeight="1">
      <c r="D723" s="27"/>
    </row>
    <row r="724" ht="14.25" customHeight="1">
      <c r="D724" s="27"/>
    </row>
    <row r="725" ht="14.25" customHeight="1">
      <c r="D725" s="27"/>
    </row>
    <row r="726" ht="14.25" customHeight="1">
      <c r="D726" s="27"/>
    </row>
    <row r="727" ht="14.25" customHeight="1">
      <c r="D727" s="27"/>
    </row>
    <row r="728" ht="14.25" customHeight="1">
      <c r="D728" s="27"/>
    </row>
    <row r="729" ht="14.25" customHeight="1">
      <c r="D729" s="27"/>
    </row>
    <row r="730" ht="14.25" customHeight="1">
      <c r="D730" s="27"/>
    </row>
    <row r="731" ht="14.25" customHeight="1">
      <c r="D731" s="27"/>
    </row>
    <row r="732" ht="14.25" customHeight="1">
      <c r="D732" s="27"/>
    </row>
    <row r="733" ht="14.25" customHeight="1">
      <c r="D733" s="27"/>
    </row>
    <row r="734" ht="14.25" customHeight="1">
      <c r="D734" s="27"/>
    </row>
    <row r="735" ht="14.25" customHeight="1">
      <c r="D735" s="27"/>
    </row>
    <row r="736" ht="14.25" customHeight="1">
      <c r="D736" s="27"/>
    </row>
    <row r="737" ht="14.25" customHeight="1">
      <c r="D737" s="27"/>
    </row>
    <row r="738" ht="14.25" customHeight="1">
      <c r="D738" s="27"/>
    </row>
    <row r="739" ht="14.25" customHeight="1">
      <c r="D739" s="27"/>
    </row>
    <row r="740" ht="14.25" customHeight="1">
      <c r="D740" s="27"/>
    </row>
    <row r="741" ht="14.25" customHeight="1">
      <c r="D741" s="27"/>
    </row>
    <row r="742" ht="14.25" customHeight="1">
      <c r="D742" s="27"/>
    </row>
    <row r="743" ht="14.25" customHeight="1">
      <c r="D743" s="27"/>
    </row>
    <row r="744" ht="14.25" customHeight="1">
      <c r="D744" s="27"/>
    </row>
    <row r="745" ht="14.25" customHeight="1">
      <c r="D745" s="27"/>
    </row>
    <row r="746" ht="14.25" customHeight="1">
      <c r="D746" s="27"/>
    </row>
    <row r="747" ht="14.25" customHeight="1">
      <c r="D747" s="27"/>
    </row>
    <row r="748" ht="14.25" customHeight="1">
      <c r="D748" s="27"/>
    </row>
    <row r="749" ht="14.25" customHeight="1">
      <c r="D749" s="27"/>
    </row>
    <row r="750" ht="14.25" customHeight="1">
      <c r="D750" s="27"/>
    </row>
    <row r="751" ht="14.25" customHeight="1">
      <c r="D751" s="27"/>
    </row>
    <row r="752" ht="14.25" customHeight="1">
      <c r="D752" s="27"/>
    </row>
    <row r="753" ht="14.25" customHeight="1">
      <c r="D753" s="27"/>
    </row>
    <row r="754" ht="14.25" customHeight="1">
      <c r="D754" s="27"/>
    </row>
    <row r="755" ht="14.25" customHeight="1">
      <c r="D755" s="27"/>
    </row>
    <row r="756" ht="14.25" customHeight="1">
      <c r="D756" s="27"/>
    </row>
    <row r="757" ht="14.25" customHeight="1">
      <c r="D757" s="27"/>
    </row>
    <row r="758" ht="14.25" customHeight="1">
      <c r="D758" s="27"/>
    </row>
    <row r="759" ht="14.25" customHeight="1">
      <c r="D759" s="27"/>
    </row>
    <row r="760" ht="14.25" customHeight="1">
      <c r="D760" s="27"/>
    </row>
    <row r="761" ht="14.25" customHeight="1">
      <c r="D761" s="27"/>
    </row>
    <row r="762" ht="14.25" customHeight="1">
      <c r="D762" s="27"/>
    </row>
    <row r="763" ht="14.25" customHeight="1">
      <c r="D763" s="27"/>
    </row>
    <row r="764" ht="14.25" customHeight="1">
      <c r="D764" s="27"/>
    </row>
    <row r="765" ht="14.25" customHeight="1">
      <c r="D765" s="27"/>
    </row>
    <row r="766" ht="14.25" customHeight="1">
      <c r="D766" s="27"/>
    </row>
    <row r="767" ht="14.25" customHeight="1">
      <c r="D767" s="27"/>
    </row>
    <row r="768" ht="14.25" customHeight="1">
      <c r="D768" s="27"/>
    </row>
    <row r="769" ht="14.25" customHeight="1">
      <c r="D769" s="27"/>
    </row>
    <row r="770" ht="14.25" customHeight="1">
      <c r="D770" s="27"/>
    </row>
    <row r="771" ht="14.25" customHeight="1">
      <c r="D771" s="27"/>
    </row>
    <row r="772" ht="14.25" customHeight="1">
      <c r="D772" s="27"/>
    </row>
    <row r="773" ht="14.25" customHeight="1">
      <c r="D773" s="27"/>
    </row>
    <row r="774" ht="14.25" customHeight="1">
      <c r="D774" s="27"/>
    </row>
    <row r="775" ht="14.25" customHeight="1">
      <c r="D775" s="27"/>
    </row>
    <row r="776" ht="14.25" customHeight="1">
      <c r="D776" s="27"/>
    </row>
    <row r="777" ht="14.25" customHeight="1">
      <c r="D777" s="27"/>
    </row>
    <row r="778" ht="14.25" customHeight="1">
      <c r="D778" s="27"/>
    </row>
    <row r="779" ht="14.25" customHeight="1">
      <c r="D779" s="27"/>
    </row>
    <row r="780" ht="14.25" customHeight="1">
      <c r="D780" s="27"/>
    </row>
    <row r="781" ht="14.25" customHeight="1">
      <c r="D781" s="27"/>
    </row>
    <row r="782" ht="14.25" customHeight="1">
      <c r="D782" s="27"/>
    </row>
    <row r="783" ht="14.25" customHeight="1">
      <c r="D783" s="27"/>
    </row>
    <row r="784" ht="14.25" customHeight="1">
      <c r="D784" s="27"/>
    </row>
    <row r="785" ht="14.25" customHeight="1">
      <c r="D785" s="27"/>
    </row>
    <row r="786" ht="14.25" customHeight="1">
      <c r="D786" s="27"/>
    </row>
    <row r="787" ht="14.25" customHeight="1">
      <c r="D787" s="27"/>
    </row>
    <row r="788" ht="14.25" customHeight="1">
      <c r="D788" s="27"/>
    </row>
    <row r="789" ht="14.25" customHeight="1">
      <c r="D789" s="27"/>
    </row>
    <row r="790" ht="14.25" customHeight="1">
      <c r="D790" s="27"/>
    </row>
    <row r="791" ht="14.25" customHeight="1">
      <c r="D791" s="27"/>
    </row>
    <row r="792" ht="14.25" customHeight="1">
      <c r="D792" s="27"/>
    </row>
    <row r="793" ht="14.25" customHeight="1">
      <c r="D793" s="27"/>
    </row>
    <row r="794" ht="14.25" customHeight="1">
      <c r="D794" s="27"/>
    </row>
    <row r="795" ht="14.25" customHeight="1">
      <c r="D795" s="27"/>
    </row>
    <row r="796" ht="14.25" customHeight="1">
      <c r="D796" s="27"/>
    </row>
    <row r="797" ht="14.25" customHeight="1">
      <c r="D797" s="27"/>
    </row>
    <row r="798" ht="14.25" customHeight="1">
      <c r="D798" s="27"/>
    </row>
    <row r="799" ht="14.25" customHeight="1">
      <c r="D799" s="27"/>
    </row>
    <row r="800" ht="14.25" customHeight="1">
      <c r="D800" s="27"/>
    </row>
    <row r="801" ht="14.25" customHeight="1">
      <c r="D801" s="27"/>
    </row>
    <row r="802" ht="14.25" customHeight="1">
      <c r="D802" s="27"/>
    </row>
    <row r="803" ht="14.25" customHeight="1">
      <c r="D803" s="27"/>
    </row>
    <row r="804" ht="14.25" customHeight="1">
      <c r="D804" s="27"/>
    </row>
    <row r="805" ht="14.25" customHeight="1">
      <c r="D805" s="27"/>
    </row>
    <row r="806" ht="14.25" customHeight="1">
      <c r="D806" s="27"/>
    </row>
    <row r="807" ht="14.25" customHeight="1">
      <c r="D807" s="27"/>
    </row>
    <row r="808" ht="14.25" customHeight="1">
      <c r="D808" s="27"/>
    </row>
    <row r="809" ht="14.25" customHeight="1">
      <c r="D809" s="27"/>
    </row>
    <row r="810" ht="14.25" customHeight="1">
      <c r="D810" s="27"/>
    </row>
    <row r="811" ht="14.25" customHeight="1">
      <c r="D811" s="27"/>
    </row>
    <row r="812" ht="14.25" customHeight="1">
      <c r="D812" s="27"/>
    </row>
    <row r="813" ht="14.25" customHeight="1">
      <c r="D813" s="27"/>
    </row>
    <row r="814" ht="14.25" customHeight="1">
      <c r="D814" s="27"/>
    </row>
    <row r="815" ht="14.25" customHeight="1">
      <c r="D815" s="27"/>
    </row>
    <row r="816" ht="14.25" customHeight="1">
      <c r="D816" s="27"/>
    </row>
    <row r="817" ht="14.25" customHeight="1">
      <c r="D817" s="27"/>
    </row>
    <row r="818" ht="14.25" customHeight="1">
      <c r="D818" s="27"/>
    </row>
    <row r="819" ht="14.25" customHeight="1">
      <c r="D819" s="27"/>
    </row>
    <row r="820" ht="14.25" customHeight="1">
      <c r="D820" s="27"/>
    </row>
    <row r="821" ht="14.25" customHeight="1">
      <c r="D821" s="27"/>
    </row>
    <row r="822" ht="14.25" customHeight="1">
      <c r="D822" s="27"/>
    </row>
    <row r="823" ht="14.25" customHeight="1">
      <c r="D823" s="27"/>
    </row>
    <row r="824" ht="14.25" customHeight="1">
      <c r="D824" s="27"/>
    </row>
    <row r="825" ht="14.25" customHeight="1">
      <c r="D825" s="27"/>
    </row>
    <row r="826" ht="14.25" customHeight="1">
      <c r="D826" s="27"/>
    </row>
    <row r="827" ht="14.25" customHeight="1">
      <c r="D827" s="27"/>
    </row>
    <row r="828" ht="14.25" customHeight="1">
      <c r="D828" s="27"/>
    </row>
    <row r="829" ht="14.25" customHeight="1">
      <c r="D829" s="27"/>
    </row>
    <row r="830" ht="14.25" customHeight="1">
      <c r="D830" s="27"/>
    </row>
    <row r="831" ht="14.25" customHeight="1">
      <c r="D831" s="27"/>
    </row>
    <row r="832" ht="14.25" customHeight="1">
      <c r="D832" s="27"/>
    </row>
    <row r="833" ht="14.25" customHeight="1">
      <c r="D833" s="27"/>
    </row>
    <row r="834" ht="14.25" customHeight="1">
      <c r="D834" s="27"/>
    </row>
    <row r="835" ht="14.25" customHeight="1">
      <c r="D835" s="27"/>
    </row>
    <row r="836" ht="14.25" customHeight="1">
      <c r="D836" s="27"/>
    </row>
    <row r="837" ht="14.25" customHeight="1">
      <c r="D837" s="27"/>
    </row>
    <row r="838" ht="14.25" customHeight="1">
      <c r="D838" s="27"/>
    </row>
    <row r="839" ht="14.25" customHeight="1">
      <c r="D839" s="27"/>
    </row>
    <row r="840" ht="14.25" customHeight="1">
      <c r="D840" s="27"/>
    </row>
    <row r="841" ht="14.25" customHeight="1">
      <c r="D841" s="27"/>
    </row>
    <row r="842" ht="14.25" customHeight="1">
      <c r="D842" s="27"/>
    </row>
    <row r="843" ht="14.25" customHeight="1">
      <c r="D843" s="27"/>
    </row>
    <row r="844" ht="14.25" customHeight="1">
      <c r="D844" s="27"/>
    </row>
    <row r="845" ht="14.25" customHeight="1">
      <c r="D845" s="27"/>
    </row>
    <row r="846" ht="14.25" customHeight="1">
      <c r="D846" s="27"/>
    </row>
    <row r="847" ht="14.25" customHeight="1">
      <c r="D847" s="27"/>
    </row>
    <row r="848" ht="14.25" customHeight="1">
      <c r="D848" s="27"/>
    </row>
    <row r="849" ht="14.25" customHeight="1">
      <c r="D849" s="27"/>
    </row>
    <row r="850" ht="14.25" customHeight="1">
      <c r="D850" s="27"/>
    </row>
    <row r="851" ht="14.25" customHeight="1">
      <c r="D851" s="27"/>
    </row>
    <row r="852" ht="14.25" customHeight="1">
      <c r="D852" s="27"/>
    </row>
    <row r="853" ht="14.25" customHeight="1">
      <c r="D853" s="27"/>
    </row>
    <row r="854" ht="14.25" customHeight="1">
      <c r="D854" s="27"/>
    </row>
    <row r="855" ht="14.25" customHeight="1">
      <c r="D855" s="27"/>
    </row>
    <row r="856" ht="14.25" customHeight="1">
      <c r="D856" s="27"/>
    </row>
    <row r="857" ht="14.25" customHeight="1">
      <c r="D857" s="27"/>
    </row>
    <row r="858" ht="14.25" customHeight="1">
      <c r="D858" s="27"/>
    </row>
    <row r="859" ht="14.25" customHeight="1">
      <c r="D859" s="27"/>
    </row>
    <row r="860" ht="14.25" customHeight="1">
      <c r="D860" s="27"/>
    </row>
    <row r="861" ht="14.25" customHeight="1">
      <c r="D861" s="27"/>
    </row>
    <row r="862" ht="14.25" customHeight="1">
      <c r="D862" s="27"/>
    </row>
    <row r="863" ht="14.25" customHeight="1">
      <c r="D863" s="27"/>
    </row>
    <row r="864" ht="14.25" customHeight="1">
      <c r="D864" s="27"/>
    </row>
    <row r="865" ht="14.25" customHeight="1">
      <c r="D865" s="27"/>
    </row>
    <row r="866" ht="14.25" customHeight="1">
      <c r="D866" s="27"/>
    </row>
    <row r="867" ht="14.25" customHeight="1">
      <c r="D867" s="27"/>
    </row>
    <row r="868" ht="14.25" customHeight="1">
      <c r="D868" s="27"/>
    </row>
    <row r="869" ht="14.25" customHeight="1">
      <c r="D869" s="27"/>
    </row>
    <row r="870" ht="14.25" customHeight="1">
      <c r="D870" s="27"/>
    </row>
    <row r="871" ht="14.25" customHeight="1">
      <c r="D871" s="27"/>
    </row>
    <row r="872" ht="14.25" customHeight="1">
      <c r="D872" s="27"/>
    </row>
    <row r="873" ht="14.25" customHeight="1">
      <c r="D873" s="27"/>
    </row>
    <row r="874" ht="14.25" customHeight="1">
      <c r="D874" s="27"/>
    </row>
    <row r="875" ht="14.25" customHeight="1">
      <c r="D875" s="27"/>
    </row>
    <row r="876" ht="14.25" customHeight="1">
      <c r="D876" s="27"/>
    </row>
    <row r="877" ht="14.25" customHeight="1">
      <c r="D877" s="27"/>
    </row>
    <row r="878" ht="14.25" customHeight="1">
      <c r="D878" s="27"/>
    </row>
    <row r="879" ht="14.25" customHeight="1">
      <c r="D879" s="27"/>
    </row>
    <row r="880" ht="14.25" customHeight="1">
      <c r="D880" s="27"/>
    </row>
    <row r="881" ht="14.25" customHeight="1">
      <c r="D881" s="27"/>
    </row>
    <row r="882" ht="14.25" customHeight="1">
      <c r="D882" s="27"/>
    </row>
    <row r="883" ht="14.25" customHeight="1">
      <c r="D883" s="27"/>
    </row>
    <row r="884" ht="14.25" customHeight="1">
      <c r="D884" s="27"/>
    </row>
    <row r="885" ht="14.25" customHeight="1">
      <c r="D885" s="27"/>
    </row>
    <row r="886" ht="14.25" customHeight="1">
      <c r="D886" s="27"/>
    </row>
    <row r="887" ht="14.25" customHeight="1">
      <c r="D887" s="27"/>
    </row>
    <row r="888" ht="14.25" customHeight="1">
      <c r="D888" s="27"/>
    </row>
    <row r="889" ht="14.25" customHeight="1">
      <c r="D889" s="27"/>
    </row>
    <row r="890" ht="14.25" customHeight="1">
      <c r="D890" s="27"/>
    </row>
    <row r="891" ht="14.25" customHeight="1">
      <c r="D891" s="27"/>
    </row>
    <row r="892" ht="14.25" customHeight="1">
      <c r="D892" s="27"/>
    </row>
    <row r="893" ht="14.25" customHeight="1">
      <c r="D893" s="27"/>
    </row>
    <row r="894" ht="14.25" customHeight="1">
      <c r="D894" s="27"/>
    </row>
    <row r="895" ht="14.25" customHeight="1">
      <c r="D895" s="27"/>
    </row>
    <row r="896" ht="14.25" customHeight="1">
      <c r="D896" s="27"/>
    </row>
    <row r="897" ht="14.25" customHeight="1">
      <c r="D897" s="27"/>
    </row>
    <row r="898" ht="14.25" customHeight="1">
      <c r="D898" s="27"/>
    </row>
    <row r="899" ht="14.25" customHeight="1">
      <c r="D899" s="27"/>
    </row>
    <row r="900" ht="14.25" customHeight="1">
      <c r="D900" s="27"/>
    </row>
    <row r="901" ht="14.25" customHeight="1">
      <c r="D901" s="27"/>
    </row>
    <row r="902" ht="14.25" customHeight="1">
      <c r="D902" s="27"/>
    </row>
    <row r="903" ht="14.25" customHeight="1">
      <c r="D903" s="27"/>
    </row>
    <row r="904" ht="14.25" customHeight="1">
      <c r="D904" s="27"/>
    </row>
    <row r="905" ht="14.25" customHeight="1">
      <c r="D905" s="27"/>
    </row>
    <row r="906" ht="14.25" customHeight="1">
      <c r="D906" s="27"/>
    </row>
    <row r="907" ht="14.25" customHeight="1">
      <c r="D907" s="27"/>
    </row>
    <row r="908" ht="14.25" customHeight="1">
      <c r="D908" s="27"/>
    </row>
    <row r="909" ht="14.25" customHeight="1">
      <c r="D909" s="27"/>
    </row>
    <row r="910" ht="14.25" customHeight="1">
      <c r="D910" s="27"/>
    </row>
    <row r="911" ht="14.25" customHeight="1">
      <c r="D911" s="27"/>
    </row>
    <row r="912" ht="14.25" customHeight="1">
      <c r="D912" s="27"/>
    </row>
    <row r="913" ht="14.25" customHeight="1">
      <c r="D913" s="27"/>
    </row>
    <row r="914" ht="14.25" customHeight="1">
      <c r="D914" s="27"/>
    </row>
    <row r="915" ht="14.25" customHeight="1">
      <c r="D915" s="27"/>
    </row>
    <row r="916" ht="14.25" customHeight="1">
      <c r="D916" s="27"/>
    </row>
    <row r="917" ht="14.25" customHeight="1">
      <c r="D917" s="27"/>
    </row>
    <row r="918" ht="14.25" customHeight="1">
      <c r="D918" s="27"/>
    </row>
    <row r="919" ht="14.25" customHeight="1">
      <c r="D919" s="27"/>
    </row>
    <row r="920" ht="14.25" customHeight="1">
      <c r="D920" s="27"/>
    </row>
    <row r="921" ht="14.25" customHeight="1">
      <c r="D921" s="27"/>
    </row>
    <row r="922" ht="14.25" customHeight="1">
      <c r="D922" s="27"/>
    </row>
    <row r="923" ht="14.25" customHeight="1">
      <c r="D923" s="27"/>
    </row>
    <row r="924" ht="14.25" customHeight="1">
      <c r="D924" s="27"/>
    </row>
    <row r="925" ht="14.25" customHeight="1">
      <c r="D925" s="27"/>
    </row>
    <row r="926" ht="14.25" customHeight="1">
      <c r="D926" s="27"/>
    </row>
    <row r="927" ht="14.25" customHeight="1">
      <c r="D927" s="27"/>
    </row>
    <row r="928" ht="14.25" customHeight="1">
      <c r="D928" s="27"/>
    </row>
    <row r="929" ht="14.25" customHeight="1">
      <c r="D929" s="27"/>
    </row>
    <row r="930" ht="14.25" customHeight="1">
      <c r="D930" s="27"/>
    </row>
    <row r="931" ht="14.25" customHeight="1">
      <c r="D931" s="27"/>
    </row>
    <row r="932" ht="14.25" customHeight="1">
      <c r="D932" s="27"/>
    </row>
    <row r="933" ht="14.25" customHeight="1">
      <c r="D933" s="27"/>
    </row>
    <row r="934" ht="14.25" customHeight="1">
      <c r="D934" s="27"/>
    </row>
    <row r="935" ht="14.25" customHeight="1">
      <c r="D935" s="27"/>
    </row>
    <row r="936" ht="14.25" customHeight="1">
      <c r="D936" s="27"/>
    </row>
    <row r="937" ht="14.25" customHeight="1">
      <c r="D937" s="27"/>
    </row>
    <row r="938" ht="14.25" customHeight="1">
      <c r="D938" s="27"/>
    </row>
    <row r="939" ht="14.25" customHeight="1">
      <c r="D939" s="27"/>
    </row>
    <row r="940" ht="14.25" customHeight="1">
      <c r="D940" s="27"/>
    </row>
    <row r="941" ht="14.25" customHeight="1">
      <c r="D941" s="27"/>
    </row>
    <row r="942" ht="14.25" customHeight="1">
      <c r="D942" s="27"/>
    </row>
    <row r="943" ht="14.25" customHeight="1">
      <c r="D943" s="27"/>
    </row>
    <row r="944" ht="14.25" customHeight="1">
      <c r="D944" s="27"/>
    </row>
    <row r="945" ht="14.25" customHeight="1">
      <c r="D945" s="27"/>
    </row>
    <row r="946" ht="14.25" customHeight="1">
      <c r="D946" s="27"/>
    </row>
    <row r="947" ht="14.25" customHeight="1">
      <c r="D947" s="27"/>
    </row>
    <row r="948" ht="14.25" customHeight="1">
      <c r="D948" s="27"/>
    </row>
    <row r="949" ht="14.25" customHeight="1">
      <c r="D949" s="27"/>
    </row>
    <row r="950" ht="14.25" customHeight="1">
      <c r="D950" s="27"/>
    </row>
    <row r="951" ht="14.25" customHeight="1">
      <c r="D951" s="27"/>
    </row>
    <row r="952" ht="14.25" customHeight="1">
      <c r="D952" s="27"/>
    </row>
    <row r="953" ht="14.25" customHeight="1">
      <c r="D953" s="27"/>
    </row>
    <row r="954" ht="14.25" customHeight="1">
      <c r="D954" s="27"/>
    </row>
    <row r="955" ht="14.25" customHeight="1">
      <c r="D955" s="27"/>
    </row>
    <row r="956" ht="14.25" customHeight="1">
      <c r="D956" s="27"/>
    </row>
    <row r="957" ht="14.25" customHeight="1">
      <c r="D957" s="27"/>
    </row>
    <row r="958" ht="14.25" customHeight="1">
      <c r="D958" s="27"/>
    </row>
    <row r="959" ht="14.25" customHeight="1">
      <c r="D959" s="27"/>
    </row>
    <row r="960" ht="14.25" customHeight="1">
      <c r="D960" s="27"/>
    </row>
    <row r="961" ht="14.25" customHeight="1">
      <c r="D961" s="27"/>
    </row>
    <row r="962" ht="14.25" customHeight="1">
      <c r="D962" s="27"/>
    </row>
    <row r="963" ht="14.25" customHeight="1">
      <c r="D963" s="27"/>
    </row>
    <row r="964" ht="14.25" customHeight="1">
      <c r="D964" s="27"/>
    </row>
    <row r="965" ht="14.25" customHeight="1">
      <c r="D965" s="27"/>
    </row>
    <row r="966" ht="14.25" customHeight="1">
      <c r="D966" s="27"/>
    </row>
    <row r="967" ht="14.25" customHeight="1">
      <c r="D967" s="27"/>
    </row>
    <row r="968" ht="14.25" customHeight="1">
      <c r="D968" s="27"/>
    </row>
    <row r="969" ht="14.25" customHeight="1">
      <c r="D969" s="27"/>
    </row>
    <row r="970" ht="14.25" customHeight="1">
      <c r="D970" s="27"/>
    </row>
    <row r="971" ht="14.25" customHeight="1">
      <c r="D971" s="27"/>
    </row>
    <row r="972" ht="14.25" customHeight="1">
      <c r="D972" s="27"/>
    </row>
    <row r="973" ht="14.25" customHeight="1">
      <c r="D973" s="27"/>
    </row>
    <row r="974" ht="14.25" customHeight="1">
      <c r="D974" s="27"/>
    </row>
    <row r="975" ht="14.25" customHeight="1">
      <c r="D975" s="27"/>
    </row>
    <row r="976" ht="14.25" customHeight="1">
      <c r="D976" s="27"/>
    </row>
    <row r="977" ht="14.25" customHeight="1">
      <c r="D977" s="27"/>
    </row>
    <row r="978" ht="14.25" customHeight="1">
      <c r="D978" s="27"/>
    </row>
    <row r="979" ht="14.25" customHeight="1">
      <c r="D979" s="27"/>
    </row>
    <row r="980" ht="14.25" customHeight="1">
      <c r="D980" s="27"/>
    </row>
    <row r="981" ht="14.25" customHeight="1">
      <c r="D981" s="27"/>
    </row>
    <row r="982" ht="14.25" customHeight="1">
      <c r="D982" s="27"/>
    </row>
    <row r="983" ht="14.25" customHeight="1">
      <c r="D983" s="27"/>
    </row>
    <row r="984" ht="14.25" customHeight="1">
      <c r="D984" s="27"/>
    </row>
    <row r="985" ht="14.25" customHeight="1">
      <c r="D985" s="27"/>
    </row>
    <row r="986" ht="14.25" customHeight="1">
      <c r="D986" s="27"/>
    </row>
    <row r="987" ht="14.25" customHeight="1">
      <c r="D987" s="27"/>
    </row>
    <row r="988" ht="14.25" customHeight="1">
      <c r="D988" s="27"/>
    </row>
    <row r="989" ht="14.25" customHeight="1">
      <c r="D989" s="27"/>
    </row>
    <row r="990" ht="14.25" customHeight="1">
      <c r="D990" s="27"/>
    </row>
    <row r="991" ht="14.25" customHeight="1">
      <c r="D991" s="27"/>
    </row>
    <row r="992" ht="14.25" customHeight="1">
      <c r="D992" s="27"/>
    </row>
    <row r="993" ht="14.25" customHeight="1">
      <c r="D993" s="27"/>
    </row>
    <row r="994" ht="14.25" customHeight="1">
      <c r="D994" s="27"/>
    </row>
    <row r="995" ht="14.25" customHeight="1">
      <c r="D995" s="27"/>
    </row>
    <row r="996" ht="14.25" customHeight="1">
      <c r="D996" s="27"/>
    </row>
    <row r="997" ht="14.25" customHeight="1">
      <c r="D997" s="27"/>
    </row>
    <row r="998" ht="14.25" customHeight="1">
      <c r="D998" s="27"/>
    </row>
    <row r="999" ht="14.25" customHeight="1">
      <c r="D999" s="27"/>
    </row>
    <row r="1000" ht="14.25" customHeight="1">
      <c r="D1000" s="27"/>
    </row>
  </sheetData>
  <printOptions/>
  <pageMargins bottom="0.75" footer="0.0" header="0.0" left="0.7" right="0.7" top="0.75"/>
  <pageSetup paperSize="9"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14"/>
    <col customWidth="1" min="3" max="3" width="10.29"/>
    <col customWidth="1" min="4" max="4" width="11.14"/>
    <col customWidth="1" min="5" max="5" width="12.71"/>
    <col customWidth="1" min="6" max="6" width="16.57"/>
    <col customWidth="1" min="7" max="26" width="8.71"/>
  </cols>
  <sheetData>
    <row r="1" ht="14.25" customHeight="1">
      <c r="C1" s="19" t="s">
        <v>531</v>
      </c>
      <c r="D1" s="19" t="s">
        <v>532</v>
      </c>
      <c r="E1" s="19" t="s">
        <v>533</v>
      </c>
      <c r="F1" s="19" t="s">
        <v>534</v>
      </c>
    </row>
    <row r="2" ht="14.25" customHeight="1">
      <c r="A2" s="120" t="s">
        <v>344</v>
      </c>
      <c r="B2" s="19" t="s">
        <v>345</v>
      </c>
      <c r="E2" s="19">
        <f>0.6*2</f>
        <v>1.2</v>
      </c>
      <c r="F2" s="19">
        <f>6+0.27*12</f>
        <v>9.24</v>
      </c>
    </row>
    <row r="3" ht="14.25" customHeight="1">
      <c r="B3" s="19" t="s">
        <v>346</v>
      </c>
    </row>
    <row r="4" ht="14.25" customHeight="1">
      <c r="B4" s="19" t="s">
        <v>347</v>
      </c>
      <c r="E4" s="19">
        <f>0.5*1</f>
        <v>0.5</v>
      </c>
      <c r="F4" s="19">
        <f>0.6*12</f>
        <v>7.2</v>
      </c>
    </row>
    <row r="5" ht="14.25" customHeight="1">
      <c r="B5" s="19" t="s">
        <v>348</v>
      </c>
    </row>
    <row r="6" ht="14.25" customHeight="1">
      <c r="A6" s="120" t="s">
        <v>349</v>
      </c>
      <c r="B6" s="19" t="s">
        <v>345</v>
      </c>
      <c r="D6" s="19">
        <v>4.0</v>
      </c>
      <c r="E6" s="19">
        <f>0.6*14</f>
        <v>8.4</v>
      </c>
      <c r="F6" s="19">
        <f>0.27*3</f>
        <v>0.81</v>
      </c>
    </row>
    <row r="7" ht="14.25" customHeight="1">
      <c r="B7" s="19" t="s">
        <v>346</v>
      </c>
    </row>
    <row r="8" ht="14.25" customHeight="1">
      <c r="B8" s="19" t="s">
        <v>347</v>
      </c>
      <c r="C8" s="19">
        <f>4.8+2.5+5</f>
        <v>12.3</v>
      </c>
      <c r="D8" s="19">
        <f>4*2+3.5+2</f>
        <v>13.5</v>
      </c>
      <c r="E8" s="19">
        <f>4.5+6*2</f>
        <v>16.5</v>
      </c>
    </row>
    <row r="9" ht="14.25" customHeight="1">
      <c r="B9" s="19" t="s">
        <v>348</v>
      </c>
    </row>
    <row r="10" ht="14.25" customHeight="1">
      <c r="A10" s="120"/>
      <c r="B10" s="19" t="s">
        <v>598</v>
      </c>
      <c r="C10" s="19">
        <v>20.0</v>
      </c>
      <c r="D10" s="19">
        <v>20.0</v>
      </c>
      <c r="E10" s="19">
        <v>20.0</v>
      </c>
      <c r="F10" s="19">
        <v>15.0</v>
      </c>
    </row>
    <row r="11" ht="14.25" customHeight="1">
      <c r="A11" s="120"/>
      <c r="B11" s="19" t="s">
        <v>570</v>
      </c>
      <c r="C11" s="119">
        <f>C2*Data!$D79+C3*Data!$D80+C4*Data!$D81+C6*Data!$D83+C7*Data!$D84+C8*Data!$D85</f>
        <v>7.38</v>
      </c>
      <c r="D11" s="119">
        <f>D2*Data!$D79+D3*Data!$D80+D4*Data!$D81+D6*Data!$D83+D7*Data!$D84+D8*Data!$D85</f>
        <v>15.3</v>
      </c>
      <c r="E11" s="119">
        <f>E2*Data!$D79+E3*Data!$D80+E4*Data!$D81+E6*Data!$D83+E7*Data!$D84+E8*Data!$D85</f>
        <v>29.12</v>
      </c>
      <c r="F11" s="119">
        <f>F2*Data!$D79+F3*Data!$D80+F4*Data!$D81+F6*Data!$D83+F7*Data!$D84+F8*Data!$D85</f>
        <v>36.378</v>
      </c>
    </row>
    <row r="12" ht="14.25" customHeight="1">
      <c r="A12" s="120"/>
      <c r="B12" s="19" t="s">
        <v>599</v>
      </c>
      <c r="C12" s="119">
        <f t="shared" ref="C12:F12" si="1">C11/C10</f>
        <v>0.369</v>
      </c>
      <c r="D12" s="119">
        <f t="shared" si="1"/>
        <v>0.765</v>
      </c>
      <c r="E12" s="119">
        <f t="shared" si="1"/>
        <v>1.456</v>
      </c>
      <c r="F12" s="119">
        <f t="shared" si="1"/>
        <v>2.4252</v>
      </c>
    </row>
    <row r="13" ht="14.25" customHeight="1">
      <c r="C13" s="19" t="s">
        <v>600</v>
      </c>
      <c r="D13" s="19" t="s">
        <v>601</v>
      </c>
      <c r="E13" s="19" t="s">
        <v>602</v>
      </c>
      <c r="F13" s="19" t="s">
        <v>603</v>
      </c>
    </row>
    <row r="14" ht="14.25" customHeight="1">
      <c r="C14" s="19" t="s">
        <v>227</v>
      </c>
      <c r="D14" s="19" t="s">
        <v>604</v>
      </c>
      <c r="E14" s="19" t="s">
        <v>605</v>
      </c>
      <c r="F14" s="19" t="s">
        <v>606</v>
      </c>
    </row>
    <row r="15" ht="14.25" customHeight="1">
      <c r="C15" s="19" t="s">
        <v>235</v>
      </c>
      <c r="D15" s="19" t="s">
        <v>607</v>
      </c>
      <c r="E15" s="19" t="s">
        <v>324</v>
      </c>
      <c r="F15" s="19" t="s">
        <v>608</v>
      </c>
    </row>
    <row r="16" ht="14.25" customHeight="1">
      <c r="C16" s="19" t="s">
        <v>204</v>
      </c>
      <c r="D16" s="19" t="s">
        <v>609</v>
      </c>
      <c r="E16" s="19" t="s">
        <v>610</v>
      </c>
      <c r="F16" s="19" t="s">
        <v>611</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2:A5"/>
    <mergeCell ref="A6:A9"/>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A2" s="19" t="s">
        <v>167</v>
      </c>
      <c r="B2" s="19" t="s">
        <v>612</v>
      </c>
      <c r="C2" s="19" t="s">
        <v>613</v>
      </c>
    </row>
    <row r="3" ht="14.25" customHeight="1">
      <c r="A3" s="19" t="s">
        <v>179</v>
      </c>
      <c r="B3" s="19" t="s">
        <v>612</v>
      </c>
      <c r="C3" s="19" t="s">
        <v>614</v>
      </c>
    </row>
    <row r="4" ht="14.25" customHeight="1">
      <c r="A4" s="19" t="s">
        <v>181</v>
      </c>
      <c r="B4" s="19" t="s">
        <v>615</v>
      </c>
      <c r="C4" s="19" t="s">
        <v>616</v>
      </c>
    </row>
    <row r="5" ht="14.25" customHeight="1">
      <c r="A5" s="19" t="s">
        <v>189</v>
      </c>
      <c r="B5" s="19" t="s">
        <v>617</v>
      </c>
      <c r="C5" s="19" t="s">
        <v>618</v>
      </c>
    </row>
    <row r="6" ht="14.25" customHeight="1">
      <c r="A6" s="19" t="s">
        <v>204</v>
      </c>
      <c r="B6" s="19" t="s">
        <v>612</v>
      </c>
      <c r="C6" s="19" t="s">
        <v>619</v>
      </c>
    </row>
    <row r="7" ht="14.25" customHeight="1">
      <c r="A7" s="19" t="s">
        <v>16</v>
      </c>
      <c r="B7" s="19" t="s">
        <v>564</v>
      </c>
      <c r="C7" s="19" t="s">
        <v>620</v>
      </c>
    </row>
    <row r="8" ht="14.25" customHeight="1">
      <c r="A8" s="19" t="s">
        <v>218</v>
      </c>
      <c r="B8" s="19" t="s">
        <v>612</v>
      </c>
      <c r="C8" s="19" t="s">
        <v>621</v>
      </c>
    </row>
    <row r="9" ht="14.25" customHeight="1">
      <c r="A9" s="19" t="s">
        <v>235</v>
      </c>
      <c r="B9" s="19" t="s">
        <v>622</v>
      </c>
      <c r="C9" s="19" t="s">
        <v>623</v>
      </c>
    </row>
    <row r="10" ht="14.25" customHeight="1">
      <c r="A10" s="19" t="s">
        <v>624</v>
      </c>
      <c r="B10" s="19" t="s">
        <v>564</v>
      </c>
      <c r="C10" s="149" t="s">
        <v>625</v>
      </c>
    </row>
    <row r="11" ht="14.25" customHeight="1">
      <c r="A11" s="19" t="s">
        <v>241</v>
      </c>
      <c r="B11" s="19" t="s">
        <v>617</v>
      </c>
      <c r="C11" s="19" t="s">
        <v>626</v>
      </c>
    </row>
    <row r="12" ht="14.25" customHeight="1">
      <c r="A12" s="19" t="s">
        <v>242</v>
      </c>
      <c r="B12" s="19" t="s">
        <v>627</v>
      </c>
      <c r="C12" s="19" t="s">
        <v>628</v>
      </c>
    </row>
    <row r="13" ht="14.25" customHeight="1">
      <c r="A13" s="19" t="s">
        <v>249</v>
      </c>
      <c r="B13" s="19" t="s">
        <v>622</v>
      </c>
      <c r="C13" s="19" t="s">
        <v>629</v>
      </c>
    </row>
    <row r="14" ht="14.25" customHeight="1">
      <c r="A14" s="19" t="s">
        <v>249</v>
      </c>
      <c r="B14" s="19" t="s">
        <v>564</v>
      </c>
      <c r="C14" s="19" t="s">
        <v>630</v>
      </c>
    </row>
    <row r="15" ht="14.25" customHeight="1">
      <c r="A15" s="19" t="s">
        <v>264</v>
      </c>
      <c r="B15" s="19" t="s">
        <v>612</v>
      </c>
      <c r="C15" s="19" t="s">
        <v>631</v>
      </c>
    </row>
    <row r="16" ht="14.25" customHeight="1">
      <c r="A16" s="19" t="s">
        <v>632</v>
      </c>
      <c r="B16" s="19" t="s">
        <v>612</v>
      </c>
      <c r="C16" s="19" t="s">
        <v>633</v>
      </c>
    </row>
    <row r="17" ht="14.25" customHeight="1">
      <c r="A17" s="19" t="s">
        <v>287</v>
      </c>
      <c r="B17" s="19" t="s">
        <v>617</v>
      </c>
      <c r="C17" s="19" t="s">
        <v>634</v>
      </c>
    </row>
    <row r="18" ht="14.25" customHeight="1">
      <c r="A18" s="19" t="s">
        <v>324</v>
      </c>
      <c r="B18" s="19" t="s">
        <v>564</v>
      </c>
      <c r="C18" s="19" t="s">
        <v>635</v>
      </c>
    </row>
    <row r="19" ht="14.25" customHeight="1">
      <c r="A19" s="19" t="s">
        <v>341</v>
      </c>
      <c r="B19" s="19" t="s">
        <v>612</v>
      </c>
      <c r="C19" s="19" t="s">
        <v>636</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