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Zee\Desktop\Maven\Advanced Excel Dashboard Design\"/>
    </mc:Choice>
  </mc:AlternateContent>
  <xr:revisionPtr revIDLastSave="0" documentId="13_ncr:1_{5DE2992E-47B1-466E-9F9C-30D9A27A9B88}" xr6:coauthVersionLast="47" xr6:coauthVersionMax="47" xr10:uidLastSave="{00000000-0000-0000-0000-000000000000}"/>
  <bookViews>
    <workbookView xWindow="-120" yWindow="-120" windowWidth="29040" windowHeight="15840" activeTab="2" xr2:uid="{EA944FB1-DE3F-40F9-BBAA-0980B1568DEE}"/>
  </bookViews>
  <sheets>
    <sheet name="Data" sheetId="16" r:id="rId1"/>
    <sheet name="Data Prep" sheetId="22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Month">'Data Prep'!$C$10</definedName>
    <definedName name="CurYear">'Data Prep'!$C$9</definedName>
    <definedName name="PMYear">'Data Prep'!$C$13</definedName>
    <definedName name="PrevMonth">'Data Prep'!$C$12</definedName>
    <definedName name="PrevYear">'Data Prep'!$C$11</definedName>
    <definedName name="Region">'Data Prep'!$C$4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2" l="1"/>
  <c r="F7" i="23"/>
  <c r="C14" i="22"/>
  <c r="C4" i="22"/>
  <c r="AA4" i="22" a="1"/>
  <c r="AA4" i="22" s="1"/>
  <c r="C9" i="22"/>
  <c r="K3" i="22" s="1"/>
  <c r="B4" i="22" a="1"/>
  <c r="B4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C10" i="22" l="1"/>
  <c r="C11" i="22"/>
  <c r="J3" i="22" s="1"/>
  <c r="AB21" i="22" l="1"/>
  <c r="Q5" i="22"/>
  <c r="R5" i="22" s="1"/>
  <c r="Q13" i="22"/>
  <c r="Q6" i="22"/>
  <c r="Q4" i="22"/>
  <c r="Q10" i="22"/>
  <c r="R10" i="22" s="1"/>
  <c r="Q7" i="22"/>
  <c r="Q8" i="22"/>
  <c r="Q9" i="22"/>
  <c r="R9" i="22" s="1"/>
  <c r="Q11" i="22"/>
  <c r="R11" i="22" s="1"/>
  <c r="Q12" i="22"/>
  <c r="R12" i="22" s="1"/>
  <c r="AB12" i="22"/>
  <c r="AB30" i="22"/>
  <c r="AB35" i="22"/>
  <c r="AB20" i="22"/>
  <c r="AB4" i="22"/>
  <c r="AB15" i="22"/>
  <c r="AB16" i="22"/>
  <c r="AB17" i="22"/>
  <c r="AB29" i="22"/>
  <c r="AB14" i="22"/>
  <c r="AB18" i="22"/>
  <c r="AB8" i="22"/>
  <c r="AB28" i="22"/>
  <c r="AB5" i="22"/>
  <c r="AB23" i="22"/>
  <c r="AB24" i="22"/>
  <c r="AB25" i="22"/>
  <c r="AB6" i="22"/>
  <c r="AB11" i="22"/>
  <c r="AB37" i="22"/>
  <c r="AB7" i="22"/>
  <c r="AB10" i="22"/>
  <c r="AB36" i="22"/>
  <c r="AB13" i="22"/>
  <c r="AB34" i="22"/>
  <c r="AB31" i="22"/>
  <c r="AB32" i="22"/>
  <c r="AB33" i="22"/>
  <c r="AB26" i="22"/>
  <c r="AB19" i="22"/>
  <c r="AB22" i="22"/>
  <c r="AB27" i="22"/>
  <c r="AB9" i="22"/>
  <c r="AY9" i="16"/>
  <c r="N4" i="22"/>
  <c r="N9" i="22"/>
  <c r="N10" i="22"/>
  <c r="N5" i="22"/>
  <c r="N7" i="22"/>
  <c r="K6" i="22"/>
  <c r="N12" i="22"/>
  <c r="K11" i="22"/>
  <c r="N6" i="22"/>
  <c r="N13" i="22"/>
  <c r="K12" i="22"/>
  <c r="N11" i="22"/>
  <c r="K13" i="22"/>
  <c r="N8" i="22"/>
  <c r="K14" i="22"/>
  <c r="K15" i="22"/>
  <c r="K4" i="22"/>
  <c r="K10" i="22"/>
  <c r="K5" i="22"/>
  <c r="K8" i="22"/>
  <c r="K9" i="22"/>
  <c r="K7" i="22"/>
  <c r="J10" i="22"/>
  <c r="J11" i="22"/>
  <c r="J13" i="22"/>
  <c r="J12" i="22"/>
  <c r="J5" i="22"/>
  <c r="J6" i="22"/>
  <c r="J14" i="22"/>
  <c r="J7" i="22"/>
  <c r="J15" i="22"/>
  <c r="J8" i="22"/>
  <c r="J4" i="22"/>
  <c r="J9" i="22"/>
  <c r="AY29" i="16"/>
  <c r="AY25" i="16"/>
  <c r="AY18" i="16"/>
  <c r="AY20" i="16"/>
  <c r="AY51" i="16"/>
  <c r="AY38" i="16"/>
  <c r="AY8" i="16"/>
  <c r="AY35" i="16"/>
  <c r="AY42" i="16"/>
  <c r="AY40" i="16"/>
  <c r="AY48" i="16"/>
  <c r="AY52" i="16"/>
  <c r="AY49" i="16"/>
  <c r="AY21" i="16"/>
  <c r="AY26" i="16"/>
  <c r="AY45" i="16"/>
  <c r="AY28" i="16"/>
  <c r="AY13" i="16"/>
  <c r="AY33" i="16"/>
  <c r="AY16" i="16"/>
  <c r="AY41" i="16"/>
  <c r="AY24" i="16"/>
  <c r="AY43" i="16"/>
  <c r="AY6" i="16"/>
  <c r="AY32" i="16"/>
  <c r="AY7" i="16"/>
  <c r="AY23" i="16"/>
  <c r="AY12" i="16"/>
  <c r="AY27" i="16"/>
  <c r="AY31" i="16"/>
  <c r="AY37" i="16"/>
  <c r="AY39" i="16"/>
  <c r="AY11" i="16"/>
  <c r="AY10" i="16"/>
  <c r="AY34" i="16"/>
  <c r="F4" i="22"/>
  <c r="C13" i="22"/>
  <c r="C12" i="22"/>
  <c r="AY22" i="16"/>
  <c r="AY5" i="16"/>
  <c r="AY4" i="16"/>
  <c r="AY46" i="16"/>
  <c r="AY15" i="16"/>
  <c r="AY30" i="16"/>
  <c r="AY50" i="16"/>
  <c r="AY14" i="16"/>
  <c r="AY44" i="16"/>
  <c r="AY3" i="16"/>
  <c r="AY17" i="16"/>
  <c r="AY36" i="16"/>
  <c r="AY47" i="16"/>
  <c r="AY19" i="16"/>
  <c r="R4" i="22" l="1"/>
  <c r="AC4" i="22"/>
  <c r="AD4" i="22" s="1"/>
  <c r="AC11" i="22"/>
  <c r="AD11" i="22" s="1"/>
  <c r="AC10" i="22"/>
  <c r="AD10" i="22" s="1"/>
  <c r="AC9" i="22"/>
  <c r="AD9" i="22" s="1"/>
  <c r="AC32" i="22"/>
  <c r="AD32" i="22" s="1"/>
  <c r="AC20" i="22"/>
  <c r="AD20" i="22" s="1"/>
  <c r="AC6" i="22"/>
  <c r="AD6" i="22" s="1"/>
  <c r="AC29" i="22"/>
  <c r="AD29" i="22" s="1"/>
  <c r="AC25" i="22"/>
  <c r="AD25" i="22" s="1"/>
  <c r="AC22" i="22"/>
  <c r="AD22" i="22" s="1"/>
  <c r="AC24" i="22"/>
  <c r="AD24" i="22" s="1"/>
  <c r="AC21" i="22"/>
  <c r="AD21" i="22" s="1"/>
  <c r="AC23" i="22"/>
  <c r="AD23" i="22" s="1"/>
  <c r="AC33" i="22"/>
  <c r="AD33" i="22" s="1"/>
  <c r="AC30" i="22"/>
  <c r="AD30" i="22" s="1"/>
  <c r="AC26" i="22"/>
  <c r="AD26" i="22" s="1"/>
  <c r="AC18" i="22"/>
  <c r="AD18" i="22" s="1"/>
  <c r="AC14" i="22"/>
  <c r="AD14" i="22" s="1"/>
  <c r="AC28" i="22"/>
  <c r="AD28" i="22" s="1"/>
  <c r="AC16" i="22"/>
  <c r="AD16" i="22" s="1"/>
  <c r="AC36" i="22"/>
  <c r="AD36" i="22" s="1"/>
  <c r="AC13" i="22"/>
  <c r="AD13" i="22" s="1"/>
  <c r="AC35" i="22"/>
  <c r="AD35" i="22" s="1"/>
  <c r="AC12" i="22"/>
  <c r="AD12" i="22" s="1"/>
  <c r="AC27" i="22"/>
  <c r="AD27" i="22" s="1"/>
  <c r="AC7" i="22"/>
  <c r="AD7" i="22" s="1"/>
  <c r="AC19" i="22"/>
  <c r="AD19" i="22" s="1"/>
  <c r="AC17" i="22"/>
  <c r="AD17" i="22" s="1"/>
  <c r="AC37" i="22"/>
  <c r="AD37" i="22" s="1"/>
  <c r="AC8" i="22"/>
  <c r="AD8" i="22" s="1"/>
  <c r="AC31" i="22"/>
  <c r="AD31" i="22" s="1"/>
  <c r="AC5" i="22"/>
  <c r="AD5" i="22" s="1"/>
  <c r="AC34" i="22"/>
  <c r="AD34" i="22" s="1"/>
  <c r="AC15" i="22"/>
  <c r="AD15" i="22" s="1"/>
  <c r="O6" i="22"/>
  <c r="P6" i="22" s="1"/>
  <c r="R6" i="22" s="1"/>
  <c r="O4" i="22"/>
  <c r="O9" i="22"/>
  <c r="P9" i="22" s="1"/>
  <c r="O8" i="22"/>
  <c r="P8" i="22" s="1"/>
  <c r="R8" i="22" s="1"/>
  <c r="O10" i="22"/>
  <c r="P10" i="22" s="1"/>
  <c r="O7" i="22"/>
  <c r="P7" i="22" s="1"/>
  <c r="R7" i="22" s="1"/>
  <c r="O5" i="22"/>
  <c r="P5" i="22" s="1"/>
  <c r="O12" i="22"/>
  <c r="P12" i="22" s="1"/>
  <c r="O13" i="22"/>
  <c r="P13" i="22" s="1"/>
  <c r="R13" i="22" s="1"/>
  <c r="O11" i="22"/>
  <c r="P11" i="22" s="1"/>
  <c r="F5" i="22"/>
  <c r="F7" i="22" s="1"/>
  <c r="F6" i="22"/>
  <c r="AE28" i="22" l="1"/>
  <c r="AF5" i="22"/>
  <c r="AE5" i="22"/>
  <c r="AF20" i="22"/>
  <c r="AE10" i="22"/>
  <c r="AF10" i="22"/>
  <c r="AE22" i="22"/>
  <c r="AF22" i="22"/>
  <c r="AF34" i="22"/>
  <c r="AE34" i="22"/>
  <c r="AE29" i="22"/>
  <c r="AF29" i="22"/>
  <c r="AE6" i="22"/>
  <c r="AF6" i="22"/>
  <c r="AE33" i="22"/>
  <c r="AF33" i="22"/>
  <c r="AE19" i="22"/>
  <c r="AF19" i="22"/>
  <c r="AF11" i="22"/>
  <c r="AE11" i="22"/>
  <c r="AE18" i="22"/>
  <c r="AF18" i="22"/>
  <c r="AF26" i="22"/>
  <c r="AE26" i="22"/>
  <c r="AF35" i="22"/>
  <c r="AE35" i="22"/>
  <c r="AE36" i="22"/>
  <c r="AF36" i="22"/>
  <c r="AE23" i="22"/>
  <c r="AF23" i="22"/>
  <c r="AE32" i="22"/>
  <c r="AF32" i="22"/>
  <c r="AE7" i="22"/>
  <c r="AF7" i="22"/>
  <c r="AF4" i="22"/>
  <c r="AE4" i="22"/>
  <c r="AE12" i="22"/>
  <c r="AF12" i="22"/>
  <c r="AE31" i="22"/>
  <c r="AF31" i="22"/>
  <c r="AF37" i="22"/>
  <c r="AE37" i="22"/>
  <c r="AF16" i="22"/>
  <c r="AE16" i="22"/>
  <c r="AE27" i="22"/>
  <c r="AF27" i="22"/>
  <c r="AF30" i="22"/>
  <c r="AE30" i="22"/>
  <c r="AE20" i="22"/>
  <c r="AF15" i="22"/>
  <c r="AE15" i="22"/>
  <c r="AF25" i="22"/>
  <c r="AE25" i="22"/>
  <c r="AE14" i="22"/>
  <c r="AF14" i="22"/>
  <c r="AF28" i="22"/>
  <c r="AE8" i="22"/>
  <c r="AF8" i="22"/>
  <c r="AF21" i="22"/>
  <c r="AE21" i="22"/>
  <c r="AE17" i="22"/>
  <c r="AF17" i="22"/>
  <c r="AE9" i="22"/>
  <c r="AF9" i="22"/>
  <c r="AE24" i="22"/>
  <c r="AF24" i="22"/>
  <c r="AF13" i="22"/>
  <c r="AE13" i="22"/>
  <c r="P4" i="22"/>
  <c r="T4" i="22" s="1" a="1"/>
  <c r="T4" i="22" s="1"/>
  <c r="AJ9" i="22" l="1"/>
  <c r="AK9" i="22"/>
  <c r="AI9" i="22"/>
  <c r="AK19" i="22"/>
  <c r="AI19" i="22"/>
  <c r="AJ19" i="22"/>
  <c r="AJ15" i="22"/>
  <c r="AK4" i="22"/>
  <c r="AK5" i="22"/>
  <c r="AJ6" i="22"/>
  <c r="AK6" i="22"/>
  <c r="AI4" i="22"/>
  <c r="AK8" i="22"/>
  <c r="AJ4" i="22"/>
  <c r="AI8" i="22"/>
  <c r="AI6" i="22"/>
  <c r="AJ7" i="22"/>
  <c r="AJ5" i="22"/>
  <c r="AI7" i="22"/>
  <c r="AI5" i="22"/>
  <c r="AK7" i="22"/>
  <c r="AJ8" i="22"/>
  <c r="AK15" i="22"/>
  <c r="AJ18" i="22"/>
  <c r="AI17" i="22"/>
  <c r="AJ14" i="22"/>
  <c r="AI18" i="22"/>
  <c r="AI15" i="22"/>
  <c r="AI16" i="22"/>
  <c r="AK14" i="22"/>
  <c r="AI14" i="22"/>
  <c r="AK18" i="22"/>
  <c r="AK17" i="22"/>
  <c r="AJ17" i="22"/>
  <c r="AK16" i="22"/>
  <c r="AJ16" i="22"/>
  <c r="U27" i="23" l="1" a="1"/>
  <c r="W34" i="23" s="1"/>
  <c r="U13" i="23" a="1"/>
  <c r="U27" i="23" l="1"/>
  <c r="U13" i="23"/>
  <c r="W20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<sst xmlns="http://schemas.openxmlformats.org/spreadsheetml/2006/main" count="24160" uniqueCount="120">
  <si>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</si>
  <si>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</si>
  <si>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</si>
  <si>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</si>
  <si>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</si>
  <si>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</si>
  <si>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</si>
  <si>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</si>
  <si>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</si>
  <si>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</si>
  <si>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</si>
  <si>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</si>
  <si>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</si>
  <si>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</si>
  <si>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</si>
  <si>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</si>
  <si>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</si>
  <si>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</si>
  <si>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</si>
  <si>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</si>
  <si>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</si>
  <si>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</si>
  <si>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</si>
  <si>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</si>
  <si>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</si>
  <si>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</si>
  <si>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</si>
  <si>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</si>
  <si>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</si>
  <si>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</si>
  <si>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</si>
  <si>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</si>
  <si>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</si>
  <si>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</si>
  <si>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</si>
  <si>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</si>
  <si>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</si>
  <si>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</si>
  <si>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</si>
  <si>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</si>
  <si>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</si>
  <si>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</si>
  <si>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</si>
  <si>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</si>
  <si>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</si>
  <si>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</si>
  <si>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</si>
  <si>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</si>
  <si>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</si>
  <si>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</si>
  <si>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</si>
  <si>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</si>
  <si>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</si>
  <si>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</si>
  <si>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</si>
  <si>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</si>
  <si>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</si>
  <si>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</si>
  <si>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</si>
  <si>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</si>
  <si>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</si>
  <si>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</si>
  <si>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</si>
  <si>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</si>
  <si>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</si>
  <si>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</si>
  <si>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</si>
  <si>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</si>
  <si>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</si>
  <si>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</si>
  <si>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</si>
  <si>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</si>
  <si>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</si>
  <si>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</si>
  <si>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</si>
  <si>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Regions</t>
  </si>
  <si>
    <t>Selection</t>
  </si>
  <si>
    <t>DATE FILTER</t>
  </si>
  <si>
    <t>REGION FILTER</t>
  </si>
  <si>
    <t>Current Month:</t>
  </si>
  <si>
    <t>Current Year:</t>
  </si>
  <si>
    <t>Previous Year:</t>
  </si>
  <si>
    <t>Previous Month:</t>
  </si>
  <si>
    <t>KPIs</t>
  </si>
  <si>
    <t>Total Revenue:</t>
  </si>
  <si>
    <t>PM Year:</t>
  </si>
  <si>
    <t>PY Revenue:</t>
  </si>
  <si>
    <t>PM Revenue:</t>
  </si>
  <si>
    <t>YoY % Change:</t>
  </si>
  <si>
    <t>MoM % Change:</t>
  </si>
  <si>
    <t>Revenue Trend</t>
  </si>
  <si>
    <t>Month 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</si>
  <si>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</si>
  <si>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</si>
  <si>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</si>
  <si>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</si>
  <si>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</si>
  <si>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</si>
  <si>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</si>
  <si>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</si>
  <si>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</si>
  <si>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</si>
  <si>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</si>
  <si>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</si>
  <si>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Performance</t>
  </si>
  <si>
    <t>PM Revenue</t>
  </si>
  <si>
    <t>MoM % Change</t>
  </si>
  <si>
    <t>Store Performance (Sorted)</t>
  </si>
  <si>
    <t>Product Performance</t>
  </si>
  <si>
    <t>Rank (+)</t>
  </si>
  <si>
    <t>Rank (-)</t>
  </si>
  <si>
    <t>Top 5 Products</t>
  </si>
  <si>
    <t>Rank</t>
  </si>
  <si>
    <t>MoM Change</t>
  </si>
  <si>
    <t>Bottom 5 Products</t>
  </si>
  <si>
    <t>Selection Revenue</t>
  </si>
  <si>
    <t>Selection MoM Change</t>
  </si>
  <si>
    <t>How did the region</t>
  </si>
  <si>
    <t>Current Period: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</si>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</sst>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sz val="16"/>
      <color theme="1" tint="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C00000"/>
      <name val="Calibri"/>
      <family val="2"/>
      <scheme val="minor"/>
    </font>
    <font>
      <i/>
      <sz val="24"/>
      <color theme="1" tint="0.249977111117893"/>
      <name val="Calibri"/>
      <family val="2"/>
      <scheme val="minor"/>
    </font>
    <font>
      <b/>
      <i/>
      <sz val="24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1" fillId="6" borderId="0" xfId="0" applyFont="1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9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9" fontId="0" fillId="0" borderId="0" xfId="1" applyFon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5" fontId="1" fillId="8" borderId="0" xfId="1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right"/>
    </xf>
    <xf numFmtId="164" fontId="6" fillId="0" borderId="1" xfId="0" applyNumberFormat="1" applyFont="1" applyBorder="1"/>
    <xf numFmtId="164" fontId="7" fillId="0" borderId="0" xfId="0" applyNumberFormat="1" applyFont="1"/>
    <xf numFmtId="164" fontId="8" fillId="0" borderId="0" xfId="0" applyNumberFormat="1" applyFont="1"/>
    <xf numFmtId="0" fontId="9" fillId="0" borderId="0" xfId="0" applyFont="1"/>
    <xf numFmtId="0" fontId="10" fillId="10" borderId="0" xfId="0" applyFont="1" applyFill="1" applyAlignment="1">
      <alignment horizontal="center" vertical="center"/>
    </xf>
    <xf numFmtId="0" fontId="10" fillId="0" borderId="0" xfId="0" applyFont="1"/>
  </cellXfs>
  <cellStyles count="2">
    <cellStyle name="Normal" xfId="0" builtinId="0"/>
    <cellStyle name="Percent" xfId="1" builtinId="5"/>
  </cellStyles>
  <dxfs count="5">
    <dxf>
      <font>
        <color theme="9" tint="-0.24994659260841701"/>
      </font>
    </dxf>
    <dxf>
      <font>
        <color rgb="FFC00000"/>
      </font>
    </dxf>
    <dxf>
      <numFmt numFmtId="164" formatCode="&quot;$&quot;#,##0"/>
    </dxf>
    <dxf>
      <numFmt numFmtId="164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Prep'!$J$3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Prep'!$I$4:$I$15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Prep'!$J$4:$J$15</c:f>
              <c:numCache>
                <c:formatCode>"$"#,##0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A-40B7-AE45-8A7582C3517C}"/>
            </c:ext>
          </c:extLst>
        </c:ser>
        <c:ser>
          <c:idx val="1"/>
          <c:order val="1"/>
          <c:tx>
            <c:strRef>
              <c:f>'Data Prep'!$K$3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Prep'!$I$4:$I$15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Prep'!$K$4:$K$15</c:f>
              <c:numCache>
                <c:formatCode>"$"#,##0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3">
                  <c:v>99650.11000000003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A-40B7-AE45-8A7582C35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03312"/>
        <c:axId val="29013872"/>
      </c:lineChart>
      <c:catAx>
        <c:axId val="2900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13872"/>
        <c:crosses val="autoZero"/>
        <c:auto val="1"/>
        <c:lblAlgn val="ctr"/>
        <c:lblOffset val="100"/>
        <c:noMultiLvlLbl val="0"/>
      </c:catAx>
      <c:valAx>
        <c:axId val="29013872"/>
        <c:scaling>
          <c:orientation val="minMax"/>
        </c:scaling>
        <c:delete val="0"/>
        <c:axPos val="l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3312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Prep'!$U$3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Prep'!$T$4:$T$13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Prep'!$U$4:$U$13</c:f>
              <c:numCache>
                <c:formatCode>"$"#,##0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1-4AE0-ACDE-1C41C868CE71}"/>
            </c:ext>
          </c:extLst>
        </c:ser>
        <c:ser>
          <c:idx val="1"/>
          <c:order val="1"/>
          <c:tx>
            <c:strRef>
              <c:f>'Data Prep'!$X$3</c:f>
              <c:strCache>
                <c:ptCount val="1"/>
                <c:pt idx="0">
                  <c:v>Selection Revenue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Prep'!$X$4:$X$13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1-4AE0-ACDE-1C41C868C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24142544"/>
        <c:axId val="424132944"/>
      </c:barChart>
      <c:catAx>
        <c:axId val="42414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2944"/>
        <c:crosses val="autoZero"/>
        <c:auto val="1"/>
        <c:lblAlgn val="ctr"/>
        <c:lblOffset val="100"/>
        <c:noMultiLvlLbl val="0"/>
      </c:catAx>
      <c:valAx>
        <c:axId val="4241329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/>
                  <a:t>Revenue</a:t>
                </a:r>
              </a:p>
            </c:rich>
          </c:tx>
          <c:layout>
            <c:manualLayout>
              <c:xMode val="edge"/>
              <c:yMode val="edge"/>
              <c:x val="0.3923557506131406"/>
              <c:y val="0.92806506275447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42414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Prep'!$W$3</c:f>
              <c:strCache>
                <c:ptCount val="1"/>
                <c:pt idx="0">
                  <c:v>MoM % Change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Prep'!$T$4:$T$13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Prep'!$W$4:$W$13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3-40C9-AE5A-A8AF839AD743}"/>
            </c:ext>
          </c:extLst>
        </c:ser>
        <c:ser>
          <c:idx val="1"/>
          <c:order val="1"/>
          <c:tx>
            <c:strRef>
              <c:f>'Data Prep'!$Y$3</c:f>
              <c:strCache>
                <c:ptCount val="1"/>
                <c:pt idx="0">
                  <c:v>Selection MoM Change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Prep'!$Y$4:$Y$13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5FE3-40C9-AE5A-A8AF839AD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24142544"/>
        <c:axId val="424132944"/>
      </c:barChart>
      <c:catAx>
        <c:axId val="42414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2944"/>
        <c:crosses val="autoZero"/>
        <c:auto val="1"/>
        <c:lblAlgn val="ctr"/>
        <c:lblOffset val="100"/>
        <c:noMultiLvlLbl val="0"/>
      </c:catAx>
      <c:valAx>
        <c:axId val="4241329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 b="1"/>
                  <a:t>MoM % Change</a:t>
                </a:r>
              </a:p>
            </c:rich>
          </c:tx>
          <c:layout>
            <c:manualLayout>
              <c:xMode val="edge"/>
              <c:yMode val="edge"/>
              <c:x val="0.30492405662406952"/>
              <c:y val="0.93586993840498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42414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314325</xdr:colOff>
      <xdr:row>22</xdr:row>
      <xdr:rowOff>0</xdr:rowOff>
    </xdr:from>
    <xdr:to>
      <xdr:col>3</xdr:col>
      <xdr:colOff>95250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9FB34D-CA81-44E4-99D3-3BAC7777B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457200</xdr:colOff>
      <xdr:row>12</xdr:row>
      <xdr:rowOff>209550</xdr:rowOff>
    </xdr:from>
    <xdr:to>
      <xdr:col>14</xdr:col>
      <xdr:colOff>180975</xdr:colOff>
      <xdr:row>38</xdr:row>
      <xdr:rowOff>85725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044D380-BAE5-4127-B137-D80A041E8EB4}"/>
            </a:ext>
          </a:extLst>
        </xdr:cNvPr>
        <xdr:cNvGrpSpPr/>
      </xdr:nvGrpSpPr>
      <xdr:grpSpPr>
        <a:xfrm>
          <a:off x="5895975" y="2581275"/>
          <a:ext cx="5981700" cy="6076950"/>
          <a:chOff x="8610600" y="3048000"/>
          <a:chExt cx="7448550" cy="4881564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C741ACF2-A796-F298-7478-9F05BAEB202B}"/>
              </a:ext>
            </a:extLst>
          </xdr:cNvPr>
          <xdr:cNvGraphicFramePr/>
        </xdr:nvGraphicFramePr>
        <xdr:xfrm>
          <a:off x="8610600" y="3048000"/>
          <a:ext cx="4648200" cy="48815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5264B8F3-51F9-69E9-027A-488B203492C2}"/>
              </a:ext>
            </a:extLst>
          </xdr:cNvPr>
          <xdr:cNvGraphicFramePr/>
        </xdr:nvGraphicFramePr>
        <xdr:xfrm>
          <a:off x="12792075" y="3048000"/>
          <a:ext cx="3267075" cy="48815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absolute">
    <xdr:from>
      <xdr:col>0</xdr:col>
      <xdr:colOff>590549</xdr:colOff>
      <xdr:row>0</xdr:row>
      <xdr:rowOff>180975</xdr:rowOff>
    </xdr:from>
    <xdr:to>
      <xdr:col>9</xdr:col>
      <xdr:colOff>152400</xdr:colOff>
      <xdr:row>5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46542B-2FB0-F91D-7E47-25BE4DD97F82}"/>
            </a:ext>
          </a:extLst>
        </xdr:cNvPr>
        <xdr:cNvSpPr txBox="1"/>
      </xdr:nvSpPr>
      <xdr:spPr>
        <a:xfrm>
          <a:off x="590549" y="180975"/>
          <a:ext cx="8210551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CA" sz="3200" b="1">
              <a:solidFill>
                <a:schemeClr val="tx1">
                  <a:lumMod val="85000"/>
                  <a:lumOff val="15000"/>
                </a:schemeClr>
              </a:solidFill>
            </a:rPr>
            <a:t>REGIONAL REVENUE DASHBOARD</a:t>
          </a:r>
        </a:p>
      </xdr:txBody>
    </xdr:sp>
    <xdr:clientData/>
  </xdr:twoCellAnchor>
  <xdr:twoCellAnchor editAs="absolute">
    <xdr:from>
      <xdr:col>1</xdr:col>
      <xdr:colOff>111919</xdr:colOff>
      <xdr:row>19</xdr:row>
      <xdr:rowOff>104775</xdr:rowOff>
    </xdr:from>
    <xdr:to>
      <xdr:col>2</xdr:col>
      <xdr:colOff>1743075</xdr:colOff>
      <xdr:row>21</xdr:row>
      <xdr:rowOff>95250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927FF0C-A9D1-294C-7D98-EE38796928AC}"/>
            </a:ext>
          </a:extLst>
        </xdr:cNvPr>
        <xdr:cNvSpPr txBox="1"/>
      </xdr:nvSpPr>
      <xdr:spPr>
        <a:xfrm>
          <a:off x="721519" y="4371975"/>
          <a:ext cx="4069556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...and the </a:t>
          </a:r>
          <a:r>
            <a:rPr lang="en-US" sz="1800" b="1">
              <a:solidFill>
                <a:schemeClr val="tx1">
                  <a:lumMod val="75000"/>
                  <a:lumOff val="25000"/>
                </a:schemeClr>
              </a:solidFill>
            </a:rPr>
            <a:t>revenue trend </a:t>
          </a:r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in </a:t>
          </a:r>
          <a:r>
            <a:rPr lang="en-US" sz="1800" b="1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 vs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800" b="0" baseline="0">
              <a:solidFill>
                <a:schemeClr val="bg1">
                  <a:lumMod val="65000"/>
                </a:schemeClr>
              </a:solidFill>
            </a:rPr>
            <a:t>2020</a:t>
          </a:r>
          <a:endParaRPr lang="en-CA" sz="1800" b="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533401</xdr:colOff>
      <xdr:row>9</xdr:row>
      <xdr:rowOff>66674</xdr:rowOff>
    </xdr:from>
    <xdr:to>
      <xdr:col>13</xdr:col>
      <xdr:colOff>200025</xdr:colOff>
      <xdr:row>11</xdr:row>
      <xdr:rowOff>133349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68F3A4F-BF65-71A5-DE40-ED11F006460E}"/>
            </a:ext>
          </a:extLst>
        </xdr:cNvPr>
        <xdr:cNvSpPr txBox="1"/>
      </xdr:nvSpPr>
      <xdr:spPr>
        <a:xfrm>
          <a:off x="6743701" y="1866899"/>
          <a:ext cx="4543424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How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800" b="1" baseline="0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compare to the </a:t>
          </a:r>
          <a:r>
            <a:rPr lang="en-US" sz="1800" b="1" baseline="0">
              <a:solidFill>
                <a:schemeClr val="bg1">
                  <a:lumMod val="65000"/>
                </a:schemeClr>
              </a:solidFill>
            </a:rPr>
            <a:t>other regions</a:t>
          </a:r>
          <a:endParaRPr lang="en-CA" sz="18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absolute">
    <xdr:from>
      <xdr:col>16</xdr:col>
      <xdr:colOff>85725</xdr:colOff>
      <xdr:row>9</xdr:row>
      <xdr:rowOff>19050</xdr:rowOff>
    </xdr:from>
    <xdr:to>
      <xdr:col>22</xdr:col>
      <xdr:colOff>1171575</xdr:colOff>
      <xdr:row>11</xdr:row>
      <xdr:rowOff>85725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6C78478-B9F8-9AF3-1D85-CDC18E333A34}"/>
            </a:ext>
          </a:extLst>
        </xdr:cNvPr>
        <xdr:cNvSpPr txBox="1"/>
      </xdr:nvSpPr>
      <xdr:spPr>
        <a:xfrm>
          <a:off x="13001625" y="1819275"/>
          <a:ext cx="429577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0">
              <a:solidFill>
                <a:schemeClr val="tx1">
                  <a:lumMod val="75000"/>
                  <a:lumOff val="25000"/>
                </a:schemeClr>
              </a:solidFill>
            </a:rPr>
            <a:t>The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products that drove the </a:t>
          </a:r>
          <a:r>
            <a:rPr lang="en-US" sz="1800" b="1" baseline="0">
              <a:solidFill>
                <a:schemeClr val="accent6">
                  <a:lumMod val="75000"/>
                </a:schemeClr>
              </a:solidFill>
            </a:rPr>
            <a:t>most growth</a:t>
          </a:r>
          <a:r>
            <a:rPr lang="en-US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...</a:t>
          </a:r>
          <a:endParaRPr lang="en-CA" sz="1800" b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571500</xdr:colOff>
      <xdr:row>21</xdr:row>
      <xdr:rowOff>95250</xdr:rowOff>
    </xdr:from>
    <xdr:to>
      <xdr:col>23</xdr:col>
      <xdr:colOff>57150</xdr:colOff>
      <xdr:row>23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C14E3BC-2C54-EFB9-070D-E44D13AA5D76}"/>
            </a:ext>
          </a:extLst>
        </xdr:cNvPr>
        <xdr:cNvSpPr txBox="1"/>
      </xdr:nvSpPr>
      <xdr:spPr>
        <a:xfrm>
          <a:off x="12877800" y="4819650"/>
          <a:ext cx="4724400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800" b="0">
              <a:solidFill>
                <a:schemeClr val="tx1">
                  <a:lumMod val="75000"/>
                  <a:lumOff val="25000"/>
                </a:schemeClr>
              </a:solidFill>
            </a:rPr>
            <a:t>...while</a:t>
          </a:r>
          <a:r>
            <a:rPr lang="en-CA" sz="1800" b="0" baseline="0">
              <a:solidFill>
                <a:schemeClr val="tx1">
                  <a:lumMod val="75000"/>
                  <a:lumOff val="25000"/>
                </a:schemeClr>
              </a:solidFill>
            </a:rPr>
            <a:t> these products caused the </a:t>
          </a:r>
          <a:r>
            <a:rPr lang="en-CA" sz="1800" b="1" baseline="0">
              <a:solidFill>
                <a:srgbClr val="C00000"/>
              </a:solidFill>
            </a:rPr>
            <a:t>most losses</a:t>
          </a:r>
          <a:endParaRPr lang="en-CA" sz="18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1</xdr:col>
      <xdr:colOff>66677</xdr:colOff>
      <xdr:row>9</xdr:row>
      <xdr:rowOff>38099</xdr:rowOff>
    </xdr:from>
    <xdr:to>
      <xdr:col>2</xdr:col>
      <xdr:colOff>1748241</xdr:colOff>
      <xdr:row>18</xdr:row>
      <xdr:rowOff>257175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F5E4E810-188C-2BFB-536B-2E74F38368B3}"/>
            </a:ext>
          </a:extLst>
        </xdr:cNvPr>
        <xdr:cNvGrpSpPr/>
      </xdr:nvGrpSpPr>
      <xdr:grpSpPr>
        <a:xfrm>
          <a:off x="676277" y="1838324"/>
          <a:ext cx="4119964" cy="2419351"/>
          <a:chOff x="415029" y="1857375"/>
          <a:chExt cx="2469004" cy="1966913"/>
        </a:xfrm>
      </xdr:grpSpPr>
      <xdr:sp macro="" textlink="'Data Prep'!$F$3">
        <xdr:nvSpPr>
          <xdr:cNvPr id="2" name="TextBox 1">
            <a:extLst>
              <a:ext uri="{FF2B5EF4-FFF2-40B4-BE49-F238E27FC236}">
                <a16:creationId xmlns:a16="http://schemas.microsoft.com/office/drawing/2014/main" id="{F3CFD30B-0606-413A-B036-78403390D164}"/>
              </a:ext>
            </a:extLst>
          </xdr:cNvPr>
          <xdr:cNvSpPr txBox="1"/>
        </xdr:nvSpPr>
        <xdr:spPr>
          <a:xfrm>
            <a:off x="415029" y="2305050"/>
            <a:ext cx="2469004" cy="600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62EA2EA-63A3-44FC-BEFD-2B0C3CEC3895}" type="TxLink">
              <a:rPr lang="en-US" sz="6000" b="1" i="0" u="none" strike="noStrike">
                <a:solidFill>
                  <a:schemeClr val="accent1">
                    <a:lumMod val="75000"/>
                  </a:schemeClr>
                </a:solidFill>
                <a:latin typeface="Calibri"/>
                <a:cs typeface="Calibri"/>
              </a:rPr>
              <a:pPr algn="ctr"/>
              <a:t>$94,953</a:t>
            </a:fld>
            <a:endParaRPr lang="en-CA" sz="13800" b="1">
              <a:solidFill>
                <a:schemeClr val="accent1">
                  <a:lumMod val="75000"/>
                </a:schemeClr>
              </a:solidFill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pic>
            <xdr:nvPicPr>
              <xdr:cNvPr id="3" name="Picture 2">
                <a:extLst>
                  <a:ext uri="{FF2B5EF4-FFF2-40B4-BE49-F238E27FC236}">
                    <a16:creationId xmlns:a16="http://schemas.microsoft.com/office/drawing/2014/main" id="{264C4FF7-339C-4ED0-97E2-E2B905F91A7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Data Prep'!$F$6" spid="_x0000_s5157"/>
                  </a:ext>
                </a:extLst>
              </xdr:cNvPicPr>
            </xdr:nvPicPr>
            <xdr:blipFill>
              <a:blip xmlns:r="http://schemas.openxmlformats.org/officeDocument/2006/relationships" r:embed="rId4"/>
              <a:srcRect/>
              <a:stretch>
                <a:fillRect/>
              </a:stretch>
            </xdr:blipFill>
            <xdr:spPr bwMode="auto">
              <a:xfrm>
                <a:off x="650329" y="2952750"/>
                <a:ext cx="854949" cy="448204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pic>
            <xdr:nvPicPr>
              <xdr:cNvPr id="4" name="Picture 3">
                <a:extLst>
                  <a:ext uri="{FF2B5EF4-FFF2-40B4-BE49-F238E27FC236}">
                    <a16:creationId xmlns:a16="http://schemas.microsoft.com/office/drawing/2014/main" id="{C9C2321C-5FB4-4713-8EB8-17E6B68B10BF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'Data Prep'!$F$7" spid="_x0000_s5158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1906984" y="2967302"/>
                <a:ext cx="791294" cy="41910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A30D151-F4F9-D0EA-53AE-ABA4BAE81918}"/>
              </a:ext>
            </a:extLst>
          </xdr:cNvPr>
          <xdr:cNvSpPr txBox="1"/>
        </xdr:nvSpPr>
        <xdr:spPr>
          <a:xfrm>
            <a:off x="490148" y="1857375"/>
            <a:ext cx="2316584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CA" sz="1800" b="0">
                <a:solidFill>
                  <a:schemeClr val="tx1">
                    <a:lumMod val="75000"/>
                    <a:lumOff val="25000"/>
                  </a:schemeClr>
                </a:solidFill>
              </a:rPr>
              <a:t>This was the </a:t>
            </a:r>
            <a:r>
              <a:rPr lang="en-CA" sz="1800" b="1">
                <a:solidFill>
                  <a:schemeClr val="accent1">
                    <a:lumMod val="75000"/>
                  </a:schemeClr>
                </a:solidFill>
              </a:rPr>
              <a:t>revenue</a:t>
            </a:r>
            <a:r>
              <a:rPr lang="en-CA" sz="1800" b="0">
                <a:solidFill>
                  <a:schemeClr val="tx1">
                    <a:lumMod val="75000"/>
                    <a:lumOff val="25000"/>
                  </a:schemeClr>
                </a:solidFill>
              </a:rPr>
              <a:t> we drove in...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837BEBF-CB7F-5A54-E8C5-DFAEC9AD8376}"/>
              </a:ext>
            </a:extLst>
          </xdr:cNvPr>
          <xdr:cNvSpPr txBox="1"/>
        </xdr:nvSpPr>
        <xdr:spPr>
          <a:xfrm>
            <a:off x="452437" y="3376613"/>
            <a:ext cx="1152526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chemeClr val="tx1">
                    <a:lumMod val="75000"/>
                    <a:lumOff val="25000"/>
                  </a:schemeClr>
                </a:solidFill>
              </a:rPr>
              <a:t>vs last</a:t>
            </a:r>
            <a:r>
              <a:rPr lang="en-US" sz="1600" b="1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year</a:t>
            </a:r>
            <a:endParaRPr lang="en-CA" sz="16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CB607B8D-33E4-E3D6-74C5-E9F2E820DE20}"/>
              </a:ext>
            </a:extLst>
          </xdr:cNvPr>
          <xdr:cNvSpPr txBox="1"/>
        </xdr:nvSpPr>
        <xdr:spPr>
          <a:xfrm>
            <a:off x="1733549" y="3376613"/>
            <a:ext cx="1143001" cy="447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solidFill>
                  <a:schemeClr val="tx1">
                    <a:lumMod val="75000"/>
                    <a:lumOff val="25000"/>
                  </a:schemeClr>
                </a:solidFill>
              </a:rPr>
              <a:t>vs last month</a:t>
            </a:r>
            <a:endParaRPr lang="en-CA" sz="1600" b="1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E1A27B95-842E-91D7-48FF-987A113B5824}"/>
              </a:ext>
            </a:extLst>
          </xdr:cNvPr>
          <xdr:cNvCxnSpPr/>
        </xdr:nvCxnSpPr>
        <xdr:spPr>
          <a:xfrm flipH="1">
            <a:off x="1666875" y="3076575"/>
            <a:ext cx="8109" cy="600075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552450</xdr:colOff>
      <xdr:row>8</xdr:row>
      <xdr:rowOff>28575</xdr:rowOff>
    </xdr:from>
    <xdr:to>
      <xdr:col>22</xdr:col>
      <xdr:colOff>1352550</xdr:colOff>
      <xdr:row>8</xdr:row>
      <xdr:rowOff>28575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45807D42-2876-2A12-344C-94F2F7201942}"/>
            </a:ext>
          </a:extLst>
        </xdr:cNvPr>
        <xdr:cNvCxnSpPr/>
      </xdr:nvCxnSpPr>
      <xdr:spPr>
        <a:xfrm>
          <a:off x="552450" y="1638300"/>
          <a:ext cx="16983075" cy="0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3EEA6-5A71-4E5E-919B-109D6C2C5371}" name="Data" displayName="Data" ref="A1:J4266" totalsRowShown="0" headerRowDxfId="4">
  <autoFilter ref="A1:J4266" xr:uid="{A3E3EEA6-5A71-4E5E-919B-109D6C2C5371}"/>
  <tableColumns count="10">
    <tableColumn id="1" xr3:uid="{AE752F22-B6C1-4295-B9CE-5A00D8A040B7}" name="Year"/>
    <tableColumn id="2" xr3:uid="{29B6B5A7-542A-4381-AA9B-03291EFC42C8}" name="Month"/>
    <tableColumn id="3" xr3:uid="{50E369A0-E01B-4360-9161-FE2451D5D508}" name="Store Name"/>
    <tableColumn id="4" xr3:uid="{730420AA-D0C4-43B6-B66C-7356687149D7}" name="Region"/>
    <tableColumn id="5" xr3:uid="{4B7FBA7B-3D4E-4456-956F-9C2CBEEF352F}" name="Store Type"/>
    <tableColumn id="6" xr3:uid="{A66AA8A2-21ED-4007-BED8-C543BA757E49}" name="Product Name"/>
    <tableColumn id="7" xr3:uid="{F7EF605D-AFDF-4FD0-A891-316D0AA877DE}" name="Product Category"/>
    <tableColumn id="8" xr3:uid="{E695CAF1-D322-4C08-8D61-C4B0EB17CC26}" name="Units Sold"/>
    <tableColumn id="9" xr3:uid="{BC2EE02B-3749-442D-8759-FBCCCAFC8F1A}" name="Revenue" dataDxfId="3"/>
    <tableColumn id="10" xr3:uid="{0DA9B450-2976-44AA-B6A0-C0E26110B8BC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zoomScaleNormal="100" workbookViewId="0">
      <selection activeCell="A4267" sqref="A4267"/>
    </sheetView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5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SUMIFS(I:I,D:D,_xlfn.SINGLE(Region),C:C,AW3,G:G,AX3,A:A,_xlfn.SINGLE(CurYear),B:B,_xlfn.SINGLE(CurMonth))</f>
        <v>0</v>
      </c>
    </row>
    <row r="4" spans="1:51" x14ac:dyDescent="0.25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25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25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25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25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25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25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25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25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25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25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25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25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25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25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25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25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25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25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25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25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25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25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25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25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11614.690000000002</v>
      </c>
    </row>
    <row r="29" spans="1:51" x14ac:dyDescent="0.25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2064.44</v>
      </c>
    </row>
    <row r="30" spans="1:51" x14ac:dyDescent="0.25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389.74</v>
      </c>
    </row>
    <row r="31" spans="1:51" x14ac:dyDescent="0.25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3356.0000000000005</v>
      </c>
    </row>
    <row r="32" spans="1:51" x14ac:dyDescent="0.25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4404.9199999999992</v>
      </c>
    </row>
    <row r="33" spans="1:51" x14ac:dyDescent="0.25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7264.0700000000006</v>
      </c>
    </row>
    <row r="34" spans="1:51" x14ac:dyDescent="0.25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1870.42</v>
      </c>
    </row>
    <row r="35" spans="1:51" x14ac:dyDescent="0.25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3">
        <f t="shared" ref="AY35:AY52" si="3">SUMIFS(I:I,D:D,_xlfn.SINGLE(Region),C:C,AW35,G:G,AX35,A:A,_xlfn.SINGLE(CurYear),B:B,_xlfn.SINGLE(CurMonth))</f>
        <v>2643.4500000000003</v>
      </c>
    </row>
    <row r="36" spans="1:51" x14ac:dyDescent="0.25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1386.08</v>
      </c>
    </row>
    <row r="37" spans="1:51" x14ac:dyDescent="0.25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2967.7599999999998</v>
      </c>
    </row>
    <row r="38" spans="1:51" x14ac:dyDescent="0.25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5912.5400000000009</v>
      </c>
    </row>
    <row r="39" spans="1:51" x14ac:dyDescent="0.25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2679.7799999999997</v>
      </c>
    </row>
    <row r="40" spans="1:51" x14ac:dyDescent="0.25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1759.0099999999998</v>
      </c>
    </row>
    <row r="41" spans="1:51" x14ac:dyDescent="0.25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4014.55</v>
      </c>
    </row>
    <row r="42" spans="1:51" x14ac:dyDescent="0.25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6524.26</v>
      </c>
    </row>
    <row r="43" spans="1:51" x14ac:dyDescent="0.25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13971.98</v>
      </c>
    </row>
    <row r="44" spans="1:51" x14ac:dyDescent="0.25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4241.28</v>
      </c>
    </row>
    <row r="45" spans="1:51" x14ac:dyDescent="0.25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2660.5299999999997</v>
      </c>
    </row>
    <row r="46" spans="1:51" x14ac:dyDescent="0.25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7464.3899999999994</v>
      </c>
    </row>
    <row r="47" spans="1:51" x14ac:dyDescent="0.25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7763.5800000000008</v>
      </c>
    </row>
    <row r="48" spans="1:51" x14ac:dyDescent="0.25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25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25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25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25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25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9B4D-97FE-471E-9F56-0FBD20D9FA24}">
  <dimension ref="B2:AK37"/>
  <sheetViews>
    <sheetView workbookViewId="0">
      <selection activeCell="I20" sqref="I20"/>
    </sheetView>
  </sheetViews>
  <sheetFormatPr defaultRowHeight="15" x14ac:dyDescent="0.25"/>
  <cols>
    <col min="2" max="2" width="15.85546875" bestFit="1" customWidth="1"/>
    <col min="3" max="3" width="12.85546875" customWidth="1"/>
    <col min="5" max="5" width="15.5703125" bestFit="1" customWidth="1"/>
    <col min="6" max="6" width="7.5703125" bestFit="1" customWidth="1"/>
    <col min="8" max="8" width="8.42578125" bestFit="1" customWidth="1"/>
    <col min="9" max="9" width="7" bestFit="1" customWidth="1"/>
    <col min="10" max="10" width="7.5703125" bestFit="1" customWidth="1"/>
    <col min="11" max="11" width="9.42578125" customWidth="1"/>
    <col min="13" max="13" width="12.85546875" bestFit="1" customWidth="1"/>
    <col min="14" max="14" width="8.85546875" bestFit="1" customWidth="1"/>
    <col min="15" max="15" width="12.28515625" bestFit="1" customWidth="1"/>
    <col min="16" max="16" width="15" bestFit="1" customWidth="1"/>
    <col min="17" max="17" width="18.28515625" customWidth="1"/>
    <col min="18" max="18" width="22.7109375" customWidth="1"/>
    <col min="20" max="20" width="12.85546875" bestFit="1" customWidth="1"/>
    <col min="21" max="21" width="8.85546875" bestFit="1" customWidth="1"/>
    <col min="22" max="22" width="12.28515625" bestFit="1" customWidth="1"/>
    <col min="23" max="23" width="15" bestFit="1" customWidth="1"/>
    <col min="24" max="24" width="19" customWidth="1"/>
    <col min="25" max="25" width="22.42578125" customWidth="1"/>
    <col min="27" max="27" width="16.42578125" bestFit="1" customWidth="1"/>
    <col min="28" max="28" width="8.85546875" bestFit="1" customWidth="1"/>
    <col min="29" max="29" width="12.28515625" bestFit="1" customWidth="1"/>
    <col min="30" max="30" width="12.85546875" bestFit="1" customWidth="1"/>
    <col min="31" max="31" width="8.140625" bestFit="1" customWidth="1"/>
    <col min="32" max="32" width="7.85546875" bestFit="1" customWidth="1"/>
    <col min="34" max="34" width="14" bestFit="1" customWidth="1"/>
    <col min="35" max="35" width="18.5703125" customWidth="1"/>
    <col min="36" max="36" width="8.85546875" bestFit="1" customWidth="1"/>
    <col min="37" max="37" width="14.85546875" customWidth="1"/>
  </cols>
  <sheetData>
    <row r="2" spans="2:37" x14ac:dyDescent="0.25">
      <c r="B2" s="16" t="s">
        <v>78</v>
      </c>
      <c r="C2" s="16"/>
      <c r="E2" s="15" t="s">
        <v>83</v>
      </c>
      <c r="F2" s="15"/>
      <c r="H2" s="15" t="s">
        <v>90</v>
      </c>
      <c r="I2" s="15"/>
      <c r="J2" s="15"/>
      <c r="K2" s="15"/>
      <c r="M2" s="15" t="s">
        <v>104</v>
      </c>
      <c r="N2" s="15"/>
      <c r="O2" s="15"/>
      <c r="P2" s="15"/>
      <c r="Q2" s="15"/>
      <c r="R2" s="14"/>
      <c r="T2" s="15" t="s">
        <v>107</v>
      </c>
      <c r="U2" s="15"/>
      <c r="V2" s="15"/>
      <c r="W2" s="15"/>
      <c r="X2" s="15"/>
      <c r="Y2" s="15"/>
      <c r="AA2" s="15" t="s">
        <v>108</v>
      </c>
      <c r="AB2" s="15"/>
      <c r="AC2" s="15"/>
      <c r="AD2" s="15"/>
      <c r="AE2" s="15"/>
      <c r="AF2" s="15"/>
      <c r="AH2" s="15" t="s">
        <v>111</v>
      </c>
      <c r="AI2" s="15"/>
      <c r="AJ2" s="15"/>
      <c r="AK2" s="15"/>
    </row>
    <row r="3" spans="2:37" x14ac:dyDescent="0.25">
      <c r="B3" s="6" t="s">
        <v>75</v>
      </c>
      <c r="C3" s="6" t="s">
        <v>76</v>
      </c>
      <c r="E3" s="8" t="s">
        <v>84</v>
      </c>
      <c r="F3" s="10">
        <f>SUMIFS(Data[Revenue],Data[Year],CurYear,Data[Month],CurMonth,Data[Region],Region)</f>
        <v>94953.469999999958</v>
      </c>
      <c r="H3" s="11" t="s">
        <v>91</v>
      </c>
      <c r="I3" s="11" t="s">
        <v>49</v>
      </c>
      <c r="J3" s="11">
        <f>PrevYear</f>
        <v>2020</v>
      </c>
      <c r="K3" s="11">
        <f>CurYear</f>
        <v>2021</v>
      </c>
      <c r="M3" s="11" t="s">
        <v>63</v>
      </c>
      <c r="N3" s="11" t="s">
        <v>46</v>
      </c>
      <c r="O3" s="11" t="s">
        <v>105</v>
      </c>
      <c r="P3" s="11" t="s">
        <v>106</v>
      </c>
      <c r="Q3" s="11" t="s">
        <v>115</v>
      </c>
      <c r="R3" s="11" t="s">
        <v>116</v>
      </c>
      <c r="T3" s="11" t="s">
        <v>63</v>
      </c>
      <c r="U3" s="11" t="s">
        <v>46</v>
      </c>
      <c r="V3" s="11" t="s">
        <v>105</v>
      </c>
      <c r="W3" s="11" t="s">
        <v>106</v>
      </c>
      <c r="X3" s="11" t="s">
        <v>115</v>
      </c>
      <c r="Y3" s="11" t="s">
        <v>116</v>
      </c>
      <c r="AA3" s="11" t="s">
        <v>74</v>
      </c>
      <c r="AB3" s="11" t="s">
        <v>46</v>
      </c>
      <c r="AC3" s="11" t="s">
        <v>105</v>
      </c>
      <c r="AD3" s="11" t="s">
        <v>113</v>
      </c>
      <c r="AE3" s="11" t="s">
        <v>109</v>
      </c>
      <c r="AF3" s="11" t="s">
        <v>110</v>
      </c>
      <c r="AH3" s="11" t="s">
        <v>112</v>
      </c>
      <c r="AI3" s="11" t="s">
        <v>74</v>
      </c>
      <c r="AJ3" s="11" t="s">
        <v>46</v>
      </c>
      <c r="AK3" s="11" t="s">
        <v>113</v>
      </c>
    </row>
    <row r="4" spans="2:37" x14ac:dyDescent="0.25">
      <c r="B4" t="str" cm="1">
        <f t="array" ref="B4:B6">_xlfn.UNIQUE(Data[Region])</f>
        <v>Los Angeles</v>
      </c>
      <c r="C4" t="str">
        <f>Dashboard!C7</f>
        <v>Chicago</v>
      </c>
      <c r="E4" s="8" t="s">
        <v>86</v>
      </c>
      <c r="F4" s="10">
        <f>SUMIFS(Data[Revenue],Data[Region],Region,Data[Month],CurMonth,Data[Year],PrevYear)</f>
        <v>70835.710000000006</v>
      </c>
      <c r="H4" s="12">
        <v>1</v>
      </c>
      <c r="I4" s="12" t="s">
        <v>92</v>
      </c>
      <c r="J4" s="3">
        <f>SUMIFS(Data[Revenue],Data[Region],Region,Data[Month],'Data Prep'!$H4,Data[Year],'Data Prep'!$J$3)</f>
        <v>63051.609999999993</v>
      </c>
      <c r="K4" s="3">
        <f>IF(H4&gt;CurMonth,NA(),SUMIFS(Data[Revenue],Data[Region],Region,Data[Month],'Data Prep'!$H4,Data[Year],'Data Prep'!$K$3))</f>
        <v>81321.820000000022</v>
      </c>
      <c r="M4" t="s">
        <v>59</v>
      </c>
      <c r="N4" s="3">
        <f>SUMIFS(Data[Revenue],Data[Store Name],M4,Data[Month],CurMonth,Data[Year],CurYear)</f>
        <v>12894.550000000001</v>
      </c>
      <c r="O4" s="3">
        <f>SUMIFS(Data[Revenue],Data[Store Name],M4,Data[Month],PrevMonth,Data[Year],PMYear)</f>
        <v>9291.49</v>
      </c>
      <c r="P4" s="13">
        <f t="shared" ref="P4:P13" si="0">N4/O4-1</f>
        <v>0.38778064659166622</v>
      </c>
      <c r="Q4" s="3">
        <f>SUMIFS(Data[Revenue],Data[Region],Region,Data[Store Name],'Data Prep'!M4,Data[Month],CurMonth,Data[Year],CurYear)</f>
        <v>0</v>
      </c>
      <c r="R4" s="13">
        <f>IF(Q4&lt;&gt;0,P4,0)</f>
        <v>0</v>
      </c>
      <c r="T4" t="str" cm="1">
        <f t="array" ref="T4:Y13">_xlfn._xlws.SORT(M4:R13,2,1)</f>
        <v>Hollywood</v>
      </c>
      <c r="U4" s="3">
        <v>12894.550000000001</v>
      </c>
      <c r="V4" s="3">
        <v>9291.49</v>
      </c>
      <c r="W4" s="13">
        <v>0.38778064659166622</v>
      </c>
      <c r="X4" s="3">
        <v>0</v>
      </c>
      <c r="Y4" s="13">
        <v>0</v>
      </c>
      <c r="AA4" t="str" cm="1">
        <f t="array" ref="AA4:AA37">_xlfn.UNIQUE(Data[Product Name])</f>
        <v>Action Figure</v>
      </c>
      <c r="AB4" s="3">
        <f>SUMIFS(Data[Revenue],Data[Product Name],'Data Prep'!AA4,Data[Region],Region,Data[Month],CurMonth,Data[Year],CurYear)</f>
        <v>3965.52</v>
      </c>
      <c r="AC4" s="3">
        <f>SUMIFS(Data[Revenue],Data[Product Name],'Data Prep'!AA4,Data[Region],Region,Data[Month],PrevMonth,Data[Year],PMYear)</f>
        <v>6300.0599999999995</v>
      </c>
      <c r="AD4" s="2">
        <f>AB4-AC4</f>
        <v>-2334.5399999999995</v>
      </c>
      <c r="AE4">
        <f>_xlfn.RANK.AVG(AD4,$AD$4:$AD$37,0)</f>
        <v>32</v>
      </c>
      <c r="AF4">
        <f>_xlfn.RANK.AVG(AD4,$AD$4:$AD$37,1)</f>
        <v>3</v>
      </c>
      <c r="AH4">
        <v>1</v>
      </c>
      <c r="AI4" t="str">
        <f>INDEX($AA$4:$AD$37,MATCH($AH4,$AE$4:$AE$37,0),MATCH(AI$3,$AA$3:$AD$3,0))</f>
        <v>Lego Bricks</v>
      </c>
      <c r="AJ4" s="3">
        <f t="shared" ref="AJ4:AK9" si="1">INDEX($AA$4:$AD$37,MATCH($AH4,$AE$4:$AE$37,0),MATCH(AJ$3,$AA$3:$AD$3,0))</f>
        <v>19035.240000000002</v>
      </c>
      <c r="AK4" s="2">
        <f t="shared" si="1"/>
        <v>4718.8200000000033</v>
      </c>
    </row>
    <row r="5" spans="2:37" x14ac:dyDescent="0.25">
      <c r="B5" t="str">
        <v>New York</v>
      </c>
      <c r="E5" s="8" t="s">
        <v>87</v>
      </c>
      <c r="F5" s="10">
        <f>SUMIFS(Data[Revenue],Data[Region],Region,Data[Month],PrevMonth,Data[Year],PMYear)</f>
        <v>91637.330000000016</v>
      </c>
      <c r="H5" s="12">
        <v>2</v>
      </c>
      <c r="I5" s="12" t="s">
        <v>93</v>
      </c>
      <c r="J5" s="3">
        <f>SUMIFS(Data[Revenue],Data[Region],Region,Data[Month],'Data Prep'!$H5,Data[Year],'Data Prep'!$J$3)</f>
        <v>65298.220000000023</v>
      </c>
      <c r="K5" s="3">
        <f>IF(H5&gt;CurMonth,NA(),SUMIFS(Data[Revenue],Data[Region],Region,Data[Month],'Data Prep'!$H5,Data[Year],'Data Prep'!$K$3))</f>
        <v>87902.16</v>
      </c>
      <c r="M5" t="s">
        <v>56</v>
      </c>
      <c r="N5" s="3">
        <f>SUMIFS(Data[Revenue],Data[Store Name],M5,Data[Month],CurMonth,Data[Year],CurYear)</f>
        <v>14836.320000000002</v>
      </c>
      <c r="O5" s="3">
        <f>SUMIFS(Data[Revenue],Data[Store Name],M5,Data[Month],PrevMonth,Data[Year],PMYear)</f>
        <v>11676.369999999999</v>
      </c>
      <c r="P5" s="13">
        <f t="shared" si="0"/>
        <v>0.27062777215864209</v>
      </c>
      <c r="Q5" s="3">
        <f>SUMIFS(Data[Revenue],Data[Region],Region,Data[Store Name],'Data Prep'!M5,Data[Month],CurMonth,Data[Year],CurYear)</f>
        <v>0</v>
      </c>
      <c r="R5" s="13">
        <f t="shared" ref="R5:R13" si="2">IF(Q5&lt;&gt;0,P5,0)</f>
        <v>0</v>
      </c>
      <c r="T5" t="str">
        <v>Beverly Hills</v>
      </c>
      <c r="U5" s="3">
        <v>14836.320000000002</v>
      </c>
      <c r="V5" s="3">
        <v>11676.369999999999</v>
      </c>
      <c r="W5" s="13">
        <v>0.27062777215864209</v>
      </c>
      <c r="X5" s="3">
        <v>0</v>
      </c>
      <c r="Y5" s="13">
        <v>0</v>
      </c>
      <c r="AA5" t="str">
        <v>Animal Figures</v>
      </c>
      <c r="AB5" s="3">
        <f>SUMIFS(Data[Revenue],Data[Product Name],'Data Prep'!AA5,Data[Region],Region,Data[Month],CurMonth,Data[Year],CurYear)</f>
        <v>5066.1000000000004</v>
      </c>
      <c r="AC5" s="3">
        <f>SUMIFS(Data[Revenue],Data[Product Name],'Data Prep'!AA5,Data[Region],Region,Data[Month],PrevMonth,Data[Year],PMYear)</f>
        <v>3234.5099999999998</v>
      </c>
      <c r="AD5" s="2">
        <f t="shared" ref="AD5:AD37" si="3">AB5-AC5</f>
        <v>1831.5900000000006</v>
      </c>
      <c r="AE5">
        <f t="shared" ref="AE5:AE37" si="4">_xlfn.RANK.AVG(AD5,$AD$4:$AD$37,0)</f>
        <v>4</v>
      </c>
      <c r="AF5">
        <f t="shared" ref="AF5:AF37" si="5">_xlfn.RANK.AVG(AD5,$AD$4:$AD$37,1)</f>
        <v>31</v>
      </c>
      <c r="AH5">
        <v>2</v>
      </c>
      <c r="AI5" t="str">
        <f t="shared" ref="AI5:AI9" si="6">INDEX($AA$4:$AD$37,MATCH($AH5,$AE$4:$AE$37,0),MATCH(AI$3,$AA$3:$AD$3,0))</f>
        <v>Etch A Sketch</v>
      </c>
      <c r="AJ5" s="3">
        <f t="shared" si="1"/>
        <v>4407.8999999999996</v>
      </c>
      <c r="AK5" s="2">
        <f t="shared" si="1"/>
        <v>2896.62</v>
      </c>
    </row>
    <row r="6" spans="2:37" x14ac:dyDescent="0.25">
      <c r="B6" t="str">
        <v>Chicago</v>
      </c>
      <c r="E6" s="8" t="s">
        <v>88</v>
      </c>
      <c r="F6" s="17">
        <f>F3/F4-1</f>
        <v>0.34047459960519832</v>
      </c>
      <c r="H6" s="12">
        <v>3</v>
      </c>
      <c r="I6" s="12" t="s">
        <v>94</v>
      </c>
      <c r="J6" s="3">
        <f>SUMIFS(Data[Revenue],Data[Region],Region,Data[Month],'Data Prep'!$H6,Data[Year],'Data Prep'!$J$3)</f>
        <v>64161.95</v>
      </c>
      <c r="K6" s="3">
        <f>IF(H6&gt;CurMonth,NA(),SUMIFS(Data[Revenue],Data[Region],Region,Data[Month],'Data Prep'!$H6,Data[Year],'Data Prep'!$K$3))</f>
        <v>105385.7199999999</v>
      </c>
      <c r="M6" t="s">
        <v>54</v>
      </c>
      <c r="N6" s="3">
        <f>SUMIFS(Data[Revenue],Data[Store Name],M6,Data[Month],CurMonth,Data[Year],CurYear)</f>
        <v>16131.78</v>
      </c>
      <c r="O6" s="3">
        <f>SUMIFS(Data[Revenue],Data[Store Name],M6,Data[Month],PrevMonth,Data[Year],PMYear)</f>
        <v>19646.239999999998</v>
      </c>
      <c r="P6" s="13">
        <f t="shared" si="0"/>
        <v>-0.1788871560156039</v>
      </c>
      <c r="Q6" s="3">
        <f>SUMIFS(Data[Revenue],Data[Region],Region,Data[Store Name],'Data Prep'!M6,Data[Month],CurMonth,Data[Year],CurYear)</f>
        <v>16131.78</v>
      </c>
      <c r="R6" s="13">
        <f t="shared" si="2"/>
        <v>-0.1788871560156039</v>
      </c>
      <c r="T6" t="str">
        <v>Michigan Ave</v>
      </c>
      <c r="U6" s="3">
        <v>16131.78</v>
      </c>
      <c r="V6" s="3">
        <v>19646.239999999998</v>
      </c>
      <c r="W6" s="13">
        <v>-0.1788871560156039</v>
      </c>
      <c r="X6" s="3">
        <v>16131.78</v>
      </c>
      <c r="Y6" s="13">
        <v>-0.1788871560156039</v>
      </c>
      <c r="AA6" t="str">
        <v>Chutes &amp; Ladders</v>
      </c>
      <c r="AB6" s="3">
        <f>SUMIFS(Data[Revenue],Data[Product Name],'Data Prep'!AA6,Data[Region],Region,Data[Month],CurMonth,Data[Year],CurYear)</f>
        <v>0</v>
      </c>
      <c r="AC6" s="3">
        <f>SUMIFS(Data[Revenue],Data[Product Name],'Data Prep'!AA6,Data[Region],Region,Data[Month],PrevMonth,Data[Year],PMYear)</f>
        <v>64.95</v>
      </c>
      <c r="AD6" s="2">
        <f t="shared" si="3"/>
        <v>-64.95</v>
      </c>
      <c r="AE6">
        <f t="shared" si="4"/>
        <v>18</v>
      </c>
      <c r="AF6">
        <f t="shared" si="5"/>
        <v>17</v>
      </c>
      <c r="AH6">
        <v>3</v>
      </c>
      <c r="AI6" t="str">
        <f t="shared" si="6"/>
        <v>Nerf Gun</v>
      </c>
      <c r="AJ6" s="3">
        <f t="shared" si="1"/>
        <v>5617.19</v>
      </c>
      <c r="AK6" s="2">
        <f t="shared" si="1"/>
        <v>2538.73</v>
      </c>
    </row>
    <row r="7" spans="2:37" x14ac:dyDescent="0.25">
      <c r="E7" s="8" t="s">
        <v>89</v>
      </c>
      <c r="F7" s="17">
        <f>F3/F5-1</f>
        <v>3.6187654092496357E-2</v>
      </c>
      <c r="H7" s="7">
        <v>4</v>
      </c>
      <c r="I7" s="12" t="s">
        <v>95</v>
      </c>
      <c r="J7" s="3">
        <f>SUMIFS(Data[Revenue],Data[Region],Region,Data[Month],'Data Prep'!$H7,Data[Year],'Data Prep'!$J$3)</f>
        <v>80619.25999999998</v>
      </c>
      <c r="K7" s="3">
        <f>IF(H7&gt;CurMonth,NA(),SUMIFS(Data[Revenue],Data[Region],Region,Data[Month],'Data Prep'!$H7,Data[Year],'Data Prep'!$K$3))</f>
        <v>99650.11000000003</v>
      </c>
      <c r="M7" t="s">
        <v>55</v>
      </c>
      <c r="N7" s="3">
        <f>SUMIFS(Data[Revenue],Data[Store Name],M7,Data[Month],CurMonth,Data[Year],CurYear)</f>
        <v>20890.14</v>
      </c>
      <c r="O7" s="3">
        <f>SUMIFS(Data[Revenue],Data[Store Name],M7,Data[Month],PrevMonth,Data[Year],PMYear)</f>
        <v>24100.490000000009</v>
      </c>
      <c r="P7" s="13">
        <f t="shared" si="0"/>
        <v>-0.13320683521372423</v>
      </c>
      <c r="Q7" s="3">
        <f>SUMIFS(Data[Revenue],Data[Region],Region,Data[Store Name],'Data Prep'!M7,Data[Month],CurMonth,Data[Year],CurYear)</f>
        <v>20890.14</v>
      </c>
      <c r="R7" s="13">
        <f t="shared" si="2"/>
        <v>-0.13320683521372423</v>
      </c>
      <c r="T7" t="str">
        <v>Millenium</v>
      </c>
      <c r="U7" s="3">
        <v>20890.14</v>
      </c>
      <c r="V7" s="3">
        <v>24100.490000000009</v>
      </c>
      <c r="W7" s="13">
        <v>-0.13320683521372423</v>
      </c>
      <c r="X7" s="3">
        <v>20890.14</v>
      </c>
      <c r="Y7" s="13">
        <v>-0.13320683521372423</v>
      </c>
      <c r="AA7" t="str">
        <v>Classic Dominoes</v>
      </c>
      <c r="AB7" s="3">
        <f>SUMIFS(Data[Revenue],Data[Product Name],'Data Prep'!AA7,Data[Region],Region,Data[Month],CurMonth,Data[Year],CurYear)</f>
        <v>299.7</v>
      </c>
      <c r="AC7" s="3">
        <f>SUMIFS(Data[Revenue],Data[Product Name],'Data Prep'!AA7,Data[Region],Region,Data[Month],PrevMonth,Data[Year],PMYear)</f>
        <v>129.87</v>
      </c>
      <c r="AD7" s="2">
        <f t="shared" si="3"/>
        <v>169.82999999999998</v>
      </c>
      <c r="AE7">
        <f t="shared" si="4"/>
        <v>12</v>
      </c>
      <c r="AF7">
        <f t="shared" si="5"/>
        <v>23</v>
      </c>
      <c r="AH7">
        <v>4</v>
      </c>
      <c r="AI7" t="str">
        <f t="shared" si="6"/>
        <v>Animal Figures</v>
      </c>
      <c r="AJ7" s="3">
        <f t="shared" si="1"/>
        <v>5066.1000000000004</v>
      </c>
      <c r="AK7" s="2">
        <f t="shared" si="1"/>
        <v>1831.5900000000006</v>
      </c>
    </row>
    <row r="8" spans="2:37" x14ac:dyDescent="0.25">
      <c r="B8" s="16" t="s">
        <v>77</v>
      </c>
      <c r="C8" s="16"/>
      <c r="H8" s="7">
        <v>5</v>
      </c>
      <c r="I8" s="12" t="s">
        <v>96</v>
      </c>
      <c r="J8" s="3">
        <f>SUMIFS(Data[Revenue],Data[Region],Region,Data[Month],'Data Prep'!$H8,Data[Year],'Data Prep'!$J$3)</f>
        <v>79560.950000000026</v>
      </c>
      <c r="K8" s="3">
        <f>IF(H8&gt;CurMonth,NA(),SUMIFS(Data[Revenue],Data[Region],Region,Data[Month],'Data Prep'!$H8,Data[Year],'Data Prep'!$K$3))</f>
        <v>93467.969999999972</v>
      </c>
      <c r="M8" t="s">
        <v>53</v>
      </c>
      <c r="N8" s="3">
        <f>SUMIFS(Data[Revenue],Data[Store Name],M8,Data[Month],CurMonth,Data[Year],CurYear)</f>
        <v>21829.790000000008</v>
      </c>
      <c r="O8" s="3">
        <f>SUMIFS(Data[Revenue],Data[Store Name],M8,Data[Month],PrevMonth,Data[Year],PMYear)</f>
        <v>17645.59</v>
      </c>
      <c r="P8" s="13">
        <f t="shared" si="0"/>
        <v>0.23712440332117013</v>
      </c>
      <c r="Q8" s="3">
        <f>SUMIFS(Data[Revenue],Data[Region],Region,Data[Store Name],'Data Prep'!M8,Data[Month],CurMonth,Data[Year],CurYear)</f>
        <v>21829.790000000008</v>
      </c>
      <c r="R8" s="13">
        <f t="shared" si="2"/>
        <v>0.23712440332117013</v>
      </c>
      <c r="T8" t="str">
        <v>Lincoln Park</v>
      </c>
      <c r="U8" s="3">
        <v>21829.790000000008</v>
      </c>
      <c r="V8" s="3">
        <v>17645.59</v>
      </c>
      <c r="W8" s="13">
        <v>0.23712440332117013</v>
      </c>
      <c r="X8" s="3">
        <v>21829.790000000008</v>
      </c>
      <c r="Y8" s="13">
        <v>0.23712440332117013</v>
      </c>
      <c r="AA8" t="str">
        <v>Colorbuds</v>
      </c>
      <c r="AB8" s="3">
        <f>SUMIFS(Data[Revenue],Data[Product Name],'Data Prep'!AA8,Data[Region],Region,Data[Month],CurMonth,Data[Year],CurYear)</f>
        <v>4272.1500000000005</v>
      </c>
      <c r="AC8" s="3">
        <f>SUMIFS(Data[Revenue],Data[Product Name],'Data Prep'!AA8,Data[Region],Region,Data[Month],PrevMonth,Data[Year],PMYear)</f>
        <v>6610.59</v>
      </c>
      <c r="AD8" s="2">
        <f t="shared" si="3"/>
        <v>-2338.4399999999996</v>
      </c>
      <c r="AE8">
        <f t="shared" si="4"/>
        <v>33</v>
      </c>
      <c r="AF8">
        <f t="shared" si="5"/>
        <v>2</v>
      </c>
      <c r="AH8">
        <v>5</v>
      </c>
      <c r="AI8" t="str">
        <f t="shared" si="6"/>
        <v>Kids Makeup Kit</v>
      </c>
      <c r="AJ8" s="3">
        <f t="shared" si="1"/>
        <v>3098.45</v>
      </c>
      <c r="AK8" s="2">
        <f t="shared" si="1"/>
        <v>1659.17</v>
      </c>
    </row>
    <row r="9" spans="2:37" x14ac:dyDescent="0.25">
      <c r="B9" s="8" t="s">
        <v>80</v>
      </c>
      <c r="C9" s="9">
        <f>MAX(Data[Year])</f>
        <v>2021</v>
      </c>
      <c r="H9" s="7">
        <v>6</v>
      </c>
      <c r="I9" s="12" t="s">
        <v>97</v>
      </c>
      <c r="J9" s="3">
        <f>SUMIFS(Data[Revenue],Data[Region],Region,Data[Month],'Data Prep'!$H9,Data[Year],'Data Prep'!$J$3)</f>
        <v>85430.399999999965</v>
      </c>
      <c r="K9" s="3">
        <f>IF(H9&gt;CurMonth,NA(),SUMIFS(Data[Revenue],Data[Region],Region,Data[Month],'Data Prep'!$H9,Data[Year],'Data Prep'!$K$3))</f>
        <v>91637.330000000016</v>
      </c>
      <c r="M9" t="s">
        <v>58</v>
      </c>
      <c r="N9" s="3">
        <f>SUMIFS(Data[Revenue],Data[Store Name],M9,Data[Month],CurMonth,Data[Year],CurYear)</f>
        <v>22152.709999999995</v>
      </c>
      <c r="O9" s="3">
        <f>SUMIFS(Data[Revenue],Data[Store Name],M9,Data[Month],PrevMonth,Data[Year],PMYear)</f>
        <v>19305.510000000002</v>
      </c>
      <c r="P9" s="13">
        <f t="shared" si="0"/>
        <v>0.1474812113225703</v>
      </c>
      <c r="Q9" s="3">
        <f>SUMIFS(Data[Revenue],Data[Region],Region,Data[Store Name],'Data Prep'!M9,Data[Month],CurMonth,Data[Year],CurYear)</f>
        <v>0</v>
      </c>
      <c r="R9" s="13">
        <f t="shared" si="2"/>
        <v>0</v>
      </c>
      <c r="T9" t="str">
        <v>Fifth Avenue</v>
      </c>
      <c r="U9" s="3">
        <v>22152.709999999995</v>
      </c>
      <c r="V9" s="3">
        <v>19305.510000000002</v>
      </c>
      <c r="W9" s="13">
        <v>0.1474812113225703</v>
      </c>
      <c r="X9" s="3">
        <v>0</v>
      </c>
      <c r="Y9" s="13">
        <v>0</v>
      </c>
      <c r="AA9" t="str">
        <v>Dart Gun</v>
      </c>
      <c r="AB9" s="3">
        <f>SUMIFS(Data[Revenue],Data[Product Name],'Data Prep'!AA9,Data[Region],Region,Data[Month],CurMonth,Data[Year],CurYear)</f>
        <v>1375.1399999999999</v>
      </c>
      <c r="AC9" s="3">
        <f>SUMIFS(Data[Revenue],Data[Product Name],'Data Prep'!AA9,Data[Region],Region,Data[Month],PrevMonth,Data[Year],PMYear)</f>
        <v>2126.67</v>
      </c>
      <c r="AD9" s="2">
        <f t="shared" si="3"/>
        <v>-751.5300000000002</v>
      </c>
      <c r="AE9">
        <f t="shared" si="4"/>
        <v>28</v>
      </c>
      <c r="AF9">
        <f t="shared" si="5"/>
        <v>7</v>
      </c>
      <c r="AH9">
        <v>6</v>
      </c>
      <c r="AI9" t="str">
        <f t="shared" si="6"/>
        <v>Splash Balls</v>
      </c>
      <c r="AJ9" s="3">
        <f t="shared" si="1"/>
        <v>5061.3700000000008</v>
      </c>
      <c r="AK9" s="2">
        <f t="shared" si="1"/>
        <v>1204.6600000000003</v>
      </c>
    </row>
    <row r="10" spans="2:37" x14ac:dyDescent="0.25">
      <c r="B10" s="8" t="s">
        <v>79</v>
      </c>
      <c r="C10" s="9">
        <f>_xlfn.MAXIFS(Data[Month],Data[Year],'Data Prep'!$C$9)</f>
        <v>7</v>
      </c>
      <c r="H10" s="7">
        <v>7</v>
      </c>
      <c r="I10" s="12" t="s">
        <v>98</v>
      </c>
      <c r="J10" s="3">
        <f>SUMIFS(Data[Revenue],Data[Region],Region,Data[Month],'Data Prep'!$H10,Data[Year],'Data Prep'!$J$3)</f>
        <v>70835.710000000006</v>
      </c>
      <c r="K10" s="3">
        <f>IF(H10&gt;CurMonth,NA(),SUMIFS(Data[Revenue],Data[Region],Region,Data[Month],'Data Prep'!$H10,Data[Year],'Data Prep'!$K$3))</f>
        <v>94953.469999999958</v>
      </c>
      <c r="M10" t="s">
        <v>62</v>
      </c>
      <c r="N10" s="3">
        <f>SUMIFS(Data[Revenue],Data[Store Name],M10,Data[Month],CurMonth,Data[Year],CurYear)</f>
        <v>22817.06</v>
      </c>
      <c r="O10" s="3">
        <f>SUMIFS(Data[Revenue],Data[Store Name],M10,Data[Month],PrevMonth,Data[Year],PMYear)</f>
        <v>20167.499999999996</v>
      </c>
      <c r="P10" s="13">
        <f t="shared" si="0"/>
        <v>0.13137771166480761</v>
      </c>
      <c r="Q10" s="3">
        <f>SUMIFS(Data[Revenue],Data[Region],Region,Data[Store Name],'Data Prep'!M10,Data[Month],CurMonth,Data[Year],CurYear)</f>
        <v>0</v>
      </c>
      <c r="R10" s="13">
        <f t="shared" si="2"/>
        <v>0</v>
      </c>
      <c r="T10" t="str">
        <v>Times Square</v>
      </c>
      <c r="U10" s="3">
        <v>22817.06</v>
      </c>
      <c r="V10" s="3">
        <v>20167.499999999996</v>
      </c>
      <c r="W10" s="13">
        <v>0.13137771166480761</v>
      </c>
      <c r="X10" s="3">
        <v>0</v>
      </c>
      <c r="Y10" s="13">
        <v>0</v>
      </c>
      <c r="AA10" t="str">
        <v>Deck Of Cards</v>
      </c>
      <c r="AB10" s="3">
        <f>SUMIFS(Data[Revenue],Data[Product Name],'Data Prep'!AA10,Data[Region],Region,Data[Month],CurMonth,Data[Year],CurYear)</f>
        <v>2621.2500000000005</v>
      </c>
      <c r="AC10" s="3">
        <f>SUMIFS(Data[Revenue],Data[Product Name],'Data Prep'!AA10,Data[Region],Region,Data[Month],PrevMonth,Data[Year],PMYear)</f>
        <v>3292.29</v>
      </c>
      <c r="AD10" s="2">
        <f t="shared" si="3"/>
        <v>-671.03999999999951</v>
      </c>
      <c r="AE10">
        <f t="shared" si="4"/>
        <v>27</v>
      </c>
      <c r="AF10">
        <f t="shared" si="5"/>
        <v>8</v>
      </c>
    </row>
    <row r="11" spans="2:37" x14ac:dyDescent="0.25">
      <c r="B11" s="8" t="s">
        <v>81</v>
      </c>
      <c r="C11" s="9">
        <f>C9-1</f>
        <v>2020</v>
      </c>
      <c r="H11" s="7">
        <v>8</v>
      </c>
      <c r="I11" s="12" t="s">
        <v>99</v>
      </c>
      <c r="J11" s="3">
        <f>SUMIFS(Data[Revenue],Data[Region],Region,Data[Month],'Data Prep'!$H11,Data[Year],'Data Prep'!$J$3)</f>
        <v>55171.65</v>
      </c>
      <c r="K11" s="3" t="e">
        <f>IF(H11&gt;CurMonth,NA(),SUMIFS(Data[Revenue],Data[Region],Region,Data[Month],'Data Prep'!$H11,Data[Year],'Data Prep'!$K$3))</f>
        <v>#N/A</v>
      </c>
      <c r="M11" t="s">
        <v>60</v>
      </c>
      <c r="N11" s="3">
        <f>SUMIFS(Data[Revenue],Data[Store Name],M11,Data[Month],CurMonth,Data[Year],CurYear)</f>
        <v>24068.03</v>
      </c>
      <c r="O11" s="3">
        <f>SUMIFS(Data[Revenue],Data[Store Name],M11,Data[Month],PrevMonth,Data[Year],PMYear)</f>
        <v>22176.43</v>
      </c>
      <c r="P11" s="13">
        <f t="shared" si="0"/>
        <v>8.5297768847375277E-2</v>
      </c>
      <c r="Q11" s="3">
        <f>SUMIFS(Data[Revenue],Data[Region],Region,Data[Store Name],'Data Prep'!M11,Data[Month],CurMonth,Data[Year],CurYear)</f>
        <v>0</v>
      </c>
      <c r="R11" s="13">
        <f t="shared" si="2"/>
        <v>0</v>
      </c>
      <c r="T11" t="str">
        <v>JFK</v>
      </c>
      <c r="U11" s="3">
        <v>24068.03</v>
      </c>
      <c r="V11" s="3">
        <v>22176.43</v>
      </c>
      <c r="W11" s="13">
        <v>8.5297768847375277E-2</v>
      </c>
      <c r="X11" s="3">
        <v>0</v>
      </c>
      <c r="Y11" s="13">
        <v>0</v>
      </c>
      <c r="AA11" t="str">
        <v>Dino Egg</v>
      </c>
      <c r="AB11" s="3">
        <f>SUMIFS(Data[Revenue],Data[Product Name],'Data Prep'!AA11,Data[Region],Region,Data[Month],CurMonth,Data[Year],CurYear)</f>
        <v>4659.76</v>
      </c>
      <c r="AC11" s="3">
        <f>SUMIFS(Data[Revenue],Data[Product Name],'Data Prep'!AA11,Data[Region],Region,Data[Month],PrevMonth,Data[Year],PMYear)</f>
        <v>4516.8900000000003</v>
      </c>
      <c r="AD11" s="2">
        <f t="shared" si="3"/>
        <v>142.86999999999989</v>
      </c>
      <c r="AE11">
        <f t="shared" si="4"/>
        <v>13</v>
      </c>
      <c r="AF11">
        <f t="shared" si="5"/>
        <v>22</v>
      </c>
    </row>
    <row r="12" spans="2:37" x14ac:dyDescent="0.25">
      <c r="B12" s="8" t="s">
        <v>82</v>
      </c>
      <c r="C12" s="9">
        <f>IF(C10=1,12,C10-1)</f>
        <v>6</v>
      </c>
      <c r="H12" s="7">
        <v>9</v>
      </c>
      <c r="I12" s="12" t="s">
        <v>100</v>
      </c>
      <c r="J12" s="3">
        <f>SUMIFS(Data[Revenue],Data[Region],Region,Data[Month],'Data Prep'!$H12,Data[Year],'Data Prep'!$J$3)</f>
        <v>67569.269999999975</v>
      </c>
      <c r="K12" s="3" t="e">
        <f>IF(H12&gt;CurMonth,NA(),SUMIFS(Data[Revenue],Data[Region],Region,Data[Month],'Data Prep'!$H12,Data[Year],'Data Prep'!$K$3))</f>
        <v>#N/A</v>
      </c>
      <c r="M12" t="s">
        <v>61</v>
      </c>
      <c r="N12" s="3">
        <f>SUMIFS(Data[Revenue],Data[Store Name],M12,Data[Month],CurMonth,Data[Year],CurYear)</f>
        <v>32052.109999999993</v>
      </c>
      <c r="O12" s="3">
        <f>SUMIFS(Data[Revenue],Data[Store Name],M12,Data[Month],PrevMonth,Data[Year],PMYear)</f>
        <v>25228.359999999997</v>
      </c>
      <c r="P12" s="13">
        <f t="shared" si="0"/>
        <v>0.27047933357538878</v>
      </c>
      <c r="Q12" s="3">
        <f>SUMIFS(Data[Revenue],Data[Region],Region,Data[Store Name],'Data Prep'!M12,Data[Month],CurMonth,Data[Year],CurYear)</f>
        <v>0</v>
      </c>
      <c r="R12" s="13">
        <f t="shared" si="2"/>
        <v>0</v>
      </c>
      <c r="T12" t="str">
        <v>LAX</v>
      </c>
      <c r="U12" s="3">
        <v>32052.109999999993</v>
      </c>
      <c r="V12" s="3">
        <v>25228.359999999997</v>
      </c>
      <c r="W12" s="13">
        <v>0.27047933357538878</v>
      </c>
      <c r="X12" s="3">
        <v>0</v>
      </c>
      <c r="Y12" s="13">
        <v>0</v>
      </c>
      <c r="AA12" t="str">
        <v>Dinosaur Figures</v>
      </c>
      <c r="AB12" s="3">
        <f>SUMIFS(Data[Revenue],Data[Product Name],'Data Prep'!AA12,Data[Region],Region,Data[Month],CurMonth,Data[Year],CurYear)</f>
        <v>1858.76</v>
      </c>
      <c r="AC12" s="3">
        <f>SUMIFS(Data[Revenue],Data[Product Name],'Data Prep'!AA12,Data[Region],Region,Data[Month],PrevMonth,Data[Year],PMYear)</f>
        <v>1334.1100000000001</v>
      </c>
      <c r="AD12" s="2">
        <f t="shared" si="3"/>
        <v>524.64999999999986</v>
      </c>
      <c r="AE12">
        <f t="shared" si="4"/>
        <v>9</v>
      </c>
      <c r="AF12">
        <f t="shared" si="5"/>
        <v>26</v>
      </c>
      <c r="AH12" s="15" t="s">
        <v>114</v>
      </c>
      <c r="AI12" s="15"/>
      <c r="AJ12" s="15"/>
      <c r="AK12" s="15"/>
    </row>
    <row r="13" spans="2:37" x14ac:dyDescent="0.25">
      <c r="B13" s="8" t="s">
        <v>85</v>
      </c>
      <c r="C13" s="9">
        <f>IF(CurMonth=1,PrevYear,CurYear)</f>
        <v>2021</v>
      </c>
      <c r="H13" s="7">
        <v>10</v>
      </c>
      <c r="I13" s="12" t="s">
        <v>101</v>
      </c>
      <c r="J13" s="3">
        <f>SUMIFS(Data[Revenue],Data[Region],Region,Data[Month],'Data Prep'!$H13,Data[Year],'Data Prep'!$J$3)</f>
        <v>64882.340000000018</v>
      </c>
      <c r="K13" s="3" t="e">
        <f>IF(H13&gt;CurMonth,NA(),SUMIFS(Data[Revenue],Data[Region],Region,Data[Month],'Data Prep'!$H13,Data[Year],'Data Prep'!$K$3))</f>
        <v>#N/A</v>
      </c>
      <c r="M13" t="s">
        <v>57</v>
      </c>
      <c r="N13" s="3">
        <f>SUMIFS(Data[Revenue],Data[Store Name],M13,Data[Month],CurMonth,Data[Year],CurYear)</f>
        <v>36101.759999999995</v>
      </c>
      <c r="O13" s="3">
        <f>SUMIFS(Data[Revenue],Data[Store Name],M13,Data[Month],PrevMonth,Data[Year],PMYear)</f>
        <v>30245.009999999995</v>
      </c>
      <c r="P13" s="13">
        <f t="shared" si="0"/>
        <v>0.19364351342585118</v>
      </c>
      <c r="Q13" s="3">
        <f>SUMIFS(Data[Revenue],Data[Region],Region,Data[Store Name],'Data Prep'!M13,Data[Month],CurMonth,Data[Year],CurYear)</f>
        <v>36101.759999999995</v>
      </c>
      <c r="R13" s="13">
        <f t="shared" si="2"/>
        <v>0.19364351342585118</v>
      </c>
      <c r="T13" t="str">
        <v>O'Hare</v>
      </c>
      <c r="U13" s="3">
        <v>36101.759999999995</v>
      </c>
      <c r="V13" s="3">
        <v>30245.009999999995</v>
      </c>
      <c r="W13" s="13">
        <v>0.19364351342585118</v>
      </c>
      <c r="X13" s="3">
        <v>36101.759999999995</v>
      </c>
      <c r="Y13" s="13">
        <v>0.19364351342585118</v>
      </c>
      <c r="AA13" t="str">
        <v>Glass Marbles</v>
      </c>
      <c r="AB13" s="3">
        <f>SUMIFS(Data[Revenue],Data[Product Name],'Data Prep'!AA13,Data[Region],Region,Data[Month],CurMonth,Data[Year],CurYear)</f>
        <v>1582.56</v>
      </c>
      <c r="AC13" s="3">
        <f>SUMIFS(Data[Revenue],Data[Product Name],'Data Prep'!AA13,Data[Region],Region,Data[Month],PrevMonth,Data[Year],PMYear)</f>
        <v>1626.5200000000002</v>
      </c>
      <c r="AD13" s="2">
        <f t="shared" si="3"/>
        <v>-43.960000000000264</v>
      </c>
      <c r="AE13">
        <f t="shared" si="4"/>
        <v>17</v>
      </c>
      <c r="AF13">
        <f t="shared" si="5"/>
        <v>18</v>
      </c>
      <c r="AH13" s="11" t="s">
        <v>112</v>
      </c>
      <c r="AI13" s="11" t="s">
        <v>74</v>
      </c>
      <c r="AJ13" s="11" t="s">
        <v>46</v>
      </c>
      <c r="AK13" s="11" t="s">
        <v>113</v>
      </c>
    </row>
    <row r="14" spans="2:37" x14ac:dyDescent="0.25">
      <c r="B14" s="8" t="s">
        <v>118</v>
      </c>
      <c r="C14" t="str">
        <f>TEXT(DATE(1,CurMonth,1),"mmmm")&amp;" "&amp;CurYear</f>
        <v>July 2021</v>
      </c>
      <c r="H14" s="7">
        <v>11</v>
      </c>
      <c r="I14" s="12" t="s">
        <v>102</v>
      </c>
      <c r="J14" s="3">
        <f>SUMIFS(Data[Revenue],Data[Region],Region,Data[Month],'Data Prep'!$H14,Data[Year],'Data Prep'!$J$3)</f>
        <v>73732.52</v>
      </c>
      <c r="K14" s="3" t="e">
        <f>IF(H14&gt;CurMonth,NA(),SUMIFS(Data[Revenue],Data[Region],Region,Data[Month],'Data Prep'!$H14,Data[Year],'Data Prep'!$K$3))</f>
        <v>#N/A</v>
      </c>
      <c r="AA14" t="str">
        <v>Kids Makeup Kit</v>
      </c>
      <c r="AB14" s="3">
        <f>SUMIFS(Data[Revenue],Data[Product Name],'Data Prep'!AA14,Data[Region],Region,Data[Month],CurMonth,Data[Year],CurYear)</f>
        <v>3098.45</v>
      </c>
      <c r="AC14" s="3">
        <f>SUMIFS(Data[Revenue],Data[Product Name],'Data Prep'!AA14,Data[Region],Region,Data[Month],PrevMonth,Data[Year],PMYear)</f>
        <v>1439.2799999999997</v>
      </c>
      <c r="AD14" s="2">
        <f t="shared" si="3"/>
        <v>1659.17</v>
      </c>
      <c r="AE14">
        <f t="shared" si="4"/>
        <v>5</v>
      </c>
      <c r="AF14">
        <f t="shared" si="5"/>
        <v>30</v>
      </c>
      <c r="AH14">
        <v>1</v>
      </c>
      <c r="AI14" t="str">
        <f>INDEX($AA$4:$AD$37,MATCH($AH14,$AF$4:$AF$37,0),MATCH(AI$3,$AA$3:$AD$3,0))</f>
        <v>Magic Sand</v>
      </c>
      <c r="AJ14" s="3">
        <f>INDEX($AA$4:$AD$37,MATCH($AH14,$AF$4:$AF$37,0),MATCH(AJ$3,$AA$3:$AD$3,0))</f>
        <v>7243.47</v>
      </c>
      <c r="AK14" s="2">
        <f>INDEX($AA$4:$AD$37,MATCH($AH14,$AF$4:$AF$37,0),MATCH(AK$3,$AA$3:$AD$3,0))</f>
        <v>-3277.95</v>
      </c>
    </row>
    <row r="15" spans="2:37" x14ac:dyDescent="0.25">
      <c r="H15" s="7">
        <v>12</v>
      </c>
      <c r="I15" s="12" t="s">
        <v>103</v>
      </c>
      <c r="J15" s="3">
        <f>SUMIFS(Data[Revenue],Data[Region],Region,Data[Month],'Data Prep'!$H15,Data[Year],'Data Prep'!$J$3)</f>
        <v>93356.910000000018</v>
      </c>
      <c r="K15" s="3" t="e">
        <f>IF(H15&gt;CurMonth,NA(),SUMIFS(Data[Revenue],Data[Region],Region,Data[Month],'Data Prep'!$H15,Data[Year],'Data Prep'!$K$3))</f>
        <v>#N/A</v>
      </c>
      <c r="AA15" t="str">
        <v>Lego Bricks</v>
      </c>
      <c r="AB15" s="3">
        <f>SUMIFS(Data[Revenue],Data[Product Name],'Data Prep'!AA15,Data[Region],Region,Data[Month],CurMonth,Data[Year],CurYear)</f>
        <v>19035.240000000002</v>
      </c>
      <c r="AC15" s="3">
        <f>SUMIFS(Data[Revenue],Data[Product Name],'Data Prep'!AA15,Data[Region],Region,Data[Month],PrevMonth,Data[Year],PMYear)</f>
        <v>14316.419999999998</v>
      </c>
      <c r="AD15" s="2">
        <f t="shared" si="3"/>
        <v>4718.8200000000033</v>
      </c>
      <c r="AE15">
        <f t="shared" si="4"/>
        <v>1</v>
      </c>
      <c r="AF15">
        <f t="shared" si="5"/>
        <v>34</v>
      </c>
      <c r="AH15">
        <v>2</v>
      </c>
      <c r="AI15" t="str">
        <f>INDEX($AA$4:$AD$37,MATCH($AH15,$AF$4:$AF$37,0),MATCH(AI$3,$AA$3:$AD$3,0))</f>
        <v>Colorbuds</v>
      </c>
      <c r="AJ15" s="3">
        <f>INDEX($AA$4:$AD$37,MATCH($AH15,$AF$4:$AF$37,0),MATCH(AJ$3,$AA$3:$AD$3,0))</f>
        <v>4272.1500000000005</v>
      </c>
      <c r="AK15" s="2">
        <f>INDEX($AA$4:$AD$37,MATCH($AH15,$AF$4:$AF$37,0),MATCH(AK$3,$AA$3:$AD$3,0))</f>
        <v>-2338.4399999999996</v>
      </c>
    </row>
    <row r="16" spans="2:37" x14ac:dyDescent="0.25">
      <c r="AA16" t="str">
        <v>Mini Ping Pong</v>
      </c>
      <c r="AB16" s="3">
        <f>SUMIFS(Data[Revenue],Data[Product Name],'Data Prep'!AA16,Data[Region],Region,Data[Month],CurMonth,Data[Year],CurYear)</f>
        <v>2507.4900000000002</v>
      </c>
      <c r="AC16" s="3">
        <f>SUMIFS(Data[Revenue],Data[Product Name],'Data Prep'!AA16,Data[Region],Region,Data[Month],PrevMonth,Data[Year],PMYear)</f>
        <v>3756.2400000000002</v>
      </c>
      <c r="AD16" s="2">
        <f t="shared" si="3"/>
        <v>-1248.75</v>
      </c>
      <c r="AE16">
        <f t="shared" si="4"/>
        <v>30</v>
      </c>
      <c r="AF16">
        <f t="shared" si="5"/>
        <v>5</v>
      </c>
      <c r="AH16">
        <v>3</v>
      </c>
      <c r="AI16" t="str">
        <f>INDEX($AA$4:$AD$37,MATCH($AH16,$AF$4:$AF$37,0),MATCH(AI$3,$AA$3:$AD$3,0))</f>
        <v>Action Figure</v>
      </c>
      <c r="AJ16" s="3">
        <f>INDEX($AA$4:$AD$37,MATCH($AH16,$AF$4:$AF$37,0),MATCH(AJ$3,$AA$3:$AD$3,0))</f>
        <v>3965.52</v>
      </c>
      <c r="AK16" s="2">
        <f>INDEX($AA$4:$AD$37,MATCH($AH16,$AF$4:$AF$37,0),MATCH(AK$3,$AA$3:$AD$3,0))</f>
        <v>-2334.5399999999995</v>
      </c>
    </row>
    <row r="17" spans="27:37" x14ac:dyDescent="0.25">
      <c r="AA17" t="str">
        <v>Monopoly</v>
      </c>
      <c r="AB17" s="3">
        <f>SUMIFS(Data[Revenue],Data[Product Name],'Data Prep'!AA17,Data[Region],Region,Data[Month],CurMonth,Data[Year],CurYear)</f>
        <v>0</v>
      </c>
      <c r="AC17" s="3">
        <f>SUMIFS(Data[Revenue],Data[Product Name],'Data Prep'!AA17,Data[Region],Region,Data[Month],PrevMonth,Data[Year],PMYear)</f>
        <v>159.91999999999999</v>
      </c>
      <c r="AD17" s="2">
        <f t="shared" si="3"/>
        <v>-159.91999999999999</v>
      </c>
      <c r="AE17">
        <f t="shared" si="4"/>
        <v>22</v>
      </c>
      <c r="AF17">
        <f t="shared" si="5"/>
        <v>13</v>
      </c>
      <c r="AH17">
        <v>4</v>
      </c>
      <c r="AI17" t="str">
        <f>INDEX($AA$4:$AD$37,MATCH($AH17,$AF$4:$AF$37,0),MATCH(AI$3,$AA$3:$AD$3,0))</f>
        <v>Toy Robot</v>
      </c>
      <c r="AJ17" s="3">
        <f>INDEX($AA$4:$AD$37,MATCH($AH17,$AF$4:$AF$37,0),MATCH(AJ$3,$AA$3:$AD$3,0))</f>
        <v>1039.5999999999999</v>
      </c>
      <c r="AK17" s="2">
        <f>INDEX($AA$4:$AD$37,MATCH($AH17,$AF$4:$AF$37,0),MATCH(AK$3,$AA$3:$AD$3,0))</f>
        <v>-1975.2400000000002</v>
      </c>
    </row>
    <row r="18" spans="27:37" x14ac:dyDescent="0.25">
      <c r="AA18" t="str">
        <v>PlayDoh Can</v>
      </c>
      <c r="AB18" s="3">
        <f>SUMIFS(Data[Revenue],Data[Product Name],'Data Prep'!AA18,Data[Region],Region,Data[Month],CurMonth,Data[Year],CurYear)</f>
        <v>2496.65</v>
      </c>
      <c r="AC18" s="3">
        <f>SUMIFS(Data[Revenue],Data[Product Name],'Data Prep'!AA18,Data[Region],Region,Data[Month],PrevMonth,Data[Year],PMYear)</f>
        <v>2439.84</v>
      </c>
      <c r="AD18" s="2">
        <f t="shared" si="3"/>
        <v>56.809999999999945</v>
      </c>
      <c r="AE18">
        <f t="shared" si="4"/>
        <v>16</v>
      </c>
      <c r="AF18">
        <f t="shared" si="5"/>
        <v>19</v>
      </c>
      <c r="AH18">
        <v>5</v>
      </c>
      <c r="AI18" t="str">
        <f>INDEX($AA$4:$AD$37,MATCH($AH18,$AF$4:$AF$37,0),MATCH(AI$3,$AA$3:$AD$3,0))</f>
        <v>Mini Ping Pong</v>
      </c>
      <c r="AJ18" s="3">
        <f>INDEX($AA$4:$AD$37,MATCH($AH18,$AF$4:$AF$37,0),MATCH(AJ$3,$AA$3:$AD$3,0))</f>
        <v>2507.4900000000002</v>
      </c>
      <c r="AK18" s="2">
        <f>INDEX($AA$4:$AD$37,MATCH($AH18,$AF$4:$AF$37,0),MATCH(AK$3,$AA$3:$AD$3,0))</f>
        <v>-1248.75</v>
      </c>
    </row>
    <row r="19" spans="27:37" x14ac:dyDescent="0.25">
      <c r="AA19" t="str">
        <v>PlayDoh Toolkit</v>
      </c>
      <c r="AB19" s="3">
        <f>SUMIFS(Data[Revenue],Data[Product Name],'Data Prep'!AA19,Data[Region],Region,Data[Month],CurMonth,Data[Year],CurYear)</f>
        <v>538.92000000000007</v>
      </c>
      <c r="AC19" s="3">
        <f>SUMIFS(Data[Revenue],Data[Product Name],'Data Prep'!AA19,Data[Region],Region,Data[Month],PrevMonth,Data[Year],PMYear)</f>
        <v>479.03999999999996</v>
      </c>
      <c r="AD19" s="2">
        <f t="shared" si="3"/>
        <v>59.880000000000109</v>
      </c>
      <c r="AE19">
        <f t="shared" si="4"/>
        <v>15</v>
      </c>
      <c r="AF19">
        <f t="shared" si="5"/>
        <v>20</v>
      </c>
      <c r="AH19">
        <v>6</v>
      </c>
      <c r="AI19" t="str">
        <f>INDEX($AA$4:$AD$37,MATCH($AH19,$AF$4:$AF$37,0),MATCH(AI$3,$AA$3:$AD$3,0))</f>
        <v>Disk Launcher</v>
      </c>
      <c r="AJ19" s="3">
        <f>INDEX($AA$4:$AD$37,MATCH($AH19,$AF$4:$AF$37,0),MATCH(AJ$3,$AA$3:$AD$3,0))</f>
        <v>815.31999999999994</v>
      </c>
      <c r="AK19" s="2">
        <f>INDEX($AA$4:$AD$37,MATCH($AH19,$AF$4:$AF$37,0),MATCH(AK$3,$AA$3:$AD$3,0))</f>
        <v>-839.30000000000018</v>
      </c>
    </row>
    <row r="20" spans="27:37" x14ac:dyDescent="0.25">
      <c r="AA20" t="str">
        <v>Rubik's Cube</v>
      </c>
      <c r="AB20" s="3">
        <f>SUMIFS(Data[Revenue],Data[Product Name],'Data Prep'!AA20,Data[Region],Region,Data[Month],CurMonth,Data[Year],CurYear)</f>
        <v>5597.2</v>
      </c>
      <c r="AC20" s="3">
        <f>SUMIFS(Data[Revenue],Data[Product Name],'Data Prep'!AA20,Data[Region],Region,Data[Month],PrevMonth,Data[Year],PMYear)</f>
        <v>4637.6799999999994</v>
      </c>
      <c r="AD20" s="2">
        <f t="shared" si="3"/>
        <v>959.52000000000044</v>
      </c>
      <c r="AE20">
        <f t="shared" si="4"/>
        <v>8</v>
      </c>
      <c r="AF20">
        <f t="shared" si="5"/>
        <v>27</v>
      </c>
    </row>
    <row r="21" spans="27:37" x14ac:dyDescent="0.25">
      <c r="AA21" t="str">
        <v>Splash Balls</v>
      </c>
      <c r="AB21" s="3">
        <f>SUMIFS(Data[Revenue],Data[Product Name],'Data Prep'!AA21,Data[Region],Region,Data[Month],CurMonth,Data[Year],CurYear)</f>
        <v>5061.3700000000008</v>
      </c>
      <c r="AC21" s="3">
        <f>SUMIFS(Data[Revenue],Data[Product Name],'Data Prep'!AA21,Data[Region],Region,Data[Month],PrevMonth,Data[Year],PMYear)</f>
        <v>3856.7100000000005</v>
      </c>
      <c r="AD21" s="2">
        <f t="shared" si="3"/>
        <v>1204.6600000000003</v>
      </c>
      <c r="AE21">
        <f t="shared" si="4"/>
        <v>6</v>
      </c>
      <c r="AF21">
        <f t="shared" si="5"/>
        <v>29</v>
      </c>
    </row>
    <row r="22" spans="27:37" x14ac:dyDescent="0.25">
      <c r="AA22" t="str">
        <v>Teddy Bear</v>
      </c>
      <c r="AB22" s="3">
        <f>SUMIFS(Data[Revenue],Data[Product Name],'Data Prep'!AA22,Data[Region],Region,Data[Month],CurMonth,Data[Year],CurYear)</f>
        <v>597.54</v>
      </c>
      <c r="AC22" s="3">
        <f>SUMIFS(Data[Revenue],Data[Product Name],'Data Prep'!AA22,Data[Region],Region,Data[Month],PrevMonth,Data[Year],PMYear)</f>
        <v>220.83</v>
      </c>
      <c r="AD22" s="2">
        <f t="shared" si="3"/>
        <v>376.70999999999992</v>
      </c>
      <c r="AE22">
        <f t="shared" si="4"/>
        <v>10</v>
      </c>
      <c r="AF22">
        <f t="shared" si="5"/>
        <v>25</v>
      </c>
    </row>
    <row r="23" spans="27:37" x14ac:dyDescent="0.25">
      <c r="AA23" t="str">
        <v>Toy Robot</v>
      </c>
      <c r="AB23" s="3">
        <f>SUMIFS(Data[Revenue],Data[Product Name],'Data Prep'!AA23,Data[Region],Region,Data[Month],CurMonth,Data[Year],CurYear)</f>
        <v>1039.5999999999999</v>
      </c>
      <c r="AC23" s="3">
        <f>SUMIFS(Data[Revenue],Data[Product Name],'Data Prep'!AA23,Data[Region],Region,Data[Month],PrevMonth,Data[Year],PMYear)</f>
        <v>3014.84</v>
      </c>
      <c r="AD23" s="2">
        <f t="shared" si="3"/>
        <v>-1975.2400000000002</v>
      </c>
      <c r="AE23">
        <f t="shared" si="4"/>
        <v>31</v>
      </c>
      <c r="AF23">
        <f t="shared" si="5"/>
        <v>4</v>
      </c>
    </row>
    <row r="24" spans="27:37" x14ac:dyDescent="0.25">
      <c r="AA24" t="str">
        <v>Nerf Gun</v>
      </c>
      <c r="AB24" s="3">
        <f>SUMIFS(Data[Revenue],Data[Product Name],'Data Prep'!AA24,Data[Region],Region,Data[Month],CurMonth,Data[Year],CurYear)</f>
        <v>5617.19</v>
      </c>
      <c r="AC24" s="3">
        <f>SUMIFS(Data[Revenue],Data[Product Name],'Data Prep'!AA24,Data[Region],Region,Data[Month],PrevMonth,Data[Year],PMYear)</f>
        <v>3078.4599999999996</v>
      </c>
      <c r="AD24" s="2">
        <f t="shared" si="3"/>
        <v>2538.73</v>
      </c>
      <c r="AE24">
        <f t="shared" si="4"/>
        <v>3</v>
      </c>
      <c r="AF24">
        <f t="shared" si="5"/>
        <v>32</v>
      </c>
    </row>
    <row r="25" spans="27:37" x14ac:dyDescent="0.25">
      <c r="AA25" t="str">
        <v>Basketball Hoop</v>
      </c>
      <c r="AB25" s="3">
        <f>SUMIFS(Data[Revenue],Data[Product Name],'Data Prep'!AA25,Data[Region],Region,Data[Month],CurMonth,Data[Year],CurYear)</f>
        <v>274.89</v>
      </c>
      <c r="AC25" s="3">
        <f>SUMIFS(Data[Revenue],Data[Product Name],'Data Prep'!AA25,Data[Region],Region,Data[Month],PrevMonth,Data[Year],PMYear)</f>
        <v>149.94</v>
      </c>
      <c r="AD25" s="2">
        <f t="shared" si="3"/>
        <v>124.94999999999999</v>
      </c>
      <c r="AE25">
        <f t="shared" si="4"/>
        <v>14</v>
      </c>
      <c r="AF25">
        <f t="shared" si="5"/>
        <v>21</v>
      </c>
    </row>
    <row r="26" spans="27:37" x14ac:dyDescent="0.25">
      <c r="AA26" t="str">
        <v>Uno Card Game</v>
      </c>
      <c r="AB26" s="3">
        <f>SUMIFS(Data[Revenue],Data[Product Name],'Data Prep'!AA26,Data[Region],Region,Data[Month],CurMonth,Data[Year],CurYear)</f>
        <v>135.83000000000001</v>
      </c>
      <c r="AC26" s="3">
        <f>SUMIFS(Data[Revenue],Data[Product Name],'Data Prep'!AA26,Data[Region],Region,Data[Month],PrevMonth,Data[Year],PMYear)</f>
        <v>351.56000000000006</v>
      </c>
      <c r="AD26" s="2">
        <f t="shared" si="3"/>
        <v>-215.73000000000005</v>
      </c>
      <c r="AE26">
        <f t="shared" si="4"/>
        <v>24</v>
      </c>
      <c r="AF26">
        <f t="shared" si="5"/>
        <v>11</v>
      </c>
    </row>
    <row r="27" spans="27:37" x14ac:dyDescent="0.25">
      <c r="AA27" t="str">
        <v>Barrel O' Slime</v>
      </c>
      <c r="AB27" s="3">
        <f>SUMIFS(Data[Revenue],Data[Product Name],'Data Prep'!AA27,Data[Region],Region,Data[Month],CurMonth,Data[Year],CurYear)</f>
        <v>3475.29</v>
      </c>
      <c r="AC27" s="3">
        <f>SUMIFS(Data[Revenue],Data[Product Name],'Data Prep'!AA27,Data[Region],Region,Data[Month],PrevMonth,Data[Year],PMYear)</f>
        <v>3910.2</v>
      </c>
      <c r="AD27" s="2">
        <f t="shared" si="3"/>
        <v>-434.90999999999985</v>
      </c>
      <c r="AE27">
        <f t="shared" si="4"/>
        <v>25</v>
      </c>
      <c r="AF27">
        <f t="shared" si="5"/>
        <v>10</v>
      </c>
    </row>
    <row r="28" spans="27:37" x14ac:dyDescent="0.25">
      <c r="AA28" t="str">
        <v>Hot Wheels Pack</v>
      </c>
      <c r="AB28" s="3">
        <f>SUMIFS(Data[Revenue],Data[Product Name],'Data Prep'!AA28,Data[Region],Region,Data[Month],CurMonth,Data[Year],CurYear)</f>
        <v>1072.21</v>
      </c>
      <c r="AC28" s="3">
        <f>SUMIFS(Data[Revenue],Data[Product Name],'Data Prep'!AA28,Data[Region],Region,Data[Month],PrevMonth,Data[Year],PMYear)</f>
        <v>730.78</v>
      </c>
      <c r="AD28" s="2">
        <f t="shared" si="3"/>
        <v>341.43000000000006</v>
      </c>
      <c r="AE28">
        <f t="shared" si="4"/>
        <v>11</v>
      </c>
      <c r="AF28">
        <f t="shared" si="5"/>
        <v>24</v>
      </c>
    </row>
    <row r="29" spans="27:37" x14ac:dyDescent="0.25">
      <c r="AA29" t="str">
        <v>Water Gun</v>
      </c>
      <c r="AB29" s="3">
        <f>SUMIFS(Data[Revenue],Data[Product Name],'Data Prep'!AA29,Data[Region],Region,Data[Month],CurMonth,Data[Year],CurYear)</f>
        <v>569.62</v>
      </c>
      <c r="AC29" s="3">
        <f>SUMIFS(Data[Revenue],Data[Product Name],'Data Prep'!AA29,Data[Region],Region,Data[Month],PrevMonth,Data[Year],PMYear)</f>
        <v>689.54000000000008</v>
      </c>
      <c r="AD29" s="2">
        <f t="shared" si="3"/>
        <v>-119.92000000000007</v>
      </c>
      <c r="AE29">
        <f t="shared" si="4"/>
        <v>20</v>
      </c>
      <c r="AF29">
        <f t="shared" si="5"/>
        <v>15</v>
      </c>
    </row>
    <row r="30" spans="27:37" x14ac:dyDescent="0.25">
      <c r="AA30" t="str">
        <v>PlayDoh Playset</v>
      </c>
      <c r="AB30" s="3">
        <f>SUMIFS(Data[Revenue],Data[Product Name],'Data Prep'!AA30,Data[Region],Region,Data[Month],CurMonth,Data[Year],CurYear)</f>
        <v>399.84</v>
      </c>
      <c r="AC30" s="3">
        <f>SUMIFS(Data[Revenue],Data[Product Name],'Data Prep'!AA30,Data[Region],Region,Data[Month],PrevMonth,Data[Year],PMYear)</f>
        <v>549.78</v>
      </c>
      <c r="AD30" s="2">
        <f t="shared" si="3"/>
        <v>-149.94</v>
      </c>
      <c r="AE30">
        <f t="shared" si="4"/>
        <v>21</v>
      </c>
      <c r="AF30">
        <f t="shared" si="5"/>
        <v>14</v>
      </c>
    </row>
    <row r="31" spans="27:37" x14ac:dyDescent="0.25">
      <c r="AA31" t="str">
        <v>Jenga</v>
      </c>
      <c r="AB31" s="3">
        <f>SUMIFS(Data[Revenue],Data[Product Name],'Data Prep'!AA31,Data[Region],Region,Data[Month],CurMonth,Data[Year],CurYear)</f>
        <v>619.38</v>
      </c>
      <c r="AC31" s="3">
        <f>SUMIFS(Data[Revenue],Data[Product Name],'Data Prep'!AA31,Data[Region],Region,Data[Month],PrevMonth,Data[Year],PMYear)</f>
        <v>729.27</v>
      </c>
      <c r="AD31" s="2">
        <f t="shared" si="3"/>
        <v>-109.88999999999999</v>
      </c>
      <c r="AE31">
        <f t="shared" si="4"/>
        <v>19</v>
      </c>
      <c r="AF31">
        <f t="shared" si="5"/>
        <v>16</v>
      </c>
    </row>
    <row r="32" spans="27:37" x14ac:dyDescent="0.25">
      <c r="AA32" t="str">
        <v>Plush Pony</v>
      </c>
      <c r="AB32" s="3">
        <f>SUMIFS(Data[Revenue],Data[Product Name],'Data Prep'!AA32,Data[Region],Region,Data[Month],CurMonth,Data[Year],CurYear)</f>
        <v>1319.34</v>
      </c>
      <c r="AC32" s="3">
        <f>SUMIFS(Data[Revenue],Data[Product Name],'Data Prep'!AA32,Data[Region],Region,Data[Month],PrevMonth,Data[Year],PMYear)</f>
        <v>1839.08</v>
      </c>
      <c r="AD32" s="2">
        <f t="shared" si="3"/>
        <v>-519.74</v>
      </c>
      <c r="AE32">
        <f t="shared" si="4"/>
        <v>26</v>
      </c>
      <c r="AF32">
        <f t="shared" si="5"/>
        <v>9</v>
      </c>
    </row>
    <row r="33" spans="27:32" x14ac:dyDescent="0.25">
      <c r="AA33" t="str">
        <v>Gamer Headset</v>
      </c>
      <c r="AB33" s="3">
        <f>SUMIFS(Data[Revenue],Data[Product Name],'Data Prep'!AA33,Data[Region],Region,Data[Month],CurMonth,Data[Year],CurYear)</f>
        <v>2140.9799999999996</v>
      </c>
      <c r="AC33" s="3">
        <f>SUMIFS(Data[Revenue],Data[Product Name],'Data Prep'!AA33,Data[Region],Region,Data[Month],PrevMonth,Data[Year],PMYear)</f>
        <v>965.54</v>
      </c>
      <c r="AD33" s="2">
        <f t="shared" si="3"/>
        <v>1175.4399999999996</v>
      </c>
      <c r="AE33">
        <f t="shared" si="4"/>
        <v>7</v>
      </c>
      <c r="AF33">
        <f t="shared" si="5"/>
        <v>28</v>
      </c>
    </row>
    <row r="34" spans="27:32" x14ac:dyDescent="0.25">
      <c r="AA34" t="str">
        <v>Magic Sand</v>
      </c>
      <c r="AB34" s="3">
        <f>SUMIFS(Data[Revenue],Data[Product Name],'Data Prep'!AA34,Data[Region],Region,Data[Month],CurMonth,Data[Year],CurYear)</f>
        <v>7243.47</v>
      </c>
      <c r="AC34" s="3">
        <f>SUMIFS(Data[Revenue],Data[Product Name],'Data Prep'!AA34,Data[Region],Region,Data[Month],PrevMonth,Data[Year],PMYear)</f>
        <v>10521.42</v>
      </c>
      <c r="AD34" s="2">
        <f t="shared" si="3"/>
        <v>-3277.95</v>
      </c>
      <c r="AE34">
        <f t="shared" si="4"/>
        <v>34</v>
      </c>
      <c r="AF34">
        <f t="shared" si="5"/>
        <v>1</v>
      </c>
    </row>
    <row r="35" spans="27:32" x14ac:dyDescent="0.25">
      <c r="AA35" t="str">
        <v>Mr. Potatohead</v>
      </c>
      <c r="AB35" s="3">
        <f>SUMIFS(Data[Revenue],Data[Product Name],'Data Prep'!AA35,Data[Region],Region,Data[Month],CurMonth,Data[Year],CurYear)</f>
        <v>1188.81</v>
      </c>
      <c r="AC35" s="3">
        <f>SUMIFS(Data[Revenue],Data[Product Name],'Data Prep'!AA35,Data[Region],Region,Data[Month],PrevMonth,Data[Year],PMYear)</f>
        <v>1398.6000000000001</v>
      </c>
      <c r="AD35" s="2">
        <f t="shared" si="3"/>
        <v>-209.79000000000019</v>
      </c>
      <c r="AE35">
        <f t="shared" si="4"/>
        <v>23</v>
      </c>
      <c r="AF35">
        <f t="shared" si="5"/>
        <v>12</v>
      </c>
    </row>
    <row r="36" spans="27:32" x14ac:dyDescent="0.25">
      <c r="AA36" t="str">
        <v>Etch A Sketch</v>
      </c>
      <c r="AB36" s="3">
        <f>SUMIFS(Data[Revenue],Data[Product Name],'Data Prep'!AA36,Data[Region],Region,Data[Month],CurMonth,Data[Year],CurYear)</f>
        <v>4407.8999999999996</v>
      </c>
      <c r="AC36" s="3">
        <f>SUMIFS(Data[Revenue],Data[Product Name],'Data Prep'!AA36,Data[Region],Region,Data[Month],PrevMonth,Data[Year],PMYear)</f>
        <v>1511.28</v>
      </c>
      <c r="AD36" s="2">
        <f t="shared" si="3"/>
        <v>2896.62</v>
      </c>
      <c r="AE36">
        <f t="shared" si="4"/>
        <v>2</v>
      </c>
      <c r="AF36">
        <f t="shared" si="5"/>
        <v>33</v>
      </c>
    </row>
    <row r="37" spans="27:32" x14ac:dyDescent="0.25">
      <c r="AA37" t="str">
        <v>Disk Launcher</v>
      </c>
      <c r="AB37" s="3">
        <f>SUMIFS(Data[Revenue],Data[Product Name],'Data Prep'!AA37,Data[Region],Region,Data[Month],CurMonth,Data[Year],CurYear)</f>
        <v>815.31999999999994</v>
      </c>
      <c r="AC37" s="3">
        <f>SUMIFS(Data[Revenue],Data[Product Name],'Data Prep'!AA37,Data[Region],Region,Data[Month],PrevMonth,Data[Year],PMYear)</f>
        <v>1654.6200000000001</v>
      </c>
      <c r="AD37" s="2">
        <f t="shared" si="3"/>
        <v>-839.30000000000018</v>
      </c>
      <c r="AE37">
        <f t="shared" si="4"/>
        <v>29</v>
      </c>
      <c r="AF37">
        <f t="shared" si="5"/>
        <v>6</v>
      </c>
    </row>
  </sheetData>
  <sortState xmlns:xlrd2="http://schemas.microsoft.com/office/spreadsheetml/2017/richdata2" ref="M4:P13">
    <sortCondition ref="N4:N13"/>
  </sortState>
  <mergeCells count="9">
    <mergeCell ref="AA2:AF2"/>
    <mergeCell ref="AH2:AK2"/>
    <mergeCell ref="AH12:AK12"/>
    <mergeCell ref="B2:C2"/>
    <mergeCell ref="B8:C8"/>
    <mergeCell ref="E2:F2"/>
    <mergeCell ref="H2:K2"/>
    <mergeCell ref="M2:Q2"/>
    <mergeCell ref="T2:Y2"/>
  </mergeCells>
  <phoneticPr fontId="2" type="noConversion"/>
  <conditionalFormatting sqref="F6:F7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C4" xr:uid="{D2FEDBBB-34FE-4F36-9D05-CE8482FF7FB2}">
      <formula1>$B$4:$B$6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BBB-0B8B-4892-8E2E-11FB69FC0E34}">
  <dimension ref="B6:W34"/>
  <sheetViews>
    <sheetView showGridLines="0" tabSelected="1" workbookViewId="0">
      <selection activeCell="C7" sqref="C7"/>
    </sheetView>
  </sheetViews>
  <sheetFormatPr defaultRowHeight="15" x14ac:dyDescent="0.25"/>
  <cols>
    <col min="2" max="2" width="36.5703125" customWidth="1"/>
    <col min="3" max="3" width="27" customWidth="1"/>
    <col min="4" max="4" width="8.85546875" customWidth="1"/>
    <col min="5" max="5" width="11.5703125" customWidth="1"/>
    <col min="17" max="17" width="1.85546875" customWidth="1"/>
    <col min="18" max="18" width="2" hidden="1" customWidth="1"/>
    <col min="19" max="19" width="2.28515625" hidden="1" customWidth="1"/>
    <col min="20" max="20" width="0.85546875" hidden="1" customWidth="1"/>
    <col min="21" max="21" width="25.5703125" customWidth="1"/>
    <col min="22" max="22" width="20.7109375" customWidth="1"/>
    <col min="23" max="23" width="21.28515625" customWidth="1"/>
  </cols>
  <sheetData>
    <row r="6" spans="2:23" ht="5.25" customHeight="1" x14ac:dyDescent="0.25"/>
    <row r="7" spans="2:23" ht="31.5" x14ac:dyDescent="0.5">
      <c r="B7" s="26" t="s">
        <v>117</v>
      </c>
      <c r="C7" s="27" t="s">
        <v>48</v>
      </c>
      <c r="D7" s="26" t="s">
        <v>119</v>
      </c>
      <c r="F7" s="28" t="str">
        <f>'Data Prep'!C14&amp;"?"</f>
        <v>July 2021?</v>
      </c>
    </row>
    <row r="13" spans="2:23" ht="23.25" customHeight="1" x14ac:dyDescent="0.35">
      <c r="U13" s="21" t="str" cm="1">
        <f t="array" ref="U13:W19">'Data Prep'!AI3:AK9</f>
        <v>Product Name</v>
      </c>
      <c r="V13" s="22" t="str">
        <v>Revenue</v>
      </c>
      <c r="W13" s="22" t="str">
        <v>MoM Change</v>
      </c>
    </row>
    <row r="14" spans="2:23" ht="21" x14ac:dyDescent="0.35">
      <c r="U14" s="18" t="str">
        <v>Lego Bricks</v>
      </c>
      <c r="V14" s="19">
        <v>19035.240000000002</v>
      </c>
      <c r="W14" s="20">
        <v>4718.8200000000033</v>
      </c>
    </row>
    <row r="15" spans="2:23" ht="21" x14ac:dyDescent="0.35">
      <c r="U15" s="18" t="str">
        <v>Etch A Sketch</v>
      </c>
      <c r="V15" s="19">
        <v>4407.8999999999996</v>
      </c>
      <c r="W15" s="20">
        <v>2896.62</v>
      </c>
    </row>
    <row r="16" spans="2:23" ht="21" x14ac:dyDescent="0.35">
      <c r="U16" s="18" t="str">
        <v>Nerf Gun</v>
      </c>
      <c r="V16" s="19">
        <v>5617.19</v>
      </c>
      <c r="W16" s="20">
        <v>2538.73</v>
      </c>
    </row>
    <row r="17" spans="21:23" ht="21" x14ac:dyDescent="0.35">
      <c r="U17" s="18" t="str">
        <v>Animal Figures</v>
      </c>
      <c r="V17" s="19">
        <v>5066.1000000000004</v>
      </c>
      <c r="W17" s="20">
        <v>1831.5900000000006</v>
      </c>
    </row>
    <row r="18" spans="21:23" ht="21" x14ac:dyDescent="0.35">
      <c r="U18" s="18" t="str">
        <v>Kids Makeup Kit</v>
      </c>
      <c r="V18" s="19">
        <v>3098.45</v>
      </c>
      <c r="W18" s="20">
        <v>1659.17</v>
      </c>
    </row>
    <row r="19" spans="21:23" ht="21" x14ac:dyDescent="0.35">
      <c r="U19" s="18" t="str">
        <v>Splash Balls</v>
      </c>
      <c r="V19" s="19">
        <v>5061.3700000000008</v>
      </c>
      <c r="W19" s="23">
        <v>1204.6600000000003</v>
      </c>
    </row>
    <row r="20" spans="21:23" ht="21" x14ac:dyDescent="0.35">
      <c r="W20" s="24">
        <f>SUM(W14:W19)</f>
        <v>14849.590000000004</v>
      </c>
    </row>
    <row r="27" spans="21:23" ht="21" x14ac:dyDescent="0.35">
      <c r="U27" s="21" t="str" cm="1">
        <f t="array" ref="U27:W33">'Data Prep'!AI13:AK19</f>
        <v>Product Name</v>
      </c>
      <c r="V27" s="22" t="str">
        <v>Revenue</v>
      </c>
      <c r="W27" s="22" t="str">
        <v>MoM Change</v>
      </c>
    </row>
    <row r="28" spans="21:23" ht="21" x14ac:dyDescent="0.35">
      <c r="U28" s="18" t="str">
        <v>Magic Sand</v>
      </c>
      <c r="V28" s="19">
        <v>7243.47</v>
      </c>
      <c r="W28" s="20">
        <v>-3277.95</v>
      </c>
    </row>
    <row r="29" spans="21:23" ht="21" x14ac:dyDescent="0.35">
      <c r="U29" s="18" t="str">
        <v>Colorbuds</v>
      </c>
      <c r="V29" s="19">
        <v>4272.1500000000005</v>
      </c>
      <c r="W29" s="20">
        <v>-2338.4399999999996</v>
      </c>
    </row>
    <row r="30" spans="21:23" ht="21" x14ac:dyDescent="0.35">
      <c r="U30" s="18" t="str">
        <v>Action Figure</v>
      </c>
      <c r="V30" s="19">
        <v>3965.52</v>
      </c>
      <c r="W30" s="20">
        <v>-2334.5399999999995</v>
      </c>
    </row>
    <row r="31" spans="21:23" ht="21" x14ac:dyDescent="0.35">
      <c r="U31" s="18" t="str">
        <v>Toy Robot</v>
      </c>
      <c r="V31" s="19">
        <v>1039.5999999999999</v>
      </c>
      <c r="W31" s="20">
        <v>-1975.2400000000002</v>
      </c>
    </row>
    <row r="32" spans="21:23" ht="21" x14ac:dyDescent="0.35">
      <c r="U32" s="18" t="str">
        <v>Mini Ping Pong</v>
      </c>
      <c r="V32" s="19">
        <v>2507.4900000000002</v>
      </c>
      <c r="W32" s="20">
        <v>-1248.75</v>
      </c>
    </row>
    <row r="33" spans="21:23" ht="21" x14ac:dyDescent="0.35">
      <c r="U33" s="18" t="str">
        <v>Disk Launcher</v>
      </c>
      <c r="V33" s="19">
        <v>815.31999999999994</v>
      </c>
      <c r="W33" s="23">
        <v>-839.30000000000018</v>
      </c>
    </row>
    <row r="34" spans="21:23" ht="21" x14ac:dyDescent="0.35">
      <c r="W34" s="25">
        <f>SUM(W28:W33)</f>
        <v>-12014.219999999998</v>
      </c>
    </row>
  </sheetData>
  <conditionalFormatting sqref="W14:W19">
    <cfRule type="colorScale" priority="2">
      <colorScale>
        <cfvo type="min"/>
        <cfvo type="max"/>
        <color rgb="FFFCFCFF"/>
        <color theme="9" tint="0.39997558519241921"/>
      </colorScale>
    </cfRule>
  </conditionalFormatting>
  <conditionalFormatting sqref="W28:W33">
    <cfRule type="colorScale" priority="1">
      <colorScale>
        <cfvo type="min"/>
        <cfvo type="max"/>
        <color rgb="FFFF6565"/>
        <color rgb="FFFCFCFF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98C2E7-9F3E-4B20-BD14-CF6A3CABB027}">
          <x14:formula1>
            <xm:f>'Data Prep'!$B$4:$B$6</xm:f>
          </x14:formula1>
          <xm:sqref>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33" workbookViewId="0">
      <selection activeCell="O258" sqref="O258"/>
    </sheetView>
  </sheetViews>
  <sheetFormatPr defaultRowHeight="15" x14ac:dyDescent="0.25"/>
  <cols>
    <col min="1" max="1" width="5" bestFit="1" customWidth="1"/>
    <col min="2" max="2" width="2" bestFit="1" customWidth="1"/>
    <col min="3" max="3" width="12.85546875" bestFit="1" customWidth="1"/>
    <col min="4" max="4" width="11.42578125" bestFit="1" customWidth="1"/>
    <col min="5" max="5" width="11.5703125" bestFit="1" customWidth="1"/>
    <col min="6" max="6" width="22.28515625" bestFit="1" customWidth="1"/>
    <col min="7" max="7" width="17.42578125" bestFit="1" customWidth="1"/>
    <col min="8" max="8" width="4" bestFit="1" customWidth="1"/>
    <col min="9" max="9" width="6.5703125" bestFit="1" customWidth="1"/>
    <col min="10" max="10" width="5" bestFit="1" customWidth="1"/>
  </cols>
  <sheetData>
    <row r="1" spans="1:10" x14ac:dyDescent="0.25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5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5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5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5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5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5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5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5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5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5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5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5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5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5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5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5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5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5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5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5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5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5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5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5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5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5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5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5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5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5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5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5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5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5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5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5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5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5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5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5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5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5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5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5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5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5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5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5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5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5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5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5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5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5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5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5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5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5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5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5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5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5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5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5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5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5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5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5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5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5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5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5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5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5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5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5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5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5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5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5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5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5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5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5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5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5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5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5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5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5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5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5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5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5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5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5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5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5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5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5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5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5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5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5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5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5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5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5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5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5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5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5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5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5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5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5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5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5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5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5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5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5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5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5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5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5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5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5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5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5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5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5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5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5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5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5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5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5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5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5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5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5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5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5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5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5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5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5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5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5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5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5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5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5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5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5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5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5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5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5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5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5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5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5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5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5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5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5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5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5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5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5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5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5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5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5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5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5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5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5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5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5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5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5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5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5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5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5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5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5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5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5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5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5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5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5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5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5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5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5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5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5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5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5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5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5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5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5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5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5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5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5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5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5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5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5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5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5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5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5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5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5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5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5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5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5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5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5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5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5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5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5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5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5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5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5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5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5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5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5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5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5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5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5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5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5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5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5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5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5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5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5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5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5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5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5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5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5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5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5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5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5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5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5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5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5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5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/>
  </sheetViews>
  <sheetFormatPr defaultRowHeight="15" x14ac:dyDescent="0.25"/>
  <sheetData>
    <row r="1" spans="1:10" x14ac:dyDescent="0.25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25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25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25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25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25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25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25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25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25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25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25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25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25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25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25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25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25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25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25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25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25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25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25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25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25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25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25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25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25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25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25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25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25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25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25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25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25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25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25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25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25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25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25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25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25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25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25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25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25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25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25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25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25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25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25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25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25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25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25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25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25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25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5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25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25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25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25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25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25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25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25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25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25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25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25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25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25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25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25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25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25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25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25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25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25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25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25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25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25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25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25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25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25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25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25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25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25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25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25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25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25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25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25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25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25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25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25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25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25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25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25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25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25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25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25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25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25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25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25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25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25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25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25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25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25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25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25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25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25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25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25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25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25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25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25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25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25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25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25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25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25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25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25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25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25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25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25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25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25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25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25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25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25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25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25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25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25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25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25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25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25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25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25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25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25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25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25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25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25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25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25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25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25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25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25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25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25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25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25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25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25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25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25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25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25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25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25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25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25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25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25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25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25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25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25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25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25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25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25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25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25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25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25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25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25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25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25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25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25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25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25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25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25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25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25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25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25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25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25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25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25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25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25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25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25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25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25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25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25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25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25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25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25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25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25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25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25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25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25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25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25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25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25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25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25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25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25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25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25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25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25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25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25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25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25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25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25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25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25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ziyaan97@student.ubc.ca</cp:lastModifiedBy>
  <dcterms:created xsi:type="dcterms:W3CDTF">2021-07-16T18:17:37Z</dcterms:created>
  <dcterms:modified xsi:type="dcterms:W3CDTF">2024-07-19T19:50:18Z</dcterms:modified>
</cp:coreProperties>
</file>