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jason\OneDrive\Documents\Internships and Jobs\GitHub Portfolio\"/>
    </mc:Choice>
  </mc:AlternateContent>
  <bookViews>
    <workbookView xWindow="0" yWindow="0" windowWidth="10275" windowHeight="4155"/>
  </bookViews>
  <sheets>
    <sheet name="DCF Summary" sheetId="6" r:id="rId1"/>
    <sheet name="Revenue" sheetId="1" r:id="rId2"/>
    <sheet name="Operating Cost" sheetId="2" r:id="rId3"/>
    <sheet name="Tax Rate" sheetId="3" r:id="rId4"/>
    <sheet name="Net Inv" sheetId="4" r:id="rId5"/>
    <sheet name="WC" sheetId="5" r:id="rId6"/>
    <sheet name="Cost of Debt" sheetId="10" r:id="rId7"/>
    <sheet name="Cost of Equity" sheetId="11" r:id="rId8"/>
    <sheet name="Long- term CF Growth" sheetId="8" r:id="rId9"/>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3" i="6" l="1"/>
  <c r="E13" i="6"/>
  <c r="F13" i="6"/>
  <c r="F12" i="4"/>
  <c r="F13" i="4"/>
  <c r="F14" i="4"/>
  <c r="F15" i="4"/>
  <c r="F16" i="4"/>
  <c r="F17" i="4"/>
  <c r="F18" i="4"/>
  <c r="F19" i="4"/>
  <c r="F11" i="4"/>
  <c r="E15" i="4"/>
  <c r="E16" i="4" s="1"/>
  <c r="D16" i="4"/>
  <c r="D17" i="4" s="1"/>
  <c r="D15" i="4"/>
  <c r="C19" i="4"/>
  <c r="C16" i="4"/>
  <c r="C17" i="4" s="1"/>
  <c r="C15" i="4"/>
  <c r="C29" i="3"/>
  <c r="B15" i="6"/>
  <c r="D14" i="6"/>
  <c r="E14" i="6"/>
  <c r="F14" i="6"/>
  <c r="C14" i="6"/>
  <c r="C13" i="6"/>
  <c r="D11" i="6"/>
  <c r="E11" i="6"/>
  <c r="F11" i="6"/>
  <c r="C11" i="6"/>
  <c r="C23" i="1"/>
  <c r="C20" i="1"/>
  <c r="D19" i="2"/>
  <c r="D18" i="2"/>
  <c r="D16" i="2"/>
  <c r="C9" i="6"/>
  <c r="B33" i="6"/>
  <c r="E17" i="4" l="1"/>
  <c r="E19" i="4" s="1"/>
  <c r="E18" i="4"/>
  <c r="D18" i="4"/>
  <c r="D19" i="4"/>
  <c r="C18" i="4"/>
  <c r="B5" i="11"/>
  <c r="E11" i="4"/>
  <c r="E12" i="4"/>
  <c r="E13" i="4"/>
  <c r="E14" i="4"/>
  <c r="E10" i="4"/>
  <c r="C6" i="11" l="1"/>
  <c r="C7" i="11"/>
  <c r="C8" i="11"/>
  <c r="C9" i="11"/>
  <c r="C10" i="11"/>
  <c r="C5" i="11"/>
  <c r="B20" i="11" s="1"/>
  <c r="B15" i="10"/>
  <c r="C9" i="8" l="1"/>
  <c r="B23" i="6"/>
  <c r="E11" i="5"/>
  <c r="F11" i="5" s="1"/>
  <c r="E12" i="5"/>
  <c r="F12" i="5" s="1"/>
  <c r="E13" i="5"/>
  <c r="F13" i="5" s="1"/>
  <c r="E14" i="5"/>
  <c r="E10" i="5"/>
  <c r="E10" i="3"/>
  <c r="E11" i="3"/>
  <c r="E12" i="3"/>
  <c r="E13" i="3"/>
  <c r="E14" i="3"/>
  <c r="E11" i="2"/>
  <c r="E12" i="2"/>
  <c r="E13" i="2"/>
  <c r="E14" i="2"/>
  <c r="E10" i="2"/>
  <c r="D15" i="2"/>
  <c r="C15" i="2"/>
  <c r="E15" i="2" s="1"/>
  <c r="D16" i="1"/>
  <c r="D17" i="1"/>
  <c r="D18" i="1"/>
  <c r="D15" i="1"/>
  <c r="C19" i="1"/>
  <c r="D19" i="1" l="1"/>
  <c r="C16" i="2"/>
  <c r="E16" i="2" s="1"/>
  <c r="F14" i="5"/>
  <c r="B25" i="6"/>
  <c r="E29" i="3"/>
  <c r="C30" i="3"/>
  <c r="H19" i="3"/>
  <c r="D17" i="2"/>
  <c r="D20" i="1" l="1"/>
  <c r="F15" i="5"/>
  <c r="F16" i="5" s="1"/>
  <c r="C17" i="2"/>
  <c r="E17" i="2" s="1"/>
  <c r="C21" i="1"/>
  <c r="E30" i="3"/>
  <c r="C12" i="6" s="1"/>
  <c r="C15" i="6" s="1"/>
  <c r="C31" i="3"/>
  <c r="C18" i="2"/>
  <c r="D21" i="1" l="1"/>
  <c r="D9" i="6"/>
  <c r="C22" i="1"/>
  <c r="F17" i="5"/>
  <c r="F18" i="5" s="1"/>
  <c r="C19" i="2"/>
  <c r="E19" i="2" s="1"/>
  <c r="E18" i="2"/>
  <c r="E31" i="3"/>
  <c r="D12" i="6" s="1"/>
  <c r="C32" i="3"/>
  <c r="D15" i="6" l="1"/>
  <c r="D22" i="1"/>
  <c r="E9" i="6"/>
  <c r="F19" i="5"/>
  <c r="E32" i="3"/>
  <c r="E12" i="6" s="1"/>
  <c r="C33" i="3"/>
  <c r="E33" i="3" s="1"/>
  <c r="F12" i="6" s="1"/>
  <c r="E15" i="6" l="1"/>
  <c r="D23" i="1"/>
  <c r="F9" i="6"/>
  <c r="F15" i="6" l="1"/>
  <c r="B37" i="6" s="1"/>
  <c r="B41" i="6" l="1"/>
  <c r="B44" i="6" s="1"/>
</calcChain>
</file>

<file path=xl/sharedStrings.xml><?xml version="1.0" encoding="utf-8"?>
<sst xmlns="http://schemas.openxmlformats.org/spreadsheetml/2006/main" count="144" uniqueCount="105">
  <si>
    <t>COCA- COLA AMATIL LTD</t>
  </si>
  <si>
    <t>SALES REVENUE</t>
  </si>
  <si>
    <t>2010- 2019</t>
  </si>
  <si>
    <t>Year</t>
  </si>
  <si>
    <t>ACTUAL</t>
  </si>
  <si>
    <t>FORECAST</t>
  </si>
  <si>
    <t>Sales Revenue</t>
  </si>
  <si>
    <t>Sales Growth (%)</t>
  </si>
  <si>
    <t>OPERATING COST</t>
  </si>
  <si>
    <t>Operating Cost</t>
  </si>
  <si>
    <t>Sales Revenue($Mil.)</t>
  </si>
  <si>
    <t>Operating Cost ($Mil.)</t>
  </si>
  <si>
    <t>Sales Revenue ($Mil.)</t>
  </si>
  <si>
    <t>Operating cost margin (%)</t>
  </si>
  <si>
    <t>TAXES</t>
  </si>
  <si>
    <t>Income Tax ($Mil.)</t>
  </si>
  <si>
    <t>PBIT ($Mil.)</t>
  </si>
  <si>
    <t>Tax Rate (%)</t>
  </si>
  <si>
    <t>Forecasted tax rate=</t>
  </si>
  <si>
    <t>2010 tax rate+ 2011 tax rate+ 2012 tax rate + 2014 tax rate  =</t>
  </si>
  <si>
    <t>%</t>
  </si>
  <si>
    <t>NET FIXED CAPITAL INVESTMENT</t>
  </si>
  <si>
    <t>Intangible Assets ($Mil.)</t>
  </si>
  <si>
    <t>PPE ($Mil.)</t>
  </si>
  <si>
    <t>Change in Working Capital</t>
  </si>
  <si>
    <t>Total Current Assets ($Mil.)</t>
  </si>
  <si>
    <t>Total Current Liabilities ($Mil.)</t>
  </si>
  <si>
    <t>Working Capital ($Mil.)</t>
  </si>
  <si>
    <t>Change in Working Capital ($Mil.)</t>
  </si>
  <si>
    <t>Less:</t>
  </si>
  <si>
    <t>Taxes</t>
  </si>
  <si>
    <t>Net Investment</t>
  </si>
  <si>
    <t>Smil.</t>
  </si>
  <si>
    <t>Coca- Cola Amatil Ltd</t>
  </si>
  <si>
    <t>2015- 2019</t>
  </si>
  <si>
    <t>$mil.</t>
  </si>
  <si>
    <t>Free Cash Flow</t>
  </si>
  <si>
    <t>Calculation of WACC</t>
  </si>
  <si>
    <t>Total Equity in 2014 ( E ) =</t>
  </si>
  <si>
    <t>V= L+ E</t>
  </si>
  <si>
    <t xml:space="preserve">Total Liabilities in 2014 ( L )= </t>
  </si>
  <si>
    <t>Tax rate (Previous forecasted test rate is used)</t>
  </si>
  <si>
    <t>Calculation of Terminal Value</t>
  </si>
  <si>
    <t>Annual Gowth Rate, %</t>
  </si>
  <si>
    <t xml:space="preserve">Australia GDP Growth Rate </t>
  </si>
  <si>
    <t>1995- 1999</t>
  </si>
  <si>
    <t>2000- 2004</t>
  </si>
  <si>
    <t>2005- 2009</t>
  </si>
  <si>
    <t>2010- 2014</t>
  </si>
  <si>
    <t>(Assumed to be equal to the long- term</t>
  </si>
  <si>
    <t xml:space="preserve"> forecasted GDP growth rate, refers to ' Sheet 8'</t>
  </si>
  <si>
    <t>Final Projected Cash Flow (2019),F,  $mil</t>
  </si>
  <si>
    <t>Long Term Cash Flow Growth Rate, LC</t>
  </si>
  <si>
    <t>Terminal Value, TV, $mil</t>
  </si>
  <si>
    <t>WACC= L*Rd*(1- Tax rate)/V+ E*Re/V</t>
  </si>
  <si>
    <t>Coca-Cola Amatil 4.5%</t>
  </si>
  <si>
    <t>Coca-Cola Amatil 4.25%</t>
  </si>
  <si>
    <t>Coca-Cola Amatil 4.15%</t>
  </si>
  <si>
    <t>Coca-Cola Amatil 4.125%</t>
  </si>
  <si>
    <t>Coca-Cola Amatil 4.625%</t>
  </si>
  <si>
    <t>Coca-Cola Amatil 5%</t>
  </si>
  <si>
    <t>Coca-Cola Amatil 2.5525%</t>
  </si>
  <si>
    <t>Coca- Cola Amatil 4.375%</t>
  </si>
  <si>
    <t>Name</t>
  </si>
  <si>
    <t>Yield to maturity (%)</t>
  </si>
  <si>
    <t>Bonds Issued by Coca- Cola Amatil Ltd</t>
  </si>
  <si>
    <t>Cost of Debt, Rd=</t>
  </si>
  <si>
    <t>F*( 1-+LC)/ (r- LC); r= WACC</t>
  </si>
  <si>
    <t>Financial Year</t>
  </si>
  <si>
    <t>FY13</t>
  </si>
  <si>
    <t>FY12</t>
  </si>
  <si>
    <t>FY11</t>
  </si>
  <si>
    <t>FY10</t>
  </si>
  <si>
    <t>Dividends</t>
  </si>
  <si>
    <t>FY14</t>
  </si>
  <si>
    <t>Total Dividends per Share (Cents)</t>
  </si>
  <si>
    <t>FY15 (Forecasted)</t>
  </si>
  <si>
    <t>Growth Rate</t>
  </si>
  <si>
    <t>(Data obtained from http://ccamatil.com/InvestorRelations/ShareholderInfo/Pages/Dividend.aspx and 2014 Financial Results)</t>
  </si>
  <si>
    <t>Cost of equity, Re = 2015 Annual Dividend/ Current Stock Price + Dividend Growth Rate</t>
  </si>
  <si>
    <t>Cost of equity, Re =</t>
  </si>
  <si>
    <t>cents</t>
  </si>
  <si>
    <t>$10.79=</t>
  </si>
  <si>
    <t>(Calculated using dividend growth model)</t>
  </si>
  <si>
    <t>Cost of equity, Re=</t>
  </si>
  <si>
    <t>Cost of debt, Rd=</t>
  </si>
  <si>
    <t>Australian GDP Growth is assumed to be equal to the long- term cash flow growth rate</t>
  </si>
  <si>
    <t>(WACC is used as discount factor, ie 8,5448%</t>
  </si>
  <si>
    <t>(Total liabilities at 2014)</t>
  </si>
  <si>
    <t>Fair Value, $mil</t>
  </si>
  <si>
    <t>(Taken from ASX)</t>
  </si>
  <si>
    <t>Price per share, $</t>
  </si>
  <si>
    <t>Enterprise value using DCF method (EV), $mil</t>
  </si>
  <si>
    <t>(Average  yield of maturity)</t>
  </si>
  <si>
    <t>Profit Before Interest ($Mil.)</t>
  </si>
  <si>
    <t>Extraordinary high tax rate of FY 2013 is excluded from the calculaion  as it is an outlier.  The forecasted tax rate is extremely high due to its impairment of intangible assets on 2013.</t>
  </si>
  <si>
    <t>27.16% tax rate is assumed to be constant within 2015- 2019</t>
  </si>
  <si>
    <t xml:space="preserve">Dividend for FY 15 is forecasted by using moving averages of FY13- FY14 </t>
  </si>
  <si>
    <t xml:space="preserve">Current Stock Price (on 24th March 2015)=  </t>
  </si>
  <si>
    <t>(Taken from WorldBank data, http://data.worldbank.org/indicator/NY.GDP.MKTP.KD.ZG)</t>
  </si>
  <si>
    <t>Calculation of FCFF</t>
  </si>
  <si>
    <t>Outstanding shares , mil. (on 24th March 2015)</t>
  </si>
  <si>
    <t>Less: Total Debt , $mil</t>
  </si>
  <si>
    <t>Net Investment (SMil.)</t>
  </si>
  <si>
    <t>Total Fixed Capital ($Mil.)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</si>
</sst>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Red]\-&quot;$&quot;#,##0.00"/>
    <numFmt numFmtId="165" formatCode="0.0000%"/>
  </numFmts>
  <fonts count="7"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u/>
      <sz val="11"/>
      <color theme="1"/>
      <name val="Calibri"/>
      <family val="2"/>
      <scheme val="minor"/>
    </font>
    <font>
      <sz val="11"/>
      <color theme="1"/>
      <name val="Calibri"/>
      <family val="2"/>
      <scheme val="minor"/>
    </font>
    <font>
      <sz val="8"/>
      <color theme="1"/>
      <name val="Verdana"/>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3">
    <border>
      <left/>
      <right/>
      <top/>
      <bottom/>
      <diagonal/>
    </border>
    <border>
      <left/>
      <right/>
      <top style="thin">
        <color indexed="64"/>
      </top>
      <bottom style="medium">
        <color indexed="64"/>
      </bottom>
      <diagonal/>
    </border>
    <border>
      <left/>
      <right/>
      <top/>
      <bottom style="medium">
        <color rgb="FFCCCCCC"/>
      </bottom>
      <diagonal/>
    </border>
  </borders>
  <cellStyleXfs count="2">
    <xf numFmtId="0" fontId="0" fillId="0" borderId="0"/>
    <xf numFmtId="9" fontId="5" fillId="0" borderId="0" applyFont="0" applyFill="0" applyBorder="0" applyAlignment="0" applyProtection="0"/>
  </cellStyleXfs>
  <cellXfs count="27">
    <xf numFmtId="0" fontId="0" fillId="0" borderId="0" xfId="0"/>
    <xf numFmtId="0" fontId="0" fillId="0" borderId="0" xfId="0" applyAlignment="1">
      <alignment horizontal="center"/>
    </xf>
    <xf numFmtId="2" fontId="0" fillId="0" borderId="0" xfId="0" applyNumberFormat="1"/>
    <xf numFmtId="0" fontId="0" fillId="0" borderId="0" xfId="0" applyAlignment="1"/>
    <xf numFmtId="0" fontId="0" fillId="2" borderId="0" xfId="0" applyFill="1"/>
    <xf numFmtId="0" fontId="1" fillId="0" borderId="0" xfId="0" applyFont="1"/>
    <xf numFmtId="0" fontId="0" fillId="0" borderId="0" xfId="0" applyFont="1"/>
    <xf numFmtId="0" fontId="1" fillId="0" borderId="1" xfId="0" applyFont="1" applyBorder="1" applyAlignment="1">
      <alignment wrapText="1"/>
    </xf>
    <xf numFmtId="10" fontId="0" fillId="0" borderId="0" xfId="0" applyNumberFormat="1"/>
    <xf numFmtId="0" fontId="4" fillId="0" borderId="0" xfId="0" applyFont="1" applyAlignment="1">
      <alignment horizontal="center"/>
    </xf>
    <xf numFmtId="0" fontId="0" fillId="0" borderId="0" xfId="0" applyFont="1" applyAlignment="1">
      <alignment horizontal="center"/>
    </xf>
    <xf numFmtId="10" fontId="0" fillId="0" borderId="0" xfId="1" applyNumberFormat="1" applyFont="1"/>
    <xf numFmtId="165" fontId="0" fillId="0" borderId="0" xfId="1" applyNumberFormat="1" applyFont="1"/>
    <xf numFmtId="165" fontId="0" fillId="0" borderId="0" xfId="0" applyNumberFormat="1"/>
    <xf numFmtId="0" fontId="6" fillId="0" borderId="2" xfId="0" applyFont="1" applyBorder="1" applyAlignment="1">
      <alignment horizontal="right" vertical="center" wrapText="1"/>
    </xf>
    <xf numFmtId="164" fontId="0" fillId="0" borderId="0" xfId="0" applyNumberFormat="1"/>
    <xf numFmtId="10" fontId="0" fillId="2" borderId="0" xfId="1" applyNumberFormat="1" applyFont="1" applyFill="1"/>
    <xf numFmtId="10" fontId="0" fillId="3" borderId="0" xfId="1" applyNumberFormat="1" applyFont="1" applyFill="1"/>
    <xf numFmtId="0" fontId="0" fillId="0" borderId="0" xfId="0" applyFill="1"/>
    <xf numFmtId="0" fontId="1" fillId="0" borderId="1" xfId="0" applyFont="1" applyBorder="1"/>
    <xf numFmtId="2" fontId="1" fillId="0" borderId="1" xfId="0" applyNumberFormat="1" applyFont="1" applyBorder="1"/>
    <xf numFmtId="2" fontId="0" fillId="0" borderId="0" xfId="1" applyNumberFormat="1" applyFont="1"/>
    <xf numFmtId="0" fontId="3" fillId="0" borderId="0" xfId="0" applyFont="1" applyFill="1"/>
    <xf numFmtId="2" fontId="3" fillId="0" borderId="0" xfId="0" applyNumberFormat="1" applyFont="1" applyFill="1"/>
    <xf numFmtId="0" fontId="0" fillId="0" borderId="0" xfId="0" applyAlignment="1">
      <alignment horizontal="center"/>
    </xf>
    <xf numFmtId="0" fontId="2" fillId="0" borderId="0" xfId="0" applyFont="1" applyAlignment="1">
      <alignment horizontal="center"/>
    </xf>
    <xf numFmtId="0" fontId="4"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Revenue!$C$13</c:f>
              <c:strCache>
                <c:ptCount val="1"/>
                <c:pt idx="0">
                  <c:v>Sales Revenue($Mil.)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Revenue!$B$14:$B$18</c:f>
              <c:numCache>
                <c:formatCode>General</c:formatCode>
                <c:ptCount val="5"/>
                <c:pt idx="0">
                  <c:v>2010</c:v>
                </c:pt>
                <c:pt idx="1">
                  <c:v>2011</c:v>
                </c:pt>
                <c:pt idx="2">
                  <c:v>2012</c:v>
                </c:pt>
                <c:pt idx="3">
                  <c:v>2013</c:v>
                </c:pt>
                <c:pt idx="4">
                  <c:v>2014</c:v>
                </c:pt>
              </c:numCache>
            </c:numRef>
          </c:xVal>
          <c:yVal>
            <c:numRef>
              <c:f>Revenue!$C$14:$C$18</c:f>
              <c:numCache>
                <c:formatCode>General</c:formatCode>
                <c:ptCount val="5"/>
                <c:pt idx="0">
                  <c:v>4490.3</c:v>
                </c:pt>
                <c:pt idx="1">
                  <c:v>4801.2</c:v>
                </c:pt>
                <c:pt idx="2">
                  <c:v>5097.3999999999996</c:v>
                </c:pt>
                <c:pt idx="3">
                  <c:v>5036.3999999999996</c:v>
                </c:pt>
                <c:pt idx="4">
                  <c:v>4942.8</c:v>
                </c:pt>
              </c:numCache>
            </c:numRef>
          </c:yVal>
          <c:smooth val="1"/>
          <c:extLst>
            <c:ext xmlns:c16="http://schemas.microsoft.com/office/drawing/2014/chart" uri="{C3380CC4-5D6E-409C-BE32-E72D297353CC}">
              <c16:uniqueId val="{00000000-7745-4F4C-B9F8-02C5B855D7E9}"/>
            </c:ext>
          </c:extLst>
        </c:ser>
        <c:dLbls>
          <c:showLegendKey val="0"/>
          <c:showVal val="0"/>
          <c:showCatName val="0"/>
          <c:showSerName val="0"/>
          <c:showPercent val="0"/>
          <c:showBubbleSize val="0"/>
        </c:dLbls>
        <c:axId val="120414696"/>
        <c:axId val="120415088"/>
      </c:scatterChart>
      <c:valAx>
        <c:axId val="120414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Year</a:t>
                </a:r>
              </a:p>
            </c:rich>
          </c:tx>
          <c:layout>
            <c:manualLayout>
              <c:xMode val="edge"/>
              <c:yMode val="edge"/>
              <c:x val="0.46754746281714787"/>
              <c:y val="0.8925692621755614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15088"/>
        <c:crosses val="autoZero"/>
        <c:crossBetween val="midCat"/>
      </c:valAx>
      <c:valAx>
        <c:axId val="120415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t>
                </a:r>
                <a:r>
                  <a:rPr lang="en-AU" baseline="0"/>
                  <a:t> Mil.</a:t>
                </a:r>
                <a:endParaRPr lang="en-AU"/>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146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'Operating Cost'!$C$9</c:f>
              <c:strCache>
                <c:ptCount val="1"/>
                <c:pt idx="0">
                  <c:v>Operating Cost ($Mil.)</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'Operating Cost'!$B$10:$B$14</c:f>
              <c:numCache>
                <c:formatCode>General</c:formatCode>
                <c:ptCount val="5"/>
                <c:pt idx="0">
                  <c:v>2010</c:v>
                </c:pt>
                <c:pt idx="1">
                  <c:v>2011</c:v>
                </c:pt>
                <c:pt idx="2">
                  <c:v>2012</c:v>
                </c:pt>
                <c:pt idx="3">
                  <c:v>2013</c:v>
                </c:pt>
                <c:pt idx="4">
                  <c:v>2014</c:v>
                </c:pt>
              </c:numCache>
            </c:numRef>
          </c:xVal>
          <c:yVal>
            <c:numRef>
              <c:f>'Operating Cost'!$C$10:$C$14</c:f>
              <c:numCache>
                <c:formatCode>General</c:formatCode>
                <c:ptCount val="5"/>
                <c:pt idx="0">
                  <c:v>3766</c:v>
                </c:pt>
                <c:pt idx="1">
                  <c:v>4199.3</c:v>
                </c:pt>
                <c:pt idx="2">
                  <c:v>4431.3999999999996</c:v>
                </c:pt>
                <c:pt idx="3">
                  <c:v>4715.8</c:v>
                </c:pt>
                <c:pt idx="4">
                  <c:v>4495.7</c:v>
                </c:pt>
              </c:numCache>
            </c:numRef>
          </c:yVal>
          <c:smooth val="1"/>
          <c:extLst>
            <c:ext xmlns:c16="http://schemas.microsoft.com/office/drawing/2014/chart" uri="{C3380CC4-5D6E-409C-BE32-E72D297353CC}">
              <c16:uniqueId val="{00000000-488C-4943-B7F2-155DF925AEE1}"/>
            </c:ext>
          </c:extLst>
        </c:ser>
        <c:dLbls>
          <c:showLegendKey val="0"/>
          <c:showVal val="0"/>
          <c:showCatName val="0"/>
          <c:showSerName val="0"/>
          <c:showPercent val="0"/>
          <c:showBubbleSize val="0"/>
        </c:dLbls>
        <c:axId val="120415872"/>
        <c:axId val="120416264"/>
      </c:scatterChart>
      <c:valAx>
        <c:axId val="1204158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16264"/>
        <c:crosses val="autoZero"/>
        <c:crossBetween val="midCat"/>
      </c:valAx>
      <c:valAx>
        <c:axId val="120416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4158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CCL</a:t>
            </a:r>
            <a:r>
              <a:rPr lang="en-AU" baseline="0"/>
              <a:t> Net Fixed Capital Investment</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'Net Inv'!$B$11:$B$14</c:f>
              <c:numCache>
                <c:formatCode>General</c:formatCode>
                <c:ptCount val="4"/>
                <c:pt idx="0">
                  <c:v>2011</c:v>
                </c:pt>
                <c:pt idx="1">
                  <c:v>2012</c:v>
                </c:pt>
                <c:pt idx="2">
                  <c:v>2013</c:v>
                </c:pt>
                <c:pt idx="3">
                  <c:v>2014</c:v>
                </c:pt>
              </c:numCache>
            </c:numRef>
          </c:xVal>
          <c:yVal>
            <c:numRef>
              <c:f>'Net Inv'!$F$11:$F$14</c:f>
              <c:numCache>
                <c:formatCode>General</c:formatCode>
                <c:ptCount val="4"/>
                <c:pt idx="0">
                  <c:v>193.89999999999964</c:v>
                </c:pt>
                <c:pt idx="1">
                  <c:v>242.80000000000018</c:v>
                </c:pt>
                <c:pt idx="2">
                  <c:v>-227.30000000000018</c:v>
                </c:pt>
                <c:pt idx="3">
                  <c:v>-29.5</c:v>
                </c:pt>
              </c:numCache>
            </c:numRef>
          </c:yVal>
          <c:smooth val="1"/>
          <c:extLst>
            <c:ext xmlns:c16="http://schemas.microsoft.com/office/drawing/2014/chart" uri="{C3380CC4-5D6E-409C-BE32-E72D297353CC}">
              <c16:uniqueId val="{00000000-9CB0-4326-B11A-FCB08420BC7B}"/>
            </c:ext>
          </c:extLst>
        </c:ser>
        <c:dLbls>
          <c:showLegendKey val="0"/>
          <c:showVal val="0"/>
          <c:showCatName val="0"/>
          <c:showSerName val="0"/>
          <c:showPercent val="0"/>
          <c:showBubbleSize val="0"/>
        </c:dLbls>
        <c:axId val="176116384"/>
        <c:axId val="176567512"/>
      </c:scatterChart>
      <c:valAx>
        <c:axId val="1761163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67512"/>
        <c:crosses val="autoZero"/>
        <c:crossBetween val="midCat"/>
      </c:valAx>
      <c:valAx>
        <c:axId val="176567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$Mil.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163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195262</xdr:colOff>
      <xdr:row>8</xdr:row>
      <xdr:rowOff>119062</xdr:rowOff>
    </xdr:from>
    <xdr:to>
      <xdr:col>12</xdr:col>
      <xdr:colOff>500062</xdr:colOff>
      <xdr:row>23</xdr:row>
      <xdr:rowOff>4762</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442912</xdr:colOff>
      <xdr:row>5</xdr:row>
      <xdr:rowOff>138112</xdr:rowOff>
    </xdr:from>
    <xdr:to>
      <xdr:col>13</xdr:col>
      <xdr:colOff>138112</xdr:colOff>
      <xdr:row>20</xdr:row>
      <xdr:rowOff>23812</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800100</xdr:colOff>
      <xdr:row>5</xdr:row>
      <xdr:rowOff>128587</xdr:rowOff>
    </xdr:from>
    <xdr:to>
      <xdr:col>13</xdr:col>
      <xdr:colOff>552450</xdr:colOff>
      <xdr:row>20</xdr:row>
      <xdr:rowOff>14287</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44"/>
  <sheetViews>
    <sheetView tabSelected="1" topLeftCell="A31" workbookViewId="0">
      <selection activeCell="G48" sqref="G47:G48"/>
    </sheetView>
  </sheetViews>
  <sheetFormatPr defaultRowHeight="15" x14ac:dyDescent="0.25"/>
  <cols>
    <col min="1" max="1" width="44.5703125" customWidth="1"/>
    <col min="2" max="2" width="15.28515625" customWidth="1"/>
    <col min="4" max="4" width="17.85546875" bestFit="1" customWidth="1"/>
    <col min="5" max="5" width="10.5703125" bestFit="1" customWidth="1"/>
    <col min="8" max="8" width="8.7109375" customWidth="1"/>
    <col min="9" max="9" width="10.42578125" customWidth="1"/>
    <col min="10" max="10" width="15.140625" bestFit="1" customWidth="1"/>
  </cols>
  <sheetData>
    <row r="3" spans="1:6" x14ac:dyDescent="0.25">
      <c r="A3" s="26" t="s">
        <v>33</v>
      </c>
      <c r="B3" s="26"/>
      <c r="C3" s="26"/>
      <c r="D3" s="26"/>
      <c r="E3" s="26"/>
      <c r="F3" s="26"/>
    </row>
    <row r="4" spans="1:6" x14ac:dyDescent="0.25">
      <c r="A4" s="26" t="s">
        <v>100</v>
      </c>
      <c r="B4" s="26"/>
      <c r="C4" s="26"/>
      <c r="D4" s="26"/>
      <c r="E4" s="26"/>
      <c r="F4" s="26"/>
    </row>
    <row r="5" spans="1:6" x14ac:dyDescent="0.25">
      <c r="A5" s="26" t="s">
        <v>34</v>
      </c>
      <c r="B5" s="26"/>
      <c r="C5" s="26"/>
      <c r="D5" s="26"/>
      <c r="E5" s="26"/>
      <c r="F5" s="26"/>
    </row>
    <row r="7" spans="1:6" x14ac:dyDescent="0.25">
      <c r="A7" s="6" t="s">
        <v>3</v>
      </c>
      <c r="B7" s="5">
        <v>2015</v>
      </c>
      <c r="C7" s="5">
        <v>2016</v>
      </c>
      <c r="D7" s="5">
        <v>2017</v>
      </c>
      <c r="E7" s="5">
        <v>2018</v>
      </c>
      <c r="F7" s="5">
        <v>2019</v>
      </c>
    </row>
    <row r="8" spans="1:6" x14ac:dyDescent="0.25">
      <c r="B8" t="s">
        <v>32</v>
      </c>
      <c r="C8" t="s">
        <v>32</v>
      </c>
      <c r="D8" t="s">
        <v>32</v>
      </c>
      <c r="E8" t="s">
        <v>32</v>
      </c>
      <c r="F8" t="s">
        <v>32</v>
      </c>
    </row>
    <row r="9" spans="1:6" x14ac:dyDescent="0.25">
      <c r="A9" t="s">
        <v>6</v>
      </c>
      <c r="B9">
        <v>5025.53</v>
      </c>
      <c r="C9">
        <f ca="1">OFFSET(Revenue!$C$19,'DCF Summary'!C7-'DCF Summary'!$B$7,0)</f>
        <v>5001.58</v>
      </c>
      <c r="D9">
        <f ca="1">OFFSET(Revenue!$C$19,'DCF Summary'!D7-'DCF Summary'!$B$7,0)</f>
        <v>4989.97</v>
      </c>
      <c r="E9">
        <f ca="1">OFFSET(Revenue!$C$19,'DCF Summary'!E7-'DCF Summary'!$B$7,0)</f>
        <v>5005.6899999999996</v>
      </c>
      <c r="F9">
        <f ca="1">OFFSET(Revenue!$C$19,'DCF Summary'!F7-'DCF Summary'!$B$7,0)</f>
        <v>4999.08</v>
      </c>
    </row>
    <row r="10" spans="1:6" x14ac:dyDescent="0.25">
      <c r="A10" s="5" t="s">
        <v>29</v>
      </c>
    </row>
    <row r="11" spans="1:6" x14ac:dyDescent="0.25">
      <c r="A11" t="s">
        <v>9</v>
      </c>
      <c r="B11">
        <v>4547.63</v>
      </c>
      <c r="C11">
        <f ca="1">OFFSET('Operating Cost'!$C$15,'DCF Summary'!C7-'DCF Summary'!$B$7,0)</f>
        <v>4586.38</v>
      </c>
      <c r="D11">
        <f ca="1">OFFSET('Operating Cost'!$C$15,'DCF Summary'!D7-'DCF Summary'!$B$7,0)</f>
        <v>4543.24</v>
      </c>
      <c r="E11">
        <f ca="1">OFFSET('Operating Cost'!$C$15,'DCF Summary'!E7-'DCF Summary'!$B$7,0)</f>
        <v>4559.08</v>
      </c>
      <c r="F11">
        <f ca="1">OFFSET('Operating Cost'!$C$15,'DCF Summary'!F7-'DCF Summary'!$B$7,0)</f>
        <v>4562.8999999999996</v>
      </c>
    </row>
    <row r="12" spans="1:6" x14ac:dyDescent="0.25">
      <c r="A12" t="s">
        <v>30</v>
      </c>
      <c r="B12">
        <v>115.65</v>
      </c>
      <c r="C12">
        <f ca="1">OFFSET('Tax Rate'!$E$29,'DCF Summary'!C7-'DCF Summary'!$B$7,0)</f>
        <v>95.432091999999997</v>
      </c>
      <c r="D12">
        <f ca="1">OFFSET('Tax Rate'!$E$29,'DCF Summary'!D7-'DCF Summary'!$B$7,0)</f>
        <v>105.23413599999999</v>
      </c>
      <c r="E12">
        <f ca="1">OFFSET('Tax Rate'!$E$29,'DCF Summary'!E7-'DCF Summary'!$B$7,0)</f>
        <v>105.43783599999999</v>
      </c>
      <c r="F12">
        <f ca="1">OFFSET('Tax Rate'!$E$29,'DCF Summary'!F7-'DCF Summary'!$B$7,0)</f>
        <v>102.034688</v>
      </c>
    </row>
    <row r="13" spans="1:6" x14ac:dyDescent="0.25">
      <c r="A13" t="s">
        <v>31</v>
      </c>
      <c r="B13">
        <v>-4.67</v>
      </c>
      <c r="C13">
        <f ca="1">OFFSET('Net Inv'!$F$15,'DCF Summary'!C7-'DCF Summary'!$B$7,0)</f>
        <v>-53.789999999999964</v>
      </c>
      <c r="D13">
        <f ca="1">OFFSET('Net Inv'!$F$15,'DCF Summary'!D7-'DCF Summary'!$B$7,0)</f>
        <v>4.0499999999997272</v>
      </c>
      <c r="E13">
        <f ca="1">OFFSET('Net Inv'!$F$15,'DCF Summary'!E7-'DCF Summary'!$B$7,0)</f>
        <v>15.230000000000018</v>
      </c>
      <c r="F13">
        <f ca="1">OFFSET('Net Inv'!$F$15,'DCF Summary'!F7-'DCF Summary'!$B$7,0)</f>
        <v>-11.5</v>
      </c>
    </row>
    <row r="14" spans="1:6" x14ac:dyDescent="0.25">
      <c r="A14" t="s">
        <v>24</v>
      </c>
      <c r="B14">
        <v>-118.87</v>
      </c>
      <c r="C14">
        <f ca="1">OFFSET(WC!$F$15,'DCF Summary'!C7-'DCF Summary'!$B$7,0)</f>
        <v>-133.82</v>
      </c>
      <c r="D14">
        <f ca="1">OFFSET(WC!$F$15,'DCF Summary'!D7-'DCF Summary'!$B$7,0)</f>
        <v>-132.96</v>
      </c>
      <c r="E14">
        <f ca="1">OFFSET(WC!$F$15,'DCF Summary'!E7-'DCF Summary'!$B$7,0)</f>
        <v>-128.55000000000001</v>
      </c>
      <c r="F14">
        <f ca="1">OFFSET(WC!$F$15,'DCF Summary'!F7-'DCF Summary'!$B$7,0)</f>
        <v>-131.78</v>
      </c>
    </row>
    <row r="15" spans="1:6" ht="15.75" thickBot="1" x14ac:dyDescent="0.3">
      <c r="A15" s="5" t="s">
        <v>36</v>
      </c>
      <c r="B15" s="7">
        <f>B9-SUM(B11:B14)</f>
        <v>485.78999999999996</v>
      </c>
      <c r="C15" s="7">
        <f t="shared" ref="C15:F15" ca="1" si="0">C9-SUM(C11:C14)</f>
        <v>507.37790799999948</v>
      </c>
      <c r="D15" s="7">
        <f t="shared" ca="1" si="0"/>
        <v>470.40586400000029</v>
      </c>
      <c r="E15" s="7">
        <f t="shared" ca="1" si="0"/>
        <v>454.49216399999932</v>
      </c>
      <c r="F15" s="7">
        <f t="shared" ca="1" si="0"/>
        <v>477.4253120000003</v>
      </c>
    </row>
    <row r="18" spans="1:6" x14ac:dyDescent="0.25">
      <c r="A18" s="26" t="s">
        <v>33</v>
      </c>
      <c r="B18" s="26"/>
      <c r="C18" s="26"/>
      <c r="D18" s="26"/>
      <c r="E18" s="26"/>
      <c r="F18" s="26"/>
    </row>
    <row r="19" spans="1:6" x14ac:dyDescent="0.25">
      <c r="A19" s="26" t="s">
        <v>37</v>
      </c>
      <c r="B19" s="26"/>
      <c r="C19" s="26"/>
      <c r="D19" s="26"/>
      <c r="E19" s="26"/>
      <c r="F19" s="26"/>
    </row>
    <row r="20" spans="1:6" x14ac:dyDescent="0.25">
      <c r="A20" s="9"/>
      <c r="B20" s="10" t="s">
        <v>35</v>
      </c>
      <c r="D20" t="s">
        <v>84</v>
      </c>
      <c r="E20" s="11">
        <v>0.24299999999999999</v>
      </c>
    </row>
    <row r="21" spans="1:6" x14ac:dyDescent="0.25">
      <c r="A21" t="s">
        <v>40</v>
      </c>
      <c r="B21">
        <v>4353.1000000000004</v>
      </c>
      <c r="D21" t="s">
        <v>85</v>
      </c>
      <c r="E21" s="8">
        <v>3.3500000000000002E-2</v>
      </c>
    </row>
    <row r="22" spans="1:6" x14ac:dyDescent="0.25">
      <c r="A22" t="s">
        <v>38</v>
      </c>
      <c r="B22">
        <v>1686.7</v>
      </c>
    </row>
    <row r="23" spans="1:6" x14ac:dyDescent="0.25">
      <c r="A23" t="s">
        <v>39</v>
      </c>
      <c r="B23">
        <f>SUM(B21:B22)</f>
        <v>6039.8</v>
      </c>
    </row>
    <row r="24" spans="1:6" x14ac:dyDescent="0.25">
      <c r="A24" t="s">
        <v>41</v>
      </c>
      <c r="B24" s="8">
        <v>0.27160000000000001</v>
      </c>
    </row>
    <row r="25" spans="1:6" x14ac:dyDescent="0.25">
      <c r="A25" t="s">
        <v>54</v>
      </c>
      <c r="B25" s="13">
        <f>B21*E21*(1-B24)/B23+B22*E20/B23</f>
        <v>8.5448166220735783E-2</v>
      </c>
    </row>
    <row r="27" spans="1:6" x14ac:dyDescent="0.25">
      <c r="A27" s="26" t="s">
        <v>33</v>
      </c>
      <c r="B27" s="26"/>
      <c r="C27" s="26"/>
      <c r="D27" s="26"/>
      <c r="E27" s="26"/>
      <c r="F27" s="26"/>
    </row>
    <row r="28" spans="1:6" x14ac:dyDescent="0.25">
      <c r="A28" s="26" t="s">
        <v>42</v>
      </c>
      <c r="B28" s="26"/>
      <c r="C28" s="26"/>
      <c r="D28" s="26"/>
      <c r="E28" s="26"/>
      <c r="F28" s="26"/>
    </row>
    <row r="29" spans="1:6" x14ac:dyDescent="0.25">
      <c r="A29" t="s">
        <v>51</v>
      </c>
      <c r="B29">
        <v>523.16</v>
      </c>
      <c r="E29" s="11"/>
    </row>
    <row r="30" spans="1:6" x14ac:dyDescent="0.25">
      <c r="A30" t="s">
        <v>52</v>
      </c>
      <c r="B30" s="12">
        <v>2.63E-2</v>
      </c>
      <c r="E30" s="8"/>
    </row>
    <row r="31" spans="1:6" x14ac:dyDescent="0.25">
      <c r="A31" t="s">
        <v>49</v>
      </c>
    </row>
    <row r="32" spans="1:6" x14ac:dyDescent="0.25">
      <c r="A32" t="s">
        <v>50</v>
      </c>
    </row>
    <row r="33" spans="1:6" x14ac:dyDescent="0.25">
      <c r="A33" t="s">
        <v>53</v>
      </c>
      <c r="B33" s="2">
        <f>B29*(1+B30)/(B25-B30)</f>
        <v>9077.5275432253438</v>
      </c>
    </row>
    <row r="34" spans="1:6" x14ac:dyDescent="0.25">
      <c r="A34" t="s">
        <v>67</v>
      </c>
    </row>
    <row r="36" spans="1:6" x14ac:dyDescent="0.25">
      <c r="A36" s="26" t="s">
        <v>33</v>
      </c>
      <c r="B36" s="26"/>
      <c r="C36" s="26"/>
      <c r="D36" s="26"/>
      <c r="E36" s="26"/>
      <c r="F36" s="26"/>
    </row>
    <row r="37" spans="1:6" x14ac:dyDescent="0.25">
      <c r="A37" t="s">
        <v>92</v>
      </c>
      <c r="B37" s="2">
        <f ca="1">B15/(1+B25)+C15/(1+B25)^2+D15/(1+B25)^3+E15/(1+B25)^4+F15/(1+B25)^5+B33/(1+B25)^5</f>
        <v>7914.7941368933198</v>
      </c>
    </row>
    <row r="38" spans="1:6" x14ac:dyDescent="0.25">
      <c r="A38" t="s">
        <v>87</v>
      </c>
    </row>
    <row r="39" spans="1:6" x14ac:dyDescent="0.25">
      <c r="A39" t="s">
        <v>102</v>
      </c>
      <c r="B39" s="2">
        <v>1871.3</v>
      </c>
    </row>
    <row r="40" spans="1:6" x14ac:dyDescent="0.25">
      <c r="A40" t="s">
        <v>88</v>
      </c>
    </row>
    <row r="41" spans="1:6" x14ac:dyDescent="0.25">
      <c r="A41" t="s">
        <v>89</v>
      </c>
      <c r="B41" s="2">
        <f ca="1">B37-B39</f>
        <v>6043.4941368933196</v>
      </c>
    </row>
    <row r="42" spans="1:6" x14ac:dyDescent="0.25">
      <c r="A42" t="s">
        <v>101</v>
      </c>
      <c r="B42">
        <v>763.69</v>
      </c>
    </row>
    <row r="43" spans="1:6" x14ac:dyDescent="0.25">
      <c r="A43" t="s">
        <v>90</v>
      </c>
    </row>
    <row r="44" spans="1:6" ht="15.75" thickBot="1" x14ac:dyDescent="0.3">
      <c r="A44" s="19" t="s">
        <v>91</v>
      </c>
      <c r="B44" s="20">
        <f ca="1">B41/B42</f>
        <v>7.9135436327479987</v>
      </c>
    </row>
  </sheetData>
  <mergeCells count="8">
    <mergeCell ref="A36:F36"/>
    <mergeCell ref="A3:F3"/>
    <mergeCell ref="A4:F4"/>
    <mergeCell ref="A5:F5"/>
    <mergeCell ref="A28:F28"/>
    <mergeCell ref="A18:F18"/>
    <mergeCell ref="A19:F19"/>
    <mergeCell ref="A27:F2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E23"/>
  <sheetViews>
    <sheetView topLeftCell="A7" workbookViewId="0">
      <selection activeCell="C18" sqref="C18"/>
    </sheetView>
  </sheetViews>
  <sheetFormatPr defaultRowHeight="15" x14ac:dyDescent="0.25"/>
  <cols>
    <col min="1" max="1" width="17.42578125" customWidth="1"/>
    <col min="3" max="3" width="21.28515625" customWidth="1"/>
    <col min="4" max="4" width="17.140625" customWidth="1"/>
  </cols>
  <sheetData>
    <row r="10" spans="1:5" x14ac:dyDescent="0.25">
      <c r="B10" s="24" t="s">
        <v>0</v>
      </c>
      <c r="C10" s="24"/>
      <c r="D10" s="24"/>
    </row>
    <row r="11" spans="1:5" x14ac:dyDescent="0.25">
      <c r="B11" s="24" t="s">
        <v>1</v>
      </c>
      <c r="C11" s="24"/>
      <c r="D11" s="24"/>
    </row>
    <row r="12" spans="1:5" x14ac:dyDescent="0.25">
      <c r="B12" s="24" t="s">
        <v>2</v>
      </c>
      <c r="C12" s="24"/>
      <c r="D12" s="24"/>
    </row>
    <row r="13" spans="1:5" x14ac:dyDescent="0.25">
      <c r="B13" t="s">
        <v>3</v>
      </c>
      <c r="C13" t="s">
        <v>10</v>
      </c>
      <c r="D13" t="s">
        <v>7</v>
      </c>
    </row>
    <row r="14" spans="1:5" x14ac:dyDescent="0.25">
      <c r="A14" s="24" t="s">
        <v>4</v>
      </c>
      <c r="B14">
        <v>2010</v>
      </c>
      <c r="C14">
        <v>4490.3</v>
      </c>
      <c r="D14" s="4"/>
    </row>
    <row r="15" spans="1:5" x14ac:dyDescent="0.25">
      <c r="A15" s="24"/>
      <c r="B15">
        <v>2011</v>
      </c>
      <c r="C15">
        <v>4801.2</v>
      </c>
      <c r="D15" s="2">
        <f>(C15-C14)*100/C14</f>
        <v>6.9238135536601035</v>
      </c>
      <c r="E15" s="2"/>
    </row>
    <row r="16" spans="1:5" x14ac:dyDescent="0.25">
      <c r="A16" s="24"/>
      <c r="B16">
        <v>2012</v>
      </c>
      <c r="C16">
        <v>5097.3999999999996</v>
      </c>
      <c r="D16" s="2">
        <f t="shared" ref="D16:D23" si="0">(C16-C15)*100/C15</f>
        <v>6.1692910105806842</v>
      </c>
    </row>
    <row r="17" spans="1:4" x14ac:dyDescent="0.25">
      <c r="A17" s="24"/>
      <c r="B17">
        <v>2013</v>
      </c>
      <c r="C17">
        <v>5036.3999999999996</v>
      </c>
      <c r="D17" s="2">
        <f t="shared" si="0"/>
        <v>-1.1966885078667557</v>
      </c>
    </row>
    <row r="18" spans="1:4" x14ac:dyDescent="0.25">
      <c r="A18" s="24"/>
      <c r="B18">
        <v>2014</v>
      </c>
      <c r="C18">
        <v>4942.8</v>
      </c>
      <c r="D18" s="2">
        <f t="shared" si="0"/>
        <v>-1.8584703359542423</v>
      </c>
    </row>
    <row r="19" spans="1:4" x14ac:dyDescent="0.25">
      <c r="A19" s="24" t="s">
        <v>5</v>
      </c>
      <c r="B19">
        <v>2015</v>
      </c>
      <c r="C19">
        <f>ROUND(AVERAGE(C16:C18),2)</f>
        <v>5025.53</v>
      </c>
      <c r="D19" s="2">
        <f t="shared" si="0"/>
        <v>1.6737476733834984</v>
      </c>
    </row>
    <row r="20" spans="1:4" x14ac:dyDescent="0.25">
      <c r="A20" s="24"/>
      <c r="B20">
        <v>2016</v>
      </c>
      <c r="C20">
        <f>ROUND(AVERAGE(C17:C19),2)</f>
        <v>5001.58</v>
      </c>
      <c r="D20" s="2">
        <f t="shared" si="0"/>
        <v>-0.47656665068161608</v>
      </c>
    </row>
    <row r="21" spans="1:4" x14ac:dyDescent="0.25">
      <c r="A21" s="24"/>
      <c r="B21">
        <v>2017</v>
      </c>
      <c r="C21">
        <f t="shared" ref="C21:C22" si="1">ROUND(AVERAGE(C18:C20),2)</f>
        <v>4989.97</v>
      </c>
      <c r="D21" s="2">
        <f t="shared" si="0"/>
        <v>-0.23212664797923202</v>
      </c>
    </row>
    <row r="22" spans="1:4" x14ac:dyDescent="0.25">
      <c r="A22" s="24"/>
      <c r="B22">
        <v>2018</v>
      </c>
      <c r="C22">
        <f t="shared" si="1"/>
        <v>5005.6899999999996</v>
      </c>
      <c r="D22" s="2">
        <f t="shared" si="0"/>
        <v>0.3150319540999113</v>
      </c>
    </row>
    <row r="23" spans="1:4" x14ac:dyDescent="0.25">
      <c r="A23" s="24"/>
      <c r="B23">
        <v>2019</v>
      </c>
      <c r="C23">
        <f>ROUND(AVERAGE(C20:C22),2)</f>
        <v>4999.08</v>
      </c>
      <c r="D23" s="2">
        <f t="shared" si="0"/>
        <v>-0.13204972741020066</v>
      </c>
    </row>
  </sheetData>
  <mergeCells count="5">
    <mergeCell ref="B10:D10"/>
    <mergeCell ref="B11:D11"/>
    <mergeCell ref="B12:D12"/>
    <mergeCell ref="A14:A18"/>
    <mergeCell ref="A19:A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E19"/>
  <sheetViews>
    <sheetView topLeftCell="B4" workbookViewId="0">
      <selection activeCell="E12" sqref="E12"/>
    </sheetView>
  </sheetViews>
  <sheetFormatPr defaultRowHeight="15" x14ac:dyDescent="0.25"/>
  <cols>
    <col min="1" max="1" width="16.28515625" customWidth="1"/>
    <col min="3" max="4" width="21.42578125" customWidth="1"/>
    <col min="5" max="5" width="23.140625" customWidth="1"/>
    <col min="6" max="6" width="9.140625" customWidth="1"/>
  </cols>
  <sheetData>
    <row r="6" spans="1:5" x14ac:dyDescent="0.25">
      <c r="B6" s="24" t="s">
        <v>0</v>
      </c>
      <c r="C6" s="24"/>
      <c r="D6" s="24"/>
    </row>
    <row r="7" spans="1:5" x14ac:dyDescent="0.25">
      <c r="B7" s="24" t="s">
        <v>8</v>
      </c>
      <c r="C7" s="24"/>
      <c r="D7" s="24"/>
    </row>
    <row r="8" spans="1:5" x14ac:dyDescent="0.25">
      <c r="B8" s="24" t="s">
        <v>2</v>
      </c>
      <c r="C8" s="24"/>
      <c r="D8" s="24"/>
    </row>
    <row r="9" spans="1:5" x14ac:dyDescent="0.25">
      <c r="B9" t="s">
        <v>3</v>
      </c>
      <c r="C9" t="s">
        <v>11</v>
      </c>
      <c r="D9" t="s">
        <v>12</v>
      </c>
      <c r="E9" t="s">
        <v>13</v>
      </c>
    </row>
    <row r="10" spans="1:5" x14ac:dyDescent="0.25">
      <c r="A10" s="24" t="s">
        <v>4</v>
      </c>
      <c r="B10">
        <v>2010</v>
      </c>
      <c r="C10">
        <v>3766</v>
      </c>
      <c r="D10">
        <v>4490.3</v>
      </c>
      <c r="E10" s="2">
        <f>C10*100/D10</f>
        <v>83.869674631984495</v>
      </c>
    </row>
    <row r="11" spans="1:5" x14ac:dyDescent="0.25">
      <c r="A11" s="24"/>
      <c r="B11">
        <v>2011</v>
      </c>
      <c r="C11">
        <v>4199.3</v>
      </c>
      <c r="D11">
        <v>4801.2</v>
      </c>
      <c r="E11" s="2">
        <f t="shared" ref="E11:E19" si="0">C11*100/D11</f>
        <v>87.463550778971921</v>
      </c>
    </row>
    <row r="12" spans="1:5" x14ac:dyDescent="0.25">
      <c r="A12" s="24"/>
      <c r="B12">
        <v>2012</v>
      </c>
      <c r="C12">
        <v>4431.3999999999996</v>
      </c>
      <c r="D12">
        <v>5097.3999999999996</v>
      </c>
      <c r="E12" s="2">
        <f t="shared" si="0"/>
        <v>86.934515635421974</v>
      </c>
    </row>
    <row r="13" spans="1:5" x14ac:dyDescent="0.25">
      <c r="A13" s="24"/>
      <c r="B13">
        <v>2013</v>
      </c>
      <c r="C13">
        <v>4715.8</v>
      </c>
      <c r="D13">
        <v>5036.3999999999996</v>
      </c>
      <c r="E13" s="2">
        <f t="shared" si="0"/>
        <v>93.634341990310546</v>
      </c>
    </row>
    <row r="14" spans="1:5" x14ac:dyDescent="0.25">
      <c r="A14" s="24"/>
      <c r="B14">
        <v>2014</v>
      </c>
      <c r="C14">
        <v>4495.7</v>
      </c>
      <c r="D14">
        <v>4942.8</v>
      </c>
      <c r="E14" s="2">
        <f t="shared" si="0"/>
        <v>90.954519705430116</v>
      </c>
    </row>
    <row r="15" spans="1:5" x14ac:dyDescent="0.25">
      <c r="A15" s="24" t="s">
        <v>5</v>
      </c>
      <c r="B15">
        <v>2015</v>
      </c>
      <c r="C15">
        <f>ROUND(AVERAGE(C12:C14),2)</f>
        <v>4547.63</v>
      </c>
      <c r="D15">
        <f>ROUND(AVERAGE(D12:D14),2)</f>
        <v>5025.53</v>
      </c>
      <c r="E15" s="2">
        <f t="shared" si="0"/>
        <v>90.490555225021041</v>
      </c>
    </row>
    <row r="16" spans="1:5" x14ac:dyDescent="0.25">
      <c r="A16" s="24"/>
      <c r="B16">
        <v>2016</v>
      </c>
      <c r="C16">
        <f t="shared" ref="C16:D19" si="1">ROUND(AVERAGE(C13:C15),2)</f>
        <v>4586.38</v>
      </c>
      <c r="D16">
        <f>ROUND(AVERAGE(D13:D15),2)</f>
        <v>5001.58</v>
      </c>
      <c r="E16" s="2">
        <f t="shared" si="0"/>
        <v>91.698623235057724</v>
      </c>
    </row>
    <row r="17" spans="1:5" x14ac:dyDescent="0.25">
      <c r="A17" s="24"/>
      <c r="B17">
        <v>2017</v>
      </c>
      <c r="C17">
        <f t="shared" si="1"/>
        <v>4543.24</v>
      </c>
      <c r="D17">
        <f t="shared" si="1"/>
        <v>4989.97</v>
      </c>
      <c r="E17" s="2">
        <f t="shared" si="0"/>
        <v>91.04744116698096</v>
      </c>
    </row>
    <row r="18" spans="1:5" x14ac:dyDescent="0.25">
      <c r="A18" s="24"/>
      <c r="B18">
        <v>2018</v>
      </c>
      <c r="C18">
        <f t="shared" si="1"/>
        <v>4559.08</v>
      </c>
      <c r="D18">
        <f>ROUND(AVERAGE(D15:D17),2)</f>
        <v>5005.6899999999996</v>
      </c>
      <c r="E18" s="2">
        <f t="shared" si="0"/>
        <v>91.077953289156952</v>
      </c>
    </row>
    <row r="19" spans="1:5" x14ac:dyDescent="0.25">
      <c r="A19" s="24"/>
      <c r="B19">
        <v>2019</v>
      </c>
      <c r="C19">
        <f t="shared" si="1"/>
        <v>4562.8999999999996</v>
      </c>
      <c r="D19">
        <f>ROUND(AVERAGE(D16:D18),2)</f>
        <v>4999.08</v>
      </c>
      <c r="E19" s="2">
        <f t="shared" si="0"/>
        <v>91.274794562199432</v>
      </c>
    </row>
  </sheetData>
  <mergeCells count="5">
    <mergeCell ref="B6:D6"/>
    <mergeCell ref="B7:D7"/>
    <mergeCell ref="B8:D8"/>
    <mergeCell ref="A10:A14"/>
    <mergeCell ref="A15:A1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I33"/>
  <sheetViews>
    <sheetView topLeftCell="A13" workbookViewId="0">
      <selection activeCell="C29" sqref="C29"/>
    </sheetView>
  </sheetViews>
  <sheetFormatPr defaultRowHeight="15" x14ac:dyDescent="0.25"/>
  <cols>
    <col min="1" max="1" width="13" customWidth="1"/>
    <col min="3" max="3" width="19.42578125" customWidth="1"/>
    <col min="4" max="4" width="26.7109375" bestFit="1" customWidth="1"/>
    <col min="5" max="5" width="18.42578125" customWidth="1"/>
  </cols>
  <sheetData>
    <row r="6" spans="1:5" x14ac:dyDescent="0.25">
      <c r="B6" s="24" t="s">
        <v>0</v>
      </c>
      <c r="C6" s="24"/>
      <c r="D6" s="24"/>
    </row>
    <row r="7" spans="1:5" x14ac:dyDescent="0.25">
      <c r="B7" s="24" t="s">
        <v>14</v>
      </c>
      <c r="C7" s="24"/>
      <c r="D7" s="24"/>
    </row>
    <row r="8" spans="1:5" x14ac:dyDescent="0.25">
      <c r="B8" s="24" t="s">
        <v>2</v>
      </c>
      <c r="C8" s="24"/>
      <c r="D8" s="24"/>
    </row>
    <row r="9" spans="1:5" x14ac:dyDescent="0.25">
      <c r="B9" t="s">
        <v>3</v>
      </c>
      <c r="C9" t="s">
        <v>15</v>
      </c>
      <c r="D9" t="s">
        <v>94</v>
      </c>
      <c r="E9" t="s">
        <v>17</v>
      </c>
    </row>
    <row r="10" spans="1:5" x14ac:dyDescent="0.25">
      <c r="A10" s="3"/>
      <c r="B10">
        <v>2010</v>
      </c>
      <c r="C10">
        <v>213.2</v>
      </c>
      <c r="D10">
        <v>710.5</v>
      </c>
      <c r="E10" s="2">
        <f>C10*100/D10</f>
        <v>30.007037297677691</v>
      </c>
    </row>
    <row r="11" spans="1:5" x14ac:dyDescent="0.25">
      <c r="A11" s="3"/>
      <c r="B11">
        <v>2011</v>
      </c>
      <c r="C11">
        <v>150.9</v>
      </c>
      <c r="D11">
        <v>742.7</v>
      </c>
      <c r="E11" s="2">
        <f>C11*100/D11</f>
        <v>20.317759526053585</v>
      </c>
    </row>
    <row r="12" spans="1:5" x14ac:dyDescent="0.25">
      <c r="A12" s="3"/>
      <c r="B12">
        <v>2012</v>
      </c>
      <c r="C12">
        <v>189</v>
      </c>
      <c r="D12">
        <v>649.1</v>
      </c>
      <c r="E12" s="2">
        <f>C12*100/D12</f>
        <v>29.117239254352178</v>
      </c>
    </row>
    <row r="13" spans="1:5" x14ac:dyDescent="0.25">
      <c r="A13" s="3"/>
      <c r="B13">
        <v>2013</v>
      </c>
      <c r="C13">
        <v>162.5</v>
      </c>
      <c r="D13">
        <v>243.1</v>
      </c>
      <c r="E13" s="2">
        <f>C13*100/D13</f>
        <v>66.844919786096256</v>
      </c>
    </row>
    <row r="14" spans="1:5" x14ac:dyDescent="0.25">
      <c r="A14" s="3"/>
      <c r="B14">
        <v>2014</v>
      </c>
      <c r="C14">
        <v>112.4</v>
      </c>
      <c r="D14">
        <v>385.2</v>
      </c>
      <c r="E14" s="2">
        <f>C14*100/D14</f>
        <v>29.179646936656283</v>
      </c>
    </row>
    <row r="15" spans="1:5" x14ac:dyDescent="0.25">
      <c r="A15" s="24"/>
    </row>
    <row r="16" spans="1:5" x14ac:dyDescent="0.25">
      <c r="A16" s="24"/>
      <c r="B16" t="s">
        <v>95</v>
      </c>
    </row>
    <row r="17" spans="1:9" x14ac:dyDescent="0.25">
      <c r="A17" s="24"/>
    </row>
    <row r="18" spans="1:9" x14ac:dyDescent="0.25">
      <c r="A18" s="24"/>
      <c r="B18" t="s">
        <v>18</v>
      </c>
    </row>
    <row r="19" spans="1:9" x14ac:dyDescent="0.25">
      <c r="A19" s="24"/>
      <c r="B19" s="25" t="s">
        <v>19</v>
      </c>
      <c r="C19" s="25"/>
      <c r="D19" s="25"/>
      <c r="E19" s="25"/>
      <c r="F19" s="25"/>
      <c r="G19" s="25"/>
      <c r="H19" s="2">
        <f>(E10+E12+E11+E14)/4</f>
        <v>27.155420753684933</v>
      </c>
      <c r="I19" t="s">
        <v>20</v>
      </c>
    </row>
    <row r="20" spans="1:9" x14ac:dyDescent="0.25">
      <c r="B20" s="24">
        <v>4</v>
      </c>
      <c r="C20" s="24"/>
      <c r="D20" s="24"/>
      <c r="E20" s="24"/>
      <c r="F20" s="24"/>
      <c r="G20" s="24"/>
    </row>
    <row r="21" spans="1:9" x14ac:dyDescent="0.25">
      <c r="A21" s="24" t="s">
        <v>96</v>
      </c>
      <c r="B21" s="24"/>
      <c r="C21" s="24"/>
      <c r="D21" s="24"/>
      <c r="E21" s="24"/>
    </row>
    <row r="23" spans="1:9" x14ac:dyDescent="0.25">
      <c r="B23" t="s">
        <v>3</v>
      </c>
      <c r="C23" t="s">
        <v>16</v>
      </c>
      <c r="D23" t="s">
        <v>17</v>
      </c>
      <c r="E23" t="s">
        <v>15</v>
      </c>
    </row>
    <row r="24" spans="1:9" x14ac:dyDescent="0.25">
      <c r="A24" s="24" t="s">
        <v>4</v>
      </c>
      <c r="B24">
        <v>2010</v>
      </c>
      <c r="C24">
        <v>710.5</v>
      </c>
      <c r="D24" s="2">
        <v>30.01</v>
      </c>
      <c r="E24">
        <v>213.2</v>
      </c>
    </row>
    <row r="25" spans="1:9" x14ac:dyDescent="0.25">
      <c r="A25" s="24"/>
      <c r="B25">
        <v>2011</v>
      </c>
      <c r="C25">
        <v>742.7</v>
      </c>
      <c r="D25" s="2">
        <v>20.32</v>
      </c>
      <c r="E25">
        <v>150.9</v>
      </c>
    </row>
    <row r="26" spans="1:9" x14ac:dyDescent="0.25">
      <c r="A26" s="24"/>
      <c r="B26">
        <v>2012</v>
      </c>
      <c r="C26">
        <v>649.1</v>
      </c>
      <c r="D26" s="2">
        <v>29.12</v>
      </c>
      <c r="E26">
        <v>189</v>
      </c>
    </row>
    <row r="27" spans="1:9" x14ac:dyDescent="0.25">
      <c r="A27" s="24"/>
      <c r="B27">
        <v>2013</v>
      </c>
      <c r="C27">
        <v>243.1</v>
      </c>
      <c r="D27" s="2">
        <v>66.84</v>
      </c>
      <c r="E27">
        <v>162.5</v>
      </c>
    </row>
    <row r="28" spans="1:9" x14ac:dyDescent="0.25">
      <c r="A28" s="24"/>
      <c r="B28">
        <v>2014</v>
      </c>
      <c r="C28">
        <v>385.2</v>
      </c>
      <c r="D28" s="2">
        <v>29.18</v>
      </c>
      <c r="E28">
        <v>112.4</v>
      </c>
    </row>
    <row r="29" spans="1:9" x14ac:dyDescent="0.25">
      <c r="A29" s="24" t="s">
        <v>5</v>
      </c>
      <c r="B29">
        <v>2015</v>
      </c>
      <c r="C29">
        <f>ROUND(AVERAGE(C26:C28),2)</f>
        <v>425.8</v>
      </c>
      <c r="D29">
        <v>27.16</v>
      </c>
      <c r="E29" s="2">
        <f>C29*D29/100</f>
        <v>115.64728000000001</v>
      </c>
    </row>
    <row r="30" spans="1:9" x14ac:dyDescent="0.25">
      <c r="A30" s="24"/>
      <c r="B30">
        <v>2016</v>
      </c>
      <c r="C30">
        <f t="shared" ref="C30:C33" si="0">ROUND(AVERAGE(C27:C29),2)</f>
        <v>351.37</v>
      </c>
      <c r="D30">
        <v>27.16</v>
      </c>
      <c r="E30" s="2">
        <f t="shared" ref="E30:E33" si="1">C30*D30/100</f>
        <v>95.432091999999997</v>
      </c>
    </row>
    <row r="31" spans="1:9" x14ac:dyDescent="0.25">
      <c r="A31" s="24"/>
      <c r="B31">
        <v>2017</v>
      </c>
      <c r="C31">
        <f t="shared" si="0"/>
        <v>387.46</v>
      </c>
      <c r="D31">
        <v>27.16</v>
      </c>
      <c r="E31" s="2">
        <f t="shared" si="1"/>
        <v>105.23413599999999</v>
      </c>
    </row>
    <row r="32" spans="1:9" x14ac:dyDescent="0.25">
      <c r="A32" s="24"/>
      <c r="B32">
        <v>2018</v>
      </c>
      <c r="C32">
        <f t="shared" si="0"/>
        <v>388.21</v>
      </c>
      <c r="D32">
        <v>27.16</v>
      </c>
      <c r="E32" s="2">
        <f t="shared" si="1"/>
        <v>105.43783599999999</v>
      </c>
    </row>
    <row r="33" spans="1:5" x14ac:dyDescent="0.25">
      <c r="A33" s="24"/>
      <c r="B33">
        <v>2019</v>
      </c>
      <c r="C33">
        <f t="shared" si="0"/>
        <v>375.68</v>
      </c>
      <c r="D33">
        <v>27.16</v>
      </c>
      <c r="E33" s="2">
        <f t="shared" si="1"/>
        <v>102.034688</v>
      </c>
    </row>
  </sheetData>
  <mergeCells count="9">
    <mergeCell ref="B20:G20"/>
    <mergeCell ref="A24:A28"/>
    <mergeCell ref="A29:A33"/>
    <mergeCell ref="B6:D6"/>
    <mergeCell ref="B7:D7"/>
    <mergeCell ref="B8:D8"/>
    <mergeCell ref="A15:A19"/>
    <mergeCell ref="B19:G19"/>
    <mergeCell ref="A21:E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H19"/>
  <sheetViews>
    <sheetView topLeftCell="A5" workbookViewId="0">
      <selection activeCell="F19" sqref="F19"/>
    </sheetView>
  </sheetViews>
  <sheetFormatPr defaultRowHeight="15" x14ac:dyDescent="0.25"/>
  <cols>
    <col min="1" max="1" width="11.28515625" customWidth="1"/>
    <col min="3" max="3" width="11.42578125" customWidth="1"/>
    <col min="4" max="4" width="22.85546875" bestFit="1" customWidth="1"/>
    <col min="5" max="5" width="24" bestFit="1" customWidth="1"/>
    <col min="6" max="6" width="22" customWidth="1"/>
    <col min="7" max="7" width="16.42578125" bestFit="1" customWidth="1"/>
    <col min="8" max="8" width="10.140625" bestFit="1" customWidth="1"/>
  </cols>
  <sheetData>
    <row r="6" spans="1:8" x14ac:dyDescent="0.25">
      <c r="A6" s="26" t="s">
        <v>0</v>
      </c>
      <c r="B6" s="26"/>
      <c r="C6" s="26"/>
      <c r="D6" s="26"/>
      <c r="E6" s="26"/>
      <c r="F6" s="26"/>
    </row>
    <row r="7" spans="1:8" x14ac:dyDescent="0.25">
      <c r="A7" s="26" t="s">
        <v>21</v>
      </c>
      <c r="B7" s="26"/>
      <c r="C7" s="26"/>
      <c r="D7" s="26"/>
      <c r="E7" s="26"/>
      <c r="F7" s="26"/>
    </row>
    <row r="8" spans="1:8" x14ac:dyDescent="0.25">
      <c r="A8" s="26" t="s">
        <v>2</v>
      </c>
      <c r="B8" s="26"/>
      <c r="C8" s="26"/>
      <c r="D8" s="26"/>
      <c r="E8" s="26"/>
      <c r="F8" s="26"/>
    </row>
    <row r="9" spans="1:8" x14ac:dyDescent="0.25">
      <c r="B9" t="s">
        <v>3</v>
      </c>
      <c r="C9" t="s">
        <v>23</v>
      </c>
      <c r="D9" t="s">
        <v>22</v>
      </c>
      <c r="E9" t="s">
        <v>104</v>
      </c>
      <c r="F9" t="s">
        <v>103</v>
      </c>
    </row>
    <row r="10" spans="1:8" x14ac:dyDescent="0.25">
      <c r="A10" s="24" t="s">
        <v>4</v>
      </c>
      <c r="B10">
        <v>2010</v>
      </c>
      <c r="C10">
        <v>1595.3</v>
      </c>
      <c r="D10" s="18">
        <v>590.5</v>
      </c>
      <c r="E10">
        <f>C10+D10</f>
        <v>2185.8000000000002</v>
      </c>
      <c r="F10" s="4"/>
    </row>
    <row r="11" spans="1:8" x14ac:dyDescent="0.25">
      <c r="A11" s="24"/>
      <c r="B11">
        <v>2011</v>
      </c>
      <c r="C11">
        <v>1772.1</v>
      </c>
      <c r="D11" s="2">
        <v>607.6</v>
      </c>
      <c r="E11">
        <f t="shared" ref="E11:E14" si="0">C11+D11</f>
        <v>2379.6999999999998</v>
      </c>
      <c r="F11">
        <f>E11-E10</f>
        <v>193.89999999999964</v>
      </c>
      <c r="G11" s="11"/>
    </row>
    <row r="12" spans="1:8" x14ac:dyDescent="0.25">
      <c r="A12" s="24"/>
      <c r="B12">
        <v>2012</v>
      </c>
      <c r="C12">
        <v>1993.8</v>
      </c>
      <c r="D12" s="2">
        <v>628.70000000000005</v>
      </c>
      <c r="E12">
        <f t="shared" si="0"/>
        <v>2622.5</v>
      </c>
      <c r="F12">
        <f t="shared" ref="F12:F19" si="1">E12-E11</f>
        <v>242.80000000000018</v>
      </c>
      <c r="G12" s="11"/>
      <c r="H12" s="8"/>
    </row>
    <row r="13" spans="1:8" x14ac:dyDescent="0.25">
      <c r="A13" s="24"/>
      <c r="B13">
        <v>2013</v>
      </c>
      <c r="C13">
        <v>2062.1999999999998</v>
      </c>
      <c r="D13" s="2">
        <v>333</v>
      </c>
      <c r="E13">
        <f t="shared" si="0"/>
        <v>2395.1999999999998</v>
      </c>
      <c r="F13">
        <f t="shared" si="1"/>
        <v>-227.30000000000018</v>
      </c>
      <c r="G13" s="11"/>
    </row>
    <row r="14" spans="1:8" x14ac:dyDescent="0.25">
      <c r="A14" s="24"/>
      <c r="B14">
        <v>2014</v>
      </c>
      <c r="C14">
        <v>2031.2</v>
      </c>
      <c r="D14" s="2">
        <v>334.5</v>
      </c>
      <c r="E14">
        <f t="shared" si="0"/>
        <v>2365.6999999999998</v>
      </c>
      <c r="F14">
        <f t="shared" si="1"/>
        <v>-29.5</v>
      </c>
      <c r="G14" s="11"/>
    </row>
    <row r="15" spans="1:8" x14ac:dyDescent="0.25">
      <c r="A15" s="24" t="s">
        <v>5</v>
      </c>
      <c r="B15">
        <v>2015</v>
      </c>
      <c r="C15" s="22">
        <f>ROUND(AVERAGE(C12:C14),2)</f>
        <v>2029.07</v>
      </c>
      <c r="D15" s="23">
        <f>ROUND(AVERAGE(D12:D14),2)</f>
        <v>432.07</v>
      </c>
      <c r="E15" s="23">
        <f>ROUND(AVERAGE(E12:E14),2)</f>
        <v>2461.13</v>
      </c>
      <c r="F15">
        <f t="shared" si="1"/>
        <v>95.430000000000291</v>
      </c>
      <c r="G15" s="21"/>
    </row>
    <row r="16" spans="1:8" x14ac:dyDescent="0.25">
      <c r="A16" s="24"/>
      <c r="B16">
        <v>2016</v>
      </c>
      <c r="C16" s="22">
        <f t="shared" ref="C16:C18" si="2">ROUND(AVERAGE(C13:C15),2)</f>
        <v>2040.82</v>
      </c>
      <c r="D16" s="23">
        <f t="shared" ref="D16:E19" si="3">ROUND(AVERAGE(D13:D15),2)</f>
        <v>366.52</v>
      </c>
      <c r="E16" s="23">
        <f t="shared" si="3"/>
        <v>2407.34</v>
      </c>
      <c r="F16">
        <f t="shared" si="1"/>
        <v>-53.789999999999964</v>
      </c>
      <c r="G16" s="21"/>
    </row>
    <row r="17" spans="1:7" x14ac:dyDescent="0.25">
      <c r="A17" s="24"/>
      <c r="B17">
        <v>2017</v>
      </c>
      <c r="C17" s="22">
        <f t="shared" si="2"/>
        <v>2033.7</v>
      </c>
      <c r="D17" s="23">
        <f t="shared" si="3"/>
        <v>377.7</v>
      </c>
      <c r="E17" s="23">
        <f t="shared" si="3"/>
        <v>2411.39</v>
      </c>
      <c r="F17">
        <f t="shared" si="1"/>
        <v>4.0499999999997272</v>
      </c>
      <c r="G17" s="21"/>
    </row>
    <row r="18" spans="1:7" x14ac:dyDescent="0.25">
      <c r="A18" s="24"/>
      <c r="B18">
        <v>2018</v>
      </c>
      <c r="C18" s="22">
        <f t="shared" si="2"/>
        <v>2034.53</v>
      </c>
      <c r="D18" s="23">
        <f t="shared" si="3"/>
        <v>392.1</v>
      </c>
      <c r="E18" s="23">
        <f t="shared" si="3"/>
        <v>2426.62</v>
      </c>
      <c r="F18">
        <f t="shared" si="1"/>
        <v>15.230000000000018</v>
      </c>
      <c r="G18" s="21"/>
    </row>
    <row r="19" spans="1:7" x14ac:dyDescent="0.25">
      <c r="A19" s="24"/>
      <c r="B19">
        <v>2019</v>
      </c>
      <c r="C19" s="22">
        <f>ROUND(AVERAGE(C16:C18),2)</f>
        <v>2036.35</v>
      </c>
      <c r="D19" s="23">
        <f t="shared" si="3"/>
        <v>378.77</v>
      </c>
      <c r="E19" s="23">
        <f t="shared" si="3"/>
        <v>2415.12</v>
      </c>
      <c r="F19">
        <f t="shared" si="1"/>
        <v>-11.5</v>
      </c>
      <c r="G19" s="21"/>
    </row>
  </sheetData>
  <mergeCells count="5">
    <mergeCell ref="A10:A14"/>
    <mergeCell ref="A15:A19"/>
    <mergeCell ref="A6:F6"/>
    <mergeCell ref="A7:F7"/>
    <mergeCell ref="A8:F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F19"/>
  <sheetViews>
    <sheetView topLeftCell="A5" workbookViewId="0">
      <selection activeCell="F17" sqref="F17"/>
    </sheetView>
  </sheetViews>
  <sheetFormatPr defaultRowHeight="15" x14ac:dyDescent="0.25"/>
  <cols>
    <col min="3" max="3" width="25.140625" customWidth="1"/>
    <col min="4" max="4" width="32" customWidth="1"/>
    <col min="5" max="5" width="23.42578125" customWidth="1"/>
    <col min="6" max="6" width="30.85546875" customWidth="1"/>
  </cols>
  <sheetData>
    <row r="6" spans="1:6" x14ac:dyDescent="0.25">
      <c r="B6" s="24" t="s">
        <v>0</v>
      </c>
      <c r="C6" s="24"/>
      <c r="D6" s="24"/>
    </row>
    <row r="7" spans="1:6" x14ac:dyDescent="0.25">
      <c r="B7" s="24" t="s">
        <v>24</v>
      </c>
      <c r="C7" s="24"/>
      <c r="D7" s="24"/>
    </row>
    <row r="8" spans="1:6" x14ac:dyDescent="0.25">
      <c r="B8" s="24" t="s">
        <v>2</v>
      </c>
      <c r="C8" s="24"/>
      <c r="D8" s="24"/>
    </row>
    <row r="9" spans="1:6" x14ac:dyDescent="0.25">
      <c r="B9" t="s">
        <v>3</v>
      </c>
      <c r="C9" t="s">
        <v>25</v>
      </c>
      <c r="D9" t="s">
        <v>26</v>
      </c>
      <c r="E9" t="s">
        <v>27</v>
      </c>
      <c r="F9" t="s">
        <v>28</v>
      </c>
    </row>
    <row r="10" spans="1:6" x14ac:dyDescent="0.25">
      <c r="A10" s="24" t="s">
        <v>4</v>
      </c>
      <c r="B10">
        <v>2010</v>
      </c>
      <c r="C10">
        <v>1986.9</v>
      </c>
      <c r="D10">
        <v>1202.0999999999999</v>
      </c>
      <c r="E10" s="2">
        <f>C10-D10</f>
        <v>784.80000000000018</v>
      </c>
      <c r="F10" s="4"/>
    </row>
    <row r="11" spans="1:6" x14ac:dyDescent="0.25">
      <c r="A11" s="24"/>
      <c r="B11">
        <v>2011</v>
      </c>
      <c r="C11">
        <v>2644.3</v>
      </c>
      <c r="D11">
        <v>1388.4</v>
      </c>
      <c r="E11" s="2">
        <f t="shared" ref="E11:E14" si="0">C11-D11</f>
        <v>1255.9000000000001</v>
      </c>
      <c r="F11" s="2">
        <f>E11-E10</f>
        <v>471.09999999999991</v>
      </c>
    </row>
    <row r="12" spans="1:6" x14ac:dyDescent="0.25">
      <c r="A12" s="24"/>
      <c r="B12">
        <v>2012</v>
      </c>
      <c r="C12">
        <v>2931.1</v>
      </c>
      <c r="D12">
        <v>1749.2</v>
      </c>
      <c r="E12" s="2">
        <f t="shared" si="0"/>
        <v>1181.8999999999999</v>
      </c>
      <c r="F12" s="2">
        <f t="shared" ref="F12:F14" si="1">E12-E11</f>
        <v>-74.000000000000227</v>
      </c>
    </row>
    <row r="13" spans="1:6" x14ac:dyDescent="0.25">
      <c r="A13" s="24"/>
      <c r="B13">
        <v>2013</v>
      </c>
      <c r="C13">
        <v>3158.3</v>
      </c>
      <c r="D13">
        <v>2112.8000000000002</v>
      </c>
      <c r="E13" s="2">
        <f t="shared" si="0"/>
        <v>1045.5</v>
      </c>
      <c r="F13" s="2">
        <f t="shared" si="1"/>
        <v>-136.39999999999986</v>
      </c>
    </row>
    <row r="14" spans="1:6" x14ac:dyDescent="0.25">
      <c r="A14" s="24"/>
      <c r="B14">
        <v>2014</v>
      </c>
      <c r="C14">
        <v>2593.5</v>
      </c>
      <c r="D14">
        <v>1694.2</v>
      </c>
      <c r="E14" s="2">
        <f t="shared" si="0"/>
        <v>899.3</v>
      </c>
      <c r="F14" s="2">
        <f t="shared" si="1"/>
        <v>-146.20000000000005</v>
      </c>
    </row>
    <row r="15" spans="1:6" x14ac:dyDescent="0.25">
      <c r="A15" s="24" t="s">
        <v>5</v>
      </c>
      <c r="B15">
        <v>2015</v>
      </c>
      <c r="C15" s="4"/>
      <c r="D15" s="4"/>
      <c r="E15" s="4"/>
      <c r="F15" s="2">
        <f>ROUND(AVERAGE(F12:F14),2)</f>
        <v>-118.87</v>
      </c>
    </row>
    <row r="16" spans="1:6" x14ac:dyDescent="0.25">
      <c r="A16" s="24"/>
      <c r="B16">
        <v>2016</v>
      </c>
      <c r="C16" s="4"/>
      <c r="D16" s="4"/>
      <c r="E16" s="4"/>
      <c r="F16" s="2">
        <f t="shared" ref="F16:F19" si="2">ROUND(AVERAGE(F13:F15),2)</f>
        <v>-133.82</v>
      </c>
    </row>
    <row r="17" spans="1:6" x14ac:dyDescent="0.25">
      <c r="A17" s="24"/>
      <c r="B17">
        <v>2017</v>
      </c>
      <c r="C17" s="4"/>
      <c r="D17" s="4"/>
      <c r="E17" s="4"/>
      <c r="F17" s="2">
        <f t="shared" si="2"/>
        <v>-132.96</v>
      </c>
    </row>
    <row r="18" spans="1:6" x14ac:dyDescent="0.25">
      <c r="A18" s="24"/>
      <c r="B18">
        <v>2018</v>
      </c>
      <c r="C18" s="4"/>
      <c r="D18" s="4"/>
      <c r="E18" s="4"/>
      <c r="F18" s="2">
        <f t="shared" si="2"/>
        <v>-128.55000000000001</v>
      </c>
    </row>
    <row r="19" spans="1:6" x14ac:dyDescent="0.25">
      <c r="A19" s="24"/>
      <c r="B19">
        <v>2019</v>
      </c>
      <c r="C19" s="4"/>
      <c r="D19" s="4"/>
      <c r="E19" s="4"/>
      <c r="F19" s="2">
        <f t="shared" si="2"/>
        <v>-131.78</v>
      </c>
    </row>
  </sheetData>
  <mergeCells count="5">
    <mergeCell ref="A15:A19"/>
    <mergeCell ref="B6:D6"/>
    <mergeCell ref="B7:D7"/>
    <mergeCell ref="B8:D8"/>
    <mergeCell ref="A10:A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6"/>
  <sheetViews>
    <sheetView workbookViewId="0">
      <selection activeCell="A10" sqref="A10"/>
    </sheetView>
  </sheetViews>
  <sheetFormatPr defaultRowHeight="15" x14ac:dyDescent="0.25"/>
  <cols>
    <col min="1" max="1" width="31" customWidth="1"/>
    <col min="2" max="2" width="29.140625" customWidth="1"/>
  </cols>
  <sheetData>
    <row r="2" spans="1:3" x14ac:dyDescent="0.25">
      <c r="A2" s="24" t="s">
        <v>65</v>
      </c>
      <c r="B2" s="24"/>
    </row>
    <row r="4" spans="1:3" x14ac:dyDescent="0.25">
      <c r="A4" t="s">
        <v>63</v>
      </c>
      <c r="B4" t="s">
        <v>64</v>
      </c>
    </row>
    <row r="5" spans="1:3" ht="15.75" thickBot="1" x14ac:dyDescent="0.3">
      <c r="A5" t="s">
        <v>62</v>
      </c>
      <c r="B5" s="14">
        <v>3.38</v>
      </c>
    </row>
    <row r="6" spans="1:3" ht="15.75" thickBot="1" x14ac:dyDescent="0.3">
      <c r="A6" t="s">
        <v>55</v>
      </c>
      <c r="B6" s="14">
        <v>3.05</v>
      </c>
    </row>
    <row r="7" spans="1:3" ht="15.75" thickBot="1" x14ac:dyDescent="0.3">
      <c r="A7" t="s">
        <v>56</v>
      </c>
      <c r="B7" s="14">
        <v>3.99</v>
      </c>
    </row>
    <row r="8" spans="1:3" ht="15.75" thickBot="1" x14ac:dyDescent="0.3">
      <c r="A8" t="s">
        <v>57</v>
      </c>
      <c r="B8" s="14">
        <v>4.1500000000000004</v>
      </c>
    </row>
    <row r="9" spans="1:3" ht="15.75" thickBot="1" x14ac:dyDescent="0.3">
      <c r="A9" t="s">
        <v>58</v>
      </c>
      <c r="B9" s="14">
        <v>2.77</v>
      </c>
    </row>
    <row r="10" spans="1:3" ht="15.75" thickBot="1" x14ac:dyDescent="0.3">
      <c r="A10" t="s">
        <v>59</v>
      </c>
      <c r="B10" s="14">
        <v>3.39</v>
      </c>
    </row>
    <row r="11" spans="1:3" ht="15.75" thickBot="1" x14ac:dyDescent="0.3">
      <c r="A11" t="s">
        <v>56</v>
      </c>
      <c r="B11" s="14">
        <v>3.38</v>
      </c>
    </row>
    <row r="12" spans="1:3" ht="15.75" thickBot="1" x14ac:dyDescent="0.3">
      <c r="A12" t="s">
        <v>60</v>
      </c>
      <c r="B12" s="14">
        <v>3.38</v>
      </c>
    </row>
    <row r="13" spans="1:3" ht="15.75" thickBot="1" x14ac:dyDescent="0.3">
      <c r="A13" t="s">
        <v>61</v>
      </c>
      <c r="B13" s="14">
        <v>2.67</v>
      </c>
    </row>
    <row r="15" spans="1:3" x14ac:dyDescent="0.25">
      <c r="A15" t="s">
        <v>66</v>
      </c>
      <c r="B15" s="2">
        <f>AVERAGE(B5:B13)</f>
        <v>3.3511111111111109</v>
      </c>
      <c r="C15" t="s">
        <v>20</v>
      </c>
    </row>
    <row r="16" spans="1:3" x14ac:dyDescent="0.25">
      <c r="B16" t="s">
        <v>93</v>
      </c>
    </row>
  </sheetData>
  <mergeCells count="1">
    <mergeCell ref="A2:B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opLeftCell="A11" workbookViewId="0">
      <selection activeCell="B20" sqref="B20"/>
    </sheetView>
  </sheetViews>
  <sheetFormatPr defaultRowHeight="15" x14ac:dyDescent="0.25"/>
  <cols>
    <col min="1" max="1" width="46.7109375" bestFit="1" customWidth="1"/>
    <col min="2" max="2" width="31.140625" bestFit="1" customWidth="1"/>
    <col min="3" max="3" width="12" bestFit="1" customWidth="1"/>
    <col min="5" max="5" width="19.28515625" customWidth="1"/>
    <col min="7" max="7" width="31.140625" bestFit="1" customWidth="1"/>
    <col min="8" max="8" width="15.140625" customWidth="1"/>
  </cols>
  <sheetData>
    <row r="1" spans="1:11" x14ac:dyDescent="0.25">
      <c r="A1" s="24" t="s">
        <v>33</v>
      </c>
      <c r="B1" s="24"/>
      <c r="C1" s="3"/>
      <c r="D1" s="3"/>
      <c r="E1" s="3"/>
      <c r="F1" s="3"/>
      <c r="G1" s="3"/>
      <c r="H1" s="3"/>
      <c r="I1" s="3"/>
      <c r="J1" s="3"/>
      <c r="K1" s="3"/>
    </row>
    <row r="2" spans="1:11" x14ac:dyDescent="0.25">
      <c r="A2" s="24" t="s">
        <v>73</v>
      </c>
      <c r="B2" s="24"/>
      <c r="C2" s="3"/>
      <c r="D2" s="3"/>
      <c r="E2" s="3"/>
      <c r="F2" s="3"/>
      <c r="G2" s="3"/>
      <c r="H2" s="3"/>
      <c r="I2" s="3"/>
      <c r="J2" s="3"/>
      <c r="K2" s="3"/>
    </row>
    <row r="4" spans="1:11" x14ac:dyDescent="0.25">
      <c r="A4" t="s">
        <v>68</v>
      </c>
      <c r="B4" t="s">
        <v>75</v>
      </c>
      <c r="C4" t="s">
        <v>77</v>
      </c>
    </row>
    <row r="5" spans="1:11" x14ac:dyDescent="0.25">
      <c r="A5" t="s">
        <v>76</v>
      </c>
      <c r="B5">
        <f>AVERAGE(B6:B7)</f>
        <v>50.25</v>
      </c>
      <c r="C5" s="11">
        <f>B5/B6-1</f>
        <v>0.1964285714285714</v>
      </c>
      <c r="D5" s="8"/>
    </row>
    <row r="6" spans="1:11" x14ac:dyDescent="0.25">
      <c r="A6" t="s">
        <v>74</v>
      </c>
      <c r="B6">
        <v>42</v>
      </c>
      <c r="C6" s="11">
        <f t="shared" ref="C6:C9" si="0">B6/B7-1</f>
        <v>-0.28205128205128205</v>
      </c>
      <c r="F6" s="15"/>
    </row>
    <row r="7" spans="1:11" x14ac:dyDescent="0.25">
      <c r="A7" t="s">
        <v>69</v>
      </c>
      <c r="B7">
        <v>58.5</v>
      </c>
      <c r="C7" s="11">
        <f t="shared" si="0"/>
        <v>-0.49350649350649356</v>
      </c>
      <c r="F7" s="15"/>
    </row>
    <row r="8" spans="1:11" x14ac:dyDescent="0.25">
      <c r="A8" t="s">
        <v>70</v>
      </c>
      <c r="B8">
        <v>115.5</v>
      </c>
      <c r="C8" s="11">
        <f t="shared" si="0"/>
        <v>0.10000000000000009</v>
      </c>
      <c r="F8" s="15"/>
    </row>
    <row r="9" spans="1:11" x14ac:dyDescent="0.25">
      <c r="A9" t="s">
        <v>71</v>
      </c>
      <c r="B9">
        <v>105</v>
      </c>
      <c r="C9" s="11">
        <f t="shared" si="0"/>
        <v>8.247422680412364E-2</v>
      </c>
      <c r="F9" s="15"/>
    </row>
    <row r="10" spans="1:11" x14ac:dyDescent="0.25">
      <c r="A10" t="s">
        <v>72</v>
      </c>
      <c r="B10">
        <v>97</v>
      </c>
      <c r="C10" s="16" t="e">
        <f>B10/B12-1</f>
        <v>#DIV/0!</v>
      </c>
      <c r="F10" s="15"/>
    </row>
    <row r="11" spans="1:11" x14ac:dyDescent="0.25">
      <c r="C11" s="17"/>
      <c r="F11" s="15"/>
    </row>
    <row r="12" spans="1:11" x14ac:dyDescent="0.25">
      <c r="A12" s="24" t="s">
        <v>78</v>
      </c>
      <c r="B12" s="24"/>
      <c r="C12" s="24"/>
      <c r="D12" s="24"/>
      <c r="E12" s="24"/>
      <c r="F12" s="15"/>
    </row>
    <row r="13" spans="1:11" x14ac:dyDescent="0.25">
      <c r="A13" s="1"/>
      <c r="B13" s="1"/>
      <c r="C13" s="1"/>
      <c r="D13" s="1"/>
      <c r="F13" s="15"/>
    </row>
    <row r="14" spans="1:11" x14ac:dyDescent="0.25">
      <c r="A14" s="24" t="s">
        <v>97</v>
      </c>
      <c r="B14" s="24"/>
      <c r="C14" s="24"/>
      <c r="D14" s="24"/>
      <c r="F14" s="15"/>
    </row>
    <row r="15" spans="1:11" x14ac:dyDescent="0.25">
      <c r="F15" s="15"/>
    </row>
    <row r="16" spans="1:11" x14ac:dyDescent="0.25">
      <c r="A16" s="24" t="s">
        <v>79</v>
      </c>
      <c r="B16" s="24"/>
      <c r="F16" s="15"/>
    </row>
    <row r="17" spans="1:6" x14ac:dyDescent="0.25">
      <c r="F17" s="15"/>
    </row>
    <row r="18" spans="1:6" x14ac:dyDescent="0.25">
      <c r="A18" t="s">
        <v>98</v>
      </c>
      <c r="B18" s="15" t="s">
        <v>82</v>
      </c>
      <c r="C18">
        <v>1079</v>
      </c>
      <c r="D18" t="s">
        <v>81</v>
      </c>
      <c r="F18" s="15"/>
    </row>
    <row r="19" spans="1:6" x14ac:dyDescent="0.25">
      <c r="F19" s="15"/>
    </row>
    <row r="20" spans="1:6" x14ac:dyDescent="0.25">
      <c r="A20" t="s">
        <v>80</v>
      </c>
      <c r="B20" s="11">
        <f>B5/C18+C5</f>
        <v>0.24299947040910894</v>
      </c>
      <c r="F20" s="15"/>
    </row>
    <row r="22" spans="1:6" x14ac:dyDescent="0.25">
      <c r="A22" t="s">
        <v>83</v>
      </c>
    </row>
  </sheetData>
  <mergeCells count="5">
    <mergeCell ref="A1:B1"/>
    <mergeCell ref="A2:B2"/>
    <mergeCell ref="A14:D14"/>
    <mergeCell ref="A12:E12"/>
    <mergeCell ref="A16:B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2"/>
  <sheetViews>
    <sheetView workbookViewId="0">
      <selection activeCell="C22" sqref="C22"/>
    </sheetView>
  </sheetViews>
  <sheetFormatPr defaultRowHeight="15" x14ac:dyDescent="0.25"/>
  <cols>
    <col min="1" max="1" width="18.140625" customWidth="1"/>
    <col min="2" max="2" width="14.7109375" customWidth="1"/>
    <col min="3" max="3" width="23.7109375" customWidth="1"/>
  </cols>
  <sheetData>
    <row r="2" spans="1:6" x14ac:dyDescent="0.25">
      <c r="B2" s="26" t="s">
        <v>44</v>
      </c>
      <c r="C2" s="26"/>
      <c r="D2" s="26"/>
    </row>
    <row r="4" spans="1:6" x14ac:dyDescent="0.25">
      <c r="B4" t="s">
        <v>3</v>
      </c>
      <c r="C4" t="s">
        <v>43</v>
      </c>
    </row>
    <row r="5" spans="1:6" x14ac:dyDescent="0.25">
      <c r="A5" s="24" t="s">
        <v>4</v>
      </c>
      <c r="B5" t="s">
        <v>45</v>
      </c>
      <c r="C5" s="2">
        <v>2</v>
      </c>
    </row>
    <row r="6" spans="1:6" x14ac:dyDescent="0.25">
      <c r="A6" s="24"/>
      <c r="B6" t="s">
        <v>46</v>
      </c>
      <c r="C6" s="2">
        <v>2.2999999999999998</v>
      </c>
    </row>
    <row r="7" spans="1:6" x14ac:dyDescent="0.25">
      <c r="A7" s="24"/>
      <c r="B7" t="s">
        <v>47</v>
      </c>
      <c r="C7" s="2">
        <v>3.7</v>
      </c>
    </row>
    <row r="8" spans="1:6" x14ac:dyDescent="0.25">
      <c r="A8" s="24"/>
      <c r="B8" t="s">
        <v>48</v>
      </c>
      <c r="C8" s="2">
        <v>2.5</v>
      </c>
    </row>
    <row r="9" spans="1:6" x14ac:dyDescent="0.25">
      <c r="A9" s="3" t="s">
        <v>5</v>
      </c>
      <c r="B9" t="s">
        <v>34</v>
      </c>
      <c r="C9" s="2">
        <f>AVERAGE(C5:C8)</f>
        <v>2.625</v>
      </c>
    </row>
    <row r="10" spans="1:6" x14ac:dyDescent="0.25">
      <c r="A10" s="3" t="s">
        <v>99</v>
      </c>
      <c r="C10" s="2"/>
    </row>
    <row r="12" spans="1:6" x14ac:dyDescent="0.25">
      <c r="A12" s="24" t="s">
        <v>86</v>
      </c>
      <c r="B12" s="24"/>
      <c r="C12" s="24"/>
      <c r="D12" s="24"/>
      <c r="E12" s="24"/>
      <c r="F12" s="24"/>
    </row>
  </sheetData>
  <mergeCells count="3">
    <mergeCell ref="B2:D2"/>
    <mergeCell ref="A5:A8"/>
    <mergeCell ref="A12:F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DCF Summary</vt:lpstr>
      <vt:lpstr>Revenue</vt:lpstr>
      <vt:lpstr>Operating Cost</vt:lpstr>
      <vt:lpstr>Tax Rate</vt:lpstr>
      <vt:lpstr>Net Inv</vt:lpstr>
      <vt:lpstr>WC</vt:lpstr>
      <vt:lpstr>Cost of Debt</vt:lpstr>
      <vt:lpstr>Cost of Equity</vt:lpstr>
      <vt:lpstr>Long- term CF Growth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Lim</dc:creator>
  <cp:lastModifiedBy>Jason Lim</cp:lastModifiedBy>
  <dcterms:created xsi:type="dcterms:W3CDTF">2015-03-23T11:08:16Z</dcterms:created>
  <dcterms:modified xsi:type="dcterms:W3CDTF">2017-06-05T00:10:54Z</dcterms:modified>
</cp:coreProperties>
</file>