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50"/>
  </bookViews>
  <sheets>
    <sheet name="总表" sheetId="4" r:id="rId1"/>
    <sheet name="20170619处理" sheetId="1" r:id="rId2"/>
    <sheet name="草稿" sheetId="3" r:id="rId3"/>
    <sheet name="阶段公共消费表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4" l="1"/>
  <c r="W1" i="4"/>
  <c r="S2" i="4"/>
  <c r="O2" i="4"/>
  <c r="K3" i="4"/>
  <c r="G4" i="4"/>
  <c r="G2" i="4"/>
  <c r="G1" i="4"/>
  <c r="N44" i="3" l="1"/>
  <c r="L44" i="3"/>
  <c r="J44" i="3"/>
  <c r="H44" i="3"/>
  <c r="F44" i="3"/>
  <c r="D44" i="3"/>
  <c r="B44" i="3"/>
  <c r="R32" i="3"/>
  <c r="R31" i="3"/>
  <c r="R29" i="3"/>
  <c r="R27" i="3"/>
  <c r="R26" i="3"/>
  <c r="R25" i="3"/>
  <c r="R24" i="3"/>
  <c r="R22" i="3"/>
  <c r="R21" i="3"/>
  <c r="R20" i="3"/>
  <c r="R19" i="3"/>
  <c r="R17" i="3"/>
  <c r="R13" i="3"/>
  <c r="R12" i="3"/>
  <c r="R11" i="3"/>
  <c r="R6" i="3"/>
  <c r="R5" i="3"/>
  <c r="R3" i="3"/>
  <c r="B43" i="3"/>
  <c r="B42" i="3"/>
  <c r="N40" i="3"/>
  <c r="O40" i="3"/>
  <c r="P40" i="3"/>
  <c r="Q40" i="3"/>
  <c r="K3" i="1" l="1"/>
  <c r="J3" i="1"/>
  <c r="H2" i="1" l="1"/>
  <c r="D2" i="1"/>
  <c r="W4" i="4" l="1"/>
  <c r="S4" i="4"/>
  <c r="O4" i="4"/>
  <c r="K6" i="4"/>
  <c r="G6" i="4" l="1"/>
  <c r="G7" i="4" s="1"/>
  <c r="R40" i="3" l="1"/>
  <c r="C40" i="3"/>
  <c r="D40" i="3"/>
  <c r="E40" i="3"/>
  <c r="F40" i="3"/>
  <c r="G40" i="3"/>
  <c r="H40" i="3"/>
  <c r="I40" i="3"/>
  <c r="J40" i="3"/>
  <c r="K40" i="3"/>
  <c r="L40" i="3"/>
  <c r="M40" i="3"/>
  <c r="B40" i="3"/>
  <c r="C6" i="1" l="1"/>
</calcChain>
</file>

<file path=xl/sharedStrings.xml><?xml version="1.0" encoding="utf-8"?>
<sst xmlns="http://schemas.openxmlformats.org/spreadsheetml/2006/main" count="87" uniqueCount="73">
  <si>
    <t>id</t>
    <phoneticPr fontId="1" type="noConversion"/>
  </si>
  <si>
    <t>报销名称</t>
    <phoneticPr fontId="1" type="noConversion"/>
  </si>
  <si>
    <t>郑景祥票据金额</t>
    <phoneticPr fontId="1" type="noConversion"/>
  </si>
  <si>
    <t>王燊票据金额</t>
    <phoneticPr fontId="1" type="noConversion"/>
  </si>
  <si>
    <t>王燊补贴金额</t>
    <phoneticPr fontId="1" type="noConversion"/>
  </si>
  <si>
    <t>林迪南票据金额</t>
    <phoneticPr fontId="1" type="noConversion"/>
  </si>
  <si>
    <t>林迪南补贴金额</t>
    <phoneticPr fontId="1" type="noConversion"/>
  </si>
  <si>
    <t>黄学漾票据金额</t>
    <phoneticPr fontId="1" type="noConversion"/>
  </si>
  <si>
    <t>黄学漾补贴金额</t>
    <phoneticPr fontId="1" type="noConversion"/>
  </si>
  <si>
    <t>王兆林票据金额</t>
    <phoneticPr fontId="1" type="noConversion"/>
  </si>
  <si>
    <t>王兆林补贴金额</t>
    <phoneticPr fontId="1" type="noConversion"/>
  </si>
  <si>
    <t>郑景祥补贴金额（估计）</t>
    <phoneticPr fontId="1" type="noConversion"/>
  </si>
  <si>
    <t>合计</t>
    <phoneticPr fontId="1" type="noConversion"/>
  </si>
  <si>
    <t>20170313~20170420阶段消费统计表</t>
    <phoneticPr fontId="1" type="noConversion"/>
  </si>
  <si>
    <t>林迪南</t>
    <phoneticPr fontId="1" type="noConversion"/>
  </si>
  <si>
    <t>郑景祥</t>
    <phoneticPr fontId="1" type="noConversion"/>
  </si>
  <si>
    <t>王燊</t>
    <phoneticPr fontId="1" type="noConversion"/>
  </si>
  <si>
    <t>吴紫东</t>
    <phoneticPr fontId="1" type="noConversion"/>
  </si>
  <si>
    <t>黄学漾</t>
    <phoneticPr fontId="1" type="noConversion"/>
  </si>
  <si>
    <t>王兆林</t>
    <phoneticPr fontId="1" type="noConversion"/>
  </si>
  <si>
    <t>林迪南固定</t>
    <phoneticPr fontId="1" type="noConversion"/>
  </si>
  <si>
    <t>林迪南公共</t>
    <phoneticPr fontId="1" type="noConversion"/>
  </si>
  <si>
    <t>郑景祥固定</t>
    <phoneticPr fontId="1" type="noConversion"/>
  </si>
  <si>
    <t>郑景祥公共</t>
    <phoneticPr fontId="1" type="noConversion"/>
  </si>
  <si>
    <t>王燊固定</t>
    <phoneticPr fontId="1" type="noConversion"/>
  </si>
  <si>
    <t>王燊公共</t>
    <phoneticPr fontId="1" type="noConversion"/>
  </si>
  <si>
    <t>黄学漾固定</t>
    <phoneticPr fontId="1" type="noConversion"/>
  </si>
  <si>
    <t>黄学漾公共</t>
    <phoneticPr fontId="1" type="noConversion"/>
  </si>
  <si>
    <t>王兆林固定</t>
    <phoneticPr fontId="1" type="noConversion"/>
  </si>
  <si>
    <t>王兆林公共</t>
    <phoneticPr fontId="1" type="noConversion"/>
  </si>
  <si>
    <t>吴紫东固定</t>
    <phoneticPr fontId="1" type="noConversion"/>
  </si>
  <si>
    <t>吴紫东公共</t>
    <phoneticPr fontId="1" type="noConversion"/>
  </si>
  <si>
    <t>公共总权重</t>
    <phoneticPr fontId="1" type="noConversion"/>
  </si>
  <si>
    <t>固定金额总额</t>
    <phoneticPr fontId="1" type="noConversion"/>
  </si>
  <si>
    <t>总-固定</t>
    <phoneticPr fontId="1" type="noConversion"/>
  </si>
  <si>
    <t>林迪南消费</t>
    <phoneticPr fontId="1" type="noConversion"/>
  </si>
  <si>
    <t>郑景祥消费</t>
    <phoneticPr fontId="1" type="noConversion"/>
  </si>
  <si>
    <t>王燊消费</t>
    <phoneticPr fontId="1" type="noConversion"/>
  </si>
  <si>
    <t>吴紫东消费</t>
    <phoneticPr fontId="1" type="noConversion"/>
  </si>
  <si>
    <t>黄学漾消费</t>
    <phoneticPr fontId="1" type="noConversion"/>
  </si>
  <si>
    <t>王兆林消费</t>
    <phoneticPr fontId="1" type="noConversion"/>
  </si>
  <si>
    <t>报销总额估计</t>
    <phoneticPr fontId="1" type="noConversion"/>
  </si>
  <si>
    <t>票据</t>
    <phoneticPr fontId="1" type="noConversion"/>
  </si>
  <si>
    <t>补贴</t>
    <phoneticPr fontId="1" type="noConversion"/>
  </si>
  <si>
    <t>消费</t>
    <phoneticPr fontId="1" type="noConversion"/>
  </si>
  <si>
    <t>报销预支</t>
    <phoneticPr fontId="1" type="noConversion"/>
  </si>
  <si>
    <t>王燊</t>
    <phoneticPr fontId="1" type="noConversion"/>
  </si>
  <si>
    <t>本次获得金额</t>
    <phoneticPr fontId="1" type="noConversion"/>
  </si>
  <si>
    <t>黄学漾</t>
    <phoneticPr fontId="1" type="noConversion"/>
  </si>
  <si>
    <t>补贴</t>
    <phoneticPr fontId="1" type="noConversion"/>
  </si>
  <si>
    <t>王兆林</t>
    <phoneticPr fontId="1" type="noConversion"/>
  </si>
  <si>
    <t>补贴</t>
    <phoneticPr fontId="1" type="noConversion"/>
  </si>
  <si>
    <t>莆田维养项目部余额</t>
    <phoneticPr fontId="1" type="noConversion"/>
  </si>
  <si>
    <t>施工监控项目部余额</t>
    <phoneticPr fontId="1" type="noConversion"/>
  </si>
  <si>
    <t>林迪南</t>
    <phoneticPr fontId="1" type="noConversion"/>
  </si>
  <si>
    <t>20170423~20170527莆田维养项目部报销</t>
    <phoneticPr fontId="1" type="noConversion"/>
  </si>
  <si>
    <t>20170424~20170607莆田施工监控项目部报销</t>
    <phoneticPr fontId="1" type="noConversion"/>
  </si>
  <si>
    <t>注</t>
    <phoneticPr fontId="1" type="noConversion"/>
  </si>
  <si>
    <t>王燊票据和补贴金额按项目部经费计算</t>
    <phoneticPr fontId="1" type="noConversion"/>
  </si>
  <si>
    <t>王曦强票据金额</t>
    <phoneticPr fontId="1" type="noConversion"/>
  </si>
  <si>
    <t>王曦强补贴金额</t>
    <phoneticPr fontId="1" type="noConversion"/>
  </si>
  <si>
    <t>王兆林补贴金额按项目部经费计算</t>
    <phoneticPr fontId="1" type="noConversion"/>
  </si>
  <si>
    <t>江祖卫固定</t>
    <phoneticPr fontId="1" type="noConversion"/>
  </si>
  <si>
    <t>江祖卫公共</t>
    <phoneticPr fontId="1" type="noConversion"/>
  </si>
  <si>
    <t>王曦强固定</t>
    <phoneticPr fontId="1" type="noConversion"/>
  </si>
  <si>
    <t>王曦强公共</t>
    <phoneticPr fontId="1" type="noConversion"/>
  </si>
  <si>
    <t>总金额</t>
    <phoneticPr fontId="1" type="noConversion"/>
  </si>
  <si>
    <t>郑景祥</t>
  </si>
  <si>
    <t>王燊</t>
  </si>
  <si>
    <t>其它</t>
  </si>
  <si>
    <t>黄学漾</t>
  </si>
  <si>
    <t>林迪南</t>
  </si>
  <si>
    <t>王兆林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</si>
</sst>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W14"/>
  <sheetViews>
    <sheetView tabSelected="1" workbookViewId="0">
      <selection activeCell="V5" sqref="V5:W5"/>
    </sheetView>
  </sheetViews>
  <sheetFormatPr defaultRowHeight="14" x14ac:dyDescent="0.3"/>
  <cols>
    <col min="1" max="1" width="10.4140625" bestFit="1" customWidth="1"/>
    <col min="3" max="3" width="10.4140625" bestFit="1" customWidth="1"/>
    <col min="6" max="6" width="16.9140625" customWidth="1"/>
    <col min="7" max="7" width="10.4140625" bestFit="1" customWidth="1"/>
    <col min="8" max="8" width="7.1640625" bestFit="1" customWidth="1"/>
    <col min="9" max="9" width="10.4140625" bestFit="1" customWidth="1"/>
    <col min="10" max="10" width="11.5" customWidth="1"/>
    <col min="11" max="11" width="10.4140625" bestFit="1" customWidth="1"/>
    <col min="14" max="14" width="13.4140625" customWidth="1"/>
    <col min="18" max="18" width="12.25" customWidth="1"/>
  </cols>
  <sheetData>
    <row r="1" spans="5:23" x14ac:dyDescent="0.3">
      <c r="E1" t="s">
        <v>15</v>
      </c>
      <c r="F1" t="s">
        <v>42</v>
      </c>
      <c r="G1">
        <f>'20170619处理'!D2</f>
        <v>334.8</v>
      </c>
      <c r="I1" t="s">
        <v>46</v>
      </c>
      <c r="J1" t="s">
        <v>42</v>
      </c>
      <c r="K1">
        <v>0</v>
      </c>
      <c r="M1" t="s">
        <v>48</v>
      </c>
      <c r="N1" t="s">
        <v>49</v>
      </c>
      <c r="O1">
        <v>0</v>
      </c>
      <c r="Q1" t="s">
        <v>50</v>
      </c>
      <c r="R1" t="s">
        <v>51</v>
      </c>
      <c r="S1">
        <v>0</v>
      </c>
      <c r="U1" t="s">
        <v>54</v>
      </c>
      <c r="V1" t="s">
        <v>43</v>
      </c>
      <c r="W1">
        <f>'20170619处理'!K3</f>
        <v>1160</v>
      </c>
    </row>
    <row r="2" spans="5:23" x14ac:dyDescent="0.3">
      <c r="F2" t="s">
        <v>43</v>
      </c>
      <c r="G2">
        <f>'20170619处理'!E2</f>
        <v>880</v>
      </c>
      <c r="J2" t="s">
        <v>43</v>
      </c>
      <c r="K2">
        <v>0</v>
      </c>
      <c r="N2" t="s">
        <v>44</v>
      </c>
      <c r="O2">
        <f>-1*草稿!L44</f>
        <v>-52.594232558139531</v>
      </c>
      <c r="R2" t="s">
        <v>44</v>
      </c>
      <c r="S2">
        <f>-1*草稿!N44</f>
        <v>-102.78269767441859</v>
      </c>
      <c r="V2" t="s">
        <v>44</v>
      </c>
      <c r="W2">
        <f>-1*草稿!D44</f>
        <v>-914.31993798449605</v>
      </c>
    </row>
    <row r="3" spans="5:23" x14ac:dyDescent="0.3">
      <c r="J3" t="s">
        <v>44</v>
      </c>
      <c r="K3">
        <f>草稿!H44*-1</f>
        <v>-70.376930232558124</v>
      </c>
    </row>
    <row r="4" spans="5:23" x14ac:dyDescent="0.3">
      <c r="F4" t="s">
        <v>44</v>
      </c>
      <c r="G4">
        <f>草稿!F44*-1</f>
        <v>-784.63147286821697</v>
      </c>
      <c r="N4" t="s">
        <v>47</v>
      </c>
      <c r="O4">
        <f>SUM(O1:O2)</f>
        <v>-52.594232558139531</v>
      </c>
      <c r="R4" t="s">
        <v>47</v>
      </c>
      <c r="S4">
        <f>S1+S2</f>
        <v>-102.78269767441859</v>
      </c>
      <c r="V4" t="s">
        <v>47</v>
      </c>
      <c r="W4">
        <f>W1+W2</f>
        <v>245.68006201550395</v>
      </c>
    </row>
    <row r="5" spans="5:23" x14ac:dyDescent="0.3">
      <c r="F5" t="s">
        <v>45</v>
      </c>
      <c r="G5">
        <v>-1000</v>
      </c>
    </row>
    <row r="6" spans="5:23" x14ac:dyDescent="0.3">
      <c r="G6">
        <f>SUM(G1:G5)</f>
        <v>-569.83147286821702</v>
      </c>
      <c r="J6" t="s">
        <v>47</v>
      </c>
      <c r="K6">
        <f>SUM(K1:K3)</f>
        <v>-70.376930232558124</v>
      </c>
    </row>
    <row r="7" spans="5:23" x14ac:dyDescent="0.3">
      <c r="F7" t="s">
        <v>47</v>
      </c>
      <c r="G7">
        <f>G6</f>
        <v>-569.83147286821702</v>
      </c>
    </row>
    <row r="10" spans="5:23" x14ac:dyDescent="0.3">
      <c r="H10" t="s">
        <v>67</v>
      </c>
      <c r="I10" t="s">
        <v>68</v>
      </c>
      <c r="J10" t="s">
        <v>69</v>
      </c>
    </row>
    <row r="11" spans="5:23" x14ac:dyDescent="0.3">
      <c r="F11" t="s">
        <v>52</v>
      </c>
      <c r="G11">
        <v>1374</v>
      </c>
      <c r="H11">
        <v>320</v>
      </c>
      <c r="I11">
        <v>840</v>
      </c>
      <c r="J11">
        <v>214</v>
      </c>
    </row>
    <row r="13" spans="5:23" x14ac:dyDescent="0.3">
      <c r="H13" t="s">
        <v>70</v>
      </c>
      <c r="I13" t="s">
        <v>71</v>
      </c>
      <c r="J13" t="s">
        <v>72</v>
      </c>
    </row>
    <row r="14" spans="5:23" x14ac:dyDescent="0.3">
      <c r="F14" t="s">
        <v>53</v>
      </c>
      <c r="G14">
        <v>1957.1999999999998</v>
      </c>
      <c r="H14">
        <v>1160</v>
      </c>
      <c r="I14">
        <v>265.2</v>
      </c>
      <c r="J14">
        <v>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C1" workbookViewId="0">
      <selection activeCell="D2" sqref="D2"/>
    </sheetView>
  </sheetViews>
  <sheetFormatPr defaultRowHeight="14" x14ac:dyDescent="0.3"/>
  <cols>
    <col min="2" max="2" width="38.75" bestFit="1" customWidth="1"/>
    <col min="3" max="3" width="15.5" customWidth="1"/>
    <col min="4" max="4" width="14.33203125" bestFit="1" customWidth="1"/>
    <col min="5" max="5" width="20.1640625" customWidth="1"/>
    <col min="6" max="7" width="12.33203125" bestFit="1" customWidth="1"/>
    <col min="8" max="9" width="12.33203125" customWidth="1"/>
    <col min="10" max="15" width="14.33203125" bestFit="1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2</v>
      </c>
      <c r="E1" t="s">
        <v>11</v>
      </c>
      <c r="F1" t="s">
        <v>3</v>
      </c>
      <c r="G1" t="s">
        <v>4</v>
      </c>
      <c r="H1" t="s">
        <v>59</v>
      </c>
      <c r="I1" t="s">
        <v>60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3">
      <c r="A2">
        <v>1</v>
      </c>
      <c r="B2" t="s">
        <v>55</v>
      </c>
      <c r="C2">
        <v>2547.1999999999998</v>
      </c>
      <c r="D2">
        <f>270+64.8</f>
        <v>334.8</v>
      </c>
      <c r="E2">
        <v>880</v>
      </c>
      <c r="F2">
        <v>86.4</v>
      </c>
      <c r="G2">
        <v>360</v>
      </c>
      <c r="H2">
        <f>157+329</f>
        <v>486</v>
      </c>
      <c r="I2">
        <v>400</v>
      </c>
    </row>
    <row r="3" spans="1:15" x14ac:dyDescent="0.3">
      <c r="A3">
        <v>3</v>
      </c>
      <c r="B3" t="s">
        <v>56</v>
      </c>
      <c r="C3">
        <v>3095.4</v>
      </c>
      <c r="J3">
        <f>341+1394.4</f>
        <v>1735.4</v>
      </c>
      <c r="K3">
        <f>1160</f>
        <v>1160</v>
      </c>
      <c r="O3">
        <v>200</v>
      </c>
    </row>
    <row r="6" spans="1:15" x14ac:dyDescent="0.3">
      <c r="A6" t="s">
        <v>12</v>
      </c>
      <c r="C6">
        <f>SUM(C2:C3)</f>
        <v>5642.6</v>
      </c>
    </row>
    <row r="8" spans="1:15" x14ac:dyDescent="0.3">
      <c r="A8" t="s">
        <v>57</v>
      </c>
      <c r="B8" t="s">
        <v>58</v>
      </c>
    </row>
    <row r="9" spans="1:15" x14ac:dyDescent="0.3">
      <c r="B9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pane ySplit="1" topLeftCell="A29" activePane="bottomLeft" state="frozen"/>
      <selection pane="bottomLeft" activeCell="N45" sqref="N45"/>
    </sheetView>
  </sheetViews>
  <sheetFormatPr defaultRowHeight="14" x14ac:dyDescent="0.3"/>
  <cols>
    <col min="1" max="1" width="11.1640625" customWidth="1"/>
    <col min="2" max="2" width="10.4140625" bestFit="1" customWidth="1"/>
    <col min="3" max="3" width="11.83203125" customWidth="1"/>
    <col min="5" max="5" width="12.25" customWidth="1"/>
    <col min="9" max="9" width="9.75" customWidth="1"/>
    <col min="11" max="11" width="10.83203125" customWidth="1"/>
    <col min="13" max="13" width="10.6640625" customWidth="1"/>
  </cols>
  <sheetData>
    <row r="1" spans="1:18" x14ac:dyDescent="0.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</row>
    <row r="2" spans="1:18" x14ac:dyDescent="0.3">
      <c r="A2">
        <v>1</v>
      </c>
      <c r="B2" s="1">
        <v>62.833333333333336</v>
      </c>
      <c r="C2" s="2">
        <v>2</v>
      </c>
      <c r="D2" s="1">
        <v>80</v>
      </c>
      <c r="E2" s="2">
        <v>2</v>
      </c>
      <c r="G2" s="2">
        <v>2</v>
      </c>
      <c r="H2" s="1">
        <v>35</v>
      </c>
      <c r="I2">
        <v>1</v>
      </c>
      <c r="J2" s="1">
        <v>50</v>
      </c>
      <c r="K2" s="2">
        <v>2</v>
      </c>
      <c r="L2" s="1">
        <v>40</v>
      </c>
      <c r="M2" s="2">
        <v>1</v>
      </c>
      <c r="N2">
        <v>35</v>
      </c>
      <c r="P2" s="1">
        <v>80</v>
      </c>
      <c r="Q2" s="2">
        <v>1</v>
      </c>
      <c r="R2">
        <v>120</v>
      </c>
    </row>
    <row r="3" spans="1:18" x14ac:dyDescent="0.3">
      <c r="A3">
        <v>2</v>
      </c>
      <c r="B3" s="1">
        <v>21</v>
      </c>
      <c r="C3" s="2">
        <v>2</v>
      </c>
      <c r="D3" s="1">
        <v>58.833333333333336</v>
      </c>
      <c r="E3" s="2">
        <v>2</v>
      </c>
      <c r="G3" s="2">
        <v>2</v>
      </c>
      <c r="J3" s="1"/>
      <c r="K3" s="2">
        <v>1</v>
      </c>
      <c r="L3" s="1">
        <v>33.333333333333336</v>
      </c>
      <c r="M3" s="2">
        <v>1</v>
      </c>
      <c r="P3" s="1">
        <v>35</v>
      </c>
      <c r="Q3" s="2">
        <v>2</v>
      </c>
      <c r="R3">
        <f>15+(25.4+10+12+9.9)+30.8</f>
        <v>103.1</v>
      </c>
    </row>
    <row r="4" spans="1:18" x14ac:dyDescent="0.3">
      <c r="A4">
        <v>3</v>
      </c>
      <c r="B4" s="1">
        <v>4</v>
      </c>
      <c r="C4" s="2">
        <v>0</v>
      </c>
      <c r="D4" s="1">
        <v>5</v>
      </c>
      <c r="E4" s="2">
        <v>2</v>
      </c>
      <c r="G4" s="2"/>
      <c r="J4" s="1"/>
      <c r="L4" s="1">
        <v>21</v>
      </c>
      <c r="M4" s="2">
        <v>0</v>
      </c>
      <c r="P4" s="1">
        <v>30</v>
      </c>
      <c r="Q4" s="2">
        <v>2</v>
      </c>
      <c r="R4">
        <v>0</v>
      </c>
    </row>
    <row r="5" spans="1:18" x14ac:dyDescent="0.3">
      <c r="A5">
        <v>4</v>
      </c>
      <c r="B5" s="1">
        <v>20</v>
      </c>
      <c r="C5" s="2">
        <v>2</v>
      </c>
      <c r="D5" s="1">
        <v>25</v>
      </c>
      <c r="E5" s="2">
        <v>2</v>
      </c>
      <c r="G5" s="2"/>
      <c r="J5" s="1"/>
      <c r="L5" s="1">
        <v>7</v>
      </c>
      <c r="M5" s="2">
        <v>1</v>
      </c>
      <c r="Q5" s="2">
        <v>2</v>
      </c>
      <c r="R5">
        <f>3+35+100+4+51+5</f>
        <v>198</v>
      </c>
    </row>
    <row r="6" spans="1:18" x14ac:dyDescent="0.3">
      <c r="A6">
        <v>5</v>
      </c>
      <c r="B6" s="1">
        <v>80</v>
      </c>
      <c r="C6" s="2">
        <v>1</v>
      </c>
      <c r="E6" s="2">
        <v>2</v>
      </c>
      <c r="G6" s="2"/>
      <c r="J6" s="1"/>
      <c r="L6" s="1">
        <v>20</v>
      </c>
      <c r="M6" s="2">
        <v>1</v>
      </c>
      <c r="Q6" s="2">
        <v>1.5</v>
      </c>
      <c r="R6">
        <f>5+9.6+13+15+19+9.7+6.6+33.5+2+10+42</f>
        <v>165.39999999999998</v>
      </c>
    </row>
    <row r="7" spans="1:18" x14ac:dyDescent="0.3">
      <c r="A7">
        <v>6</v>
      </c>
      <c r="B7" s="1">
        <v>25</v>
      </c>
      <c r="C7" s="2">
        <v>2</v>
      </c>
      <c r="E7" s="2">
        <v>2</v>
      </c>
      <c r="G7" s="2"/>
      <c r="M7" s="2">
        <v>1</v>
      </c>
      <c r="Q7" s="2">
        <v>2</v>
      </c>
      <c r="R7">
        <v>28</v>
      </c>
    </row>
    <row r="8" spans="1:18" x14ac:dyDescent="0.3">
      <c r="A8">
        <v>7</v>
      </c>
      <c r="B8" s="1">
        <v>50.5</v>
      </c>
      <c r="C8" s="2">
        <v>2</v>
      </c>
      <c r="E8" s="2">
        <v>2</v>
      </c>
      <c r="G8" s="2"/>
      <c r="M8" s="2">
        <v>0</v>
      </c>
      <c r="Q8" s="2">
        <v>2</v>
      </c>
      <c r="R8">
        <v>57.41</v>
      </c>
    </row>
    <row r="9" spans="1:18" x14ac:dyDescent="0.3">
      <c r="A9">
        <v>8</v>
      </c>
      <c r="B9" s="1"/>
      <c r="C9" s="2">
        <v>1</v>
      </c>
      <c r="E9" s="2">
        <v>2</v>
      </c>
      <c r="M9" s="2">
        <v>1</v>
      </c>
      <c r="Q9" s="2">
        <v>2</v>
      </c>
      <c r="R9">
        <v>0</v>
      </c>
    </row>
    <row r="10" spans="1:18" x14ac:dyDescent="0.3">
      <c r="A10">
        <v>9</v>
      </c>
      <c r="B10" s="1"/>
      <c r="C10" s="2">
        <v>2</v>
      </c>
      <c r="E10" s="2">
        <v>0</v>
      </c>
      <c r="M10" s="2"/>
      <c r="Q10" s="2">
        <v>2</v>
      </c>
      <c r="R10">
        <v>0</v>
      </c>
    </row>
    <row r="11" spans="1:18" x14ac:dyDescent="0.3">
      <c r="A11">
        <v>10</v>
      </c>
      <c r="B11" s="1"/>
      <c r="C11" s="2">
        <v>2</v>
      </c>
      <c r="E11" s="2">
        <v>1</v>
      </c>
      <c r="M11" s="2"/>
      <c r="Q11" s="2">
        <v>1</v>
      </c>
      <c r="R11">
        <f>7+40+4+91.7</f>
        <v>142.69999999999999</v>
      </c>
    </row>
    <row r="12" spans="1:18" x14ac:dyDescent="0.3">
      <c r="A12">
        <v>11</v>
      </c>
      <c r="B12" s="1"/>
      <c r="C12" s="2">
        <v>1</v>
      </c>
      <c r="E12" s="2">
        <v>2</v>
      </c>
      <c r="M12" s="2"/>
      <c r="Q12" s="2">
        <v>2</v>
      </c>
      <c r="R12">
        <f>26.5+28+24+24.7+15+3.5+317.37</f>
        <v>439.07</v>
      </c>
    </row>
    <row r="13" spans="1:18" x14ac:dyDescent="0.3">
      <c r="A13">
        <v>12</v>
      </c>
      <c r="B13" s="1"/>
      <c r="C13" s="2">
        <v>1</v>
      </c>
      <c r="E13" s="2">
        <v>1</v>
      </c>
      <c r="M13" s="2"/>
      <c r="Q13" s="2">
        <v>2</v>
      </c>
      <c r="R13">
        <f>15+16+6+15+29+5+2.5</f>
        <v>88.5</v>
      </c>
    </row>
    <row r="14" spans="1:18" x14ac:dyDescent="0.3">
      <c r="A14">
        <v>13</v>
      </c>
      <c r="B14" s="1"/>
      <c r="C14" s="2">
        <v>2</v>
      </c>
      <c r="E14" s="2">
        <v>0</v>
      </c>
      <c r="M14" s="2"/>
      <c r="R14">
        <v>0</v>
      </c>
    </row>
    <row r="15" spans="1:18" x14ac:dyDescent="0.3">
      <c r="A15">
        <v>14</v>
      </c>
      <c r="B15" s="1"/>
      <c r="C15" s="2">
        <v>2</v>
      </c>
      <c r="E15" s="2">
        <v>2</v>
      </c>
      <c r="M15" s="2"/>
      <c r="R15">
        <v>0</v>
      </c>
    </row>
    <row r="16" spans="1:18" x14ac:dyDescent="0.3">
      <c r="A16">
        <v>15</v>
      </c>
      <c r="B16" s="1"/>
      <c r="C16" s="2">
        <v>2</v>
      </c>
      <c r="E16" s="2">
        <v>2</v>
      </c>
      <c r="M16" s="2"/>
      <c r="R16">
        <v>0</v>
      </c>
    </row>
    <row r="17" spans="1:18" x14ac:dyDescent="0.3">
      <c r="A17">
        <v>16</v>
      </c>
      <c r="C17" s="2">
        <v>2</v>
      </c>
      <c r="E17" s="2">
        <v>1</v>
      </c>
      <c r="M17" s="2"/>
      <c r="R17">
        <f>24+53.86</f>
        <v>77.86</v>
      </c>
    </row>
    <row r="18" spans="1:18" x14ac:dyDescent="0.3">
      <c r="A18">
        <v>17</v>
      </c>
      <c r="C18" s="2">
        <v>1</v>
      </c>
      <c r="E18" s="1">
        <v>1</v>
      </c>
      <c r="M18" s="2"/>
      <c r="R18">
        <v>35</v>
      </c>
    </row>
    <row r="19" spans="1:18" x14ac:dyDescent="0.3">
      <c r="A19">
        <v>18</v>
      </c>
      <c r="C19" s="2">
        <v>2</v>
      </c>
      <c r="E19" s="2">
        <v>2</v>
      </c>
      <c r="M19" s="2"/>
      <c r="R19">
        <f>17.7+18+14.8+31+3.82+119</f>
        <v>204.32</v>
      </c>
    </row>
    <row r="20" spans="1:18" x14ac:dyDescent="0.3">
      <c r="A20">
        <v>19</v>
      </c>
      <c r="C20" s="2">
        <v>2</v>
      </c>
      <c r="E20" s="2">
        <v>2</v>
      </c>
      <c r="M20" s="2"/>
      <c r="R20">
        <f>92+28</f>
        <v>120</v>
      </c>
    </row>
    <row r="21" spans="1:18" x14ac:dyDescent="0.3">
      <c r="A21">
        <v>20</v>
      </c>
      <c r="C21" s="2">
        <v>2</v>
      </c>
      <c r="E21" s="2">
        <v>2</v>
      </c>
      <c r="R21">
        <f>30</f>
        <v>30</v>
      </c>
    </row>
    <row r="22" spans="1:18" x14ac:dyDescent="0.3">
      <c r="A22">
        <v>21</v>
      </c>
      <c r="C22" s="2">
        <v>2</v>
      </c>
      <c r="E22" s="2">
        <v>2</v>
      </c>
      <c r="R22">
        <f>32+22+40</f>
        <v>94</v>
      </c>
    </row>
    <row r="23" spans="1:18" x14ac:dyDescent="0.3">
      <c r="A23">
        <v>22</v>
      </c>
      <c r="C23" s="2">
        <v>2</v>
      </c>
      <c r="E23" s="2">
        <v>1</v>
      </c>
      <c r="R23">
        <v>12</v>
      </c>
    </row>
    <row r="24" spans="1:18" x14ac:dyDescent="0.3">
      <c r="A24">
        <v>23</v>
      </c>
      <c r="C24" s="2"/>
      <c r="R24">
        <f>16+50</f>
        <v>66</v>
      </c>
    </row>
    <row r="25" spans="1:18" x14ac:dyDescent="0.3">
      <c r="A25">
        <v>24</v>
      </c>
      <c r="C25" s="2"/>
      <c r="R25">
        <f>18+10.9+4+32+10+58.7</f>
        <v>133.60000000000002</v>
      </c>
    </row>
    <row r="26" spans="1:18" x14ac:dyDescent="0.3">
      <c r="A26">
        <v>25</v>
      </c>
      <c r="C26" s="2"/>
      <c r="R26">
        <f>5.5+17.5+19+15.4+15</f>
        <v>72.400000000000006</v>
      </c>
    </row>
    <row r="27" spans="1:18" x14ac:dyDescent="0.3">
      <c r="A27">
        <v>26</v>
      </c>
      <c r="C27" s="2"/>
      <c r="R27">
        <f>70+(509.62-3*140)</f>
        <v>159.62</v>
      </c>
    </row>
    <row r="28" spans="1:18" x14ac:dyDescent="0.3">
      <c r="A28">
        <v>27</v>
      </c>
      <c r="C28" s="2"/>
      <c r="R28">
        <v>0</v>
      </c>
    </row>
    <row r="29" spans="1:18" x14ac:dyDescent="0.3">
      <c r="A29">
        <v>28</v>
      </c>
      <c r="C29" s="2"/>
      <c r="R29">
        <f>78+78.4+36</f>
        <v>192.4</v>
      </c>
    </row>
    <row r="30" spans="1:18" x14ac:dyDescent="0.3">
      <c r="A30">
        <v>29</v>
      </c>
      <c r="C30" s="2"/>
      <c r="R30">
        <v>0</v>
      </c>
    </row>
    <row r="31" spans="1:18" x14ac:dyDescent="0.3">
      <c r="A31">
        <v>30</v>
      </c>
      <c r="C31" s="2"/>
      <c r="R31">
        <f>14+9.5+48+99</f>
        <v>170.5</v>
      </c>
    </row>
    <row r="32" spans="1:18" x14ac:dyDescent="0.3">
      <c r="A32">
        <v>31</v>
      </c>
      <c r="C32" s="2"/>
      <c r="R32">
        <f>0</f>
        <v>0</v>
      </c>
    </row>
    <row r="33" spans="1:18" x14ac:dyDescent="0.3">
      <c r="A33">
        <v>32</v>
      </c>
      <c r="C33" s="2"/>
      <c r="R33" s="1"/>
    </row>
    <row r="34" spans="1:18" x14ac:dyDescent="0.3">
      <c r="A34">
        <v>33</v>
      </c>
      <c r="C34" s="2"/>
      <c r="R34" s="1"/>
    </row>
    <row r="35" spans="1:18" x14ac:dyDescent="0.3">
      <c r="A35">
        <v>34</v>
      </c>
      <c r="C35" s="2"/>
      <c r="R35" s="1"/>
    </row>
    <row r="36" spans="1:18" x14ac:dyDescent="0.3">
      <c r="A36">
        <v>35</v>
      </c>
      <c r="C36" s="2"/>
      <c r="R36" s="1"/>
    </row>
    <row r="37" spans="1:18" x14ac:dyDescent="0.3">
      <c r="A37">
        <v>36</v>
      </c>
      <c r="C37" s="2"/>
      <c r="R37" s="1"/>
    </row>
    <row r="38" spans="1:18" x14ac:dyDescent="0.3">
      <c r="A38">
        <v>37</v>
      </c>
      <c r="C38" s="2"/>
      <c r="R38" s="3"/>
    </row>
    <row r="39" spans="1:18" x14ac:dyDescent="0.3">
      <c r="A39">
        <v>38</v>
      </c>
      <c r="R39" s="1"/>
    </row>
    <row r="40" spans="1:18" x14ac:dyDescent="0.3">
      <c r="A40" t="s">
        <v>12</v>
      </c>
      <c r="B40">
        <f>SUM(B2:B38)</f>
        <v>263.33333333333337</v>
      </c>
      <c r="C40">
        <f t="shared" ref="C40:Q40" si="0">SUM(C2:C38)</f>
        <v>37</v>
      </c>
      <c r="D40">
        <f t="shared" si="0"/>
        <v>168.83333333333334</v>
      </c>
      <c r="E40">
        <f t="shared" si="0"/>
        <v>35</v>
      </c>
      <c r="F40">
        <f t="shared" si="0"/>
        <v>0</v>
      </c>
      <c r="G40">
        <f t="shared" si="0"/>
        <v>4</v>
      </c>
      <c r="H40">
        <f t="shared" si="0"/>
        <v>35</v>
      </c>
      <c r="I40">
        <f t="shared" si="0"/>
        <v>1</v>
      </c>
      <c r="J40">
        <f t="shared" si="0"/>
        <v>50</v>
      </c>
      <c r="K40">
        <f t="shared" si="0"/>
        <v>3</v>
      </c>
      <c r="L40">
        <f t="shared" si="0"/>
        <v>121.33333333333334</v>
      </c>
      <c r="M40">
        <f t="shared" si="0"/>
        <v>6</v>
      </c>
      <c r="N40">
        <f t="shared" si="0"/>
        <v>35</v>
      </c>
      <c r="O40">
        <f t="shared" si="0"/>
        <v>0</v>
      </c>
      <c r="P40">
        <f t="shared" si="0"/>
        <v>145</v>
      </c>
      <c r="Q40">
        <f t="shared" si="0"/>
        <v>21.5</v>
      </c>
      <c r="R40" s="4">
        <f>SUM(R2:R38)</f>
        <v>2709.8799999999997</v>
      </c>
    </row>
    <row r="42" spans="1:18" x14ac:dyDescent="0.3">
      <c r="A42" t="s">
        <v>32</v>
      </c>
      <c r="B42">
        <f>C40+E40+G40+I40+K40+M40+O40+Q40</f>
        <v>107.5</v>
      </c>
    </row>
    <row r="43" spans="1:18" x14ac:dyDescent="0.3">
      <c r="A43" t="s">
        <v>33</v>
      </c>
      <c r="B43">
        <f>B40+D40+F40+H40+J40+L40+N40+P40</f>
        <v>818.50000000000011</v>
      </c>
    </row>
    <row r="44" spans="1:18" x14ac:dyDescent="0.3">
      <c r="A44" t="s">
        <v>34</v>
      </c>
      <c r="B44">
        <f>R40-B43</f>
        <v>1891.3799999999997</v>
      </c>
      <c r="C44" t="s">
        <v>35</v>
      </c>
      <c r="D44">
        <f>B40+C40/$B$42*$B$44</f>
        <v>914.31993798449605</v>
      </c>
      <c r="E44" t="s">
        <v>36</v>
      </c>
      <c r="F44">
        <f>D40+E40/$B$42*$B$44</f>
        <v>784.63147286821697</v>
      </c>
      <c r="G44" t="s">
        <v>37</v>
      </c>
      <c r="H44">
        <f>F40+G40/$B$42*$B$44</f>
        <v>70.376930232558124</v>
      </c>
      <c r="I44" t="s">
        <v>38</v>
      </c>
      <c r="J44">
        <f>L40+M40/$B$42*$B$44</f>
        <v>226.89872868217054</v>
      </c>
      <c r="K44" t="s">
        <v>39</v>
      </c>
      <c r="L44">
        <f>H40+I40/$B$42*$B$44</f>
        <v>52.594232558139531</v>
      </c>
      <c r="M44" t="s">
        <v>40</v>
      </c>
      <c r="N44">
        <f>J40+K40/$B$42*$B$44</f>
        <v>102.78269767441859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2" sqref="B2"/>
    </sheetView>
  </sheetViews>
  <sheetFormatPr defaultRowHeight="14" x14ac:dyDescent="0.3"/>
  <cols>
    <col min="1" max="1" width="32.83203125" bestFit="1" customWidth="1"/>
  </cols>
  <sheetData>
    <row r="1" spans="1: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20170619处理</vt:lpstr>
      <vt:lpstr>草稿</vt:lpstr>
      <vt:lpstr>阶段公共消费表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2017-06-19T13:05:30Z</dcterms:modified>
</cp:coreProperties>
</file>