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50"/>
  </bookViews>
  <sheets>
    <sheet name="20170423处理" sheetId="1" r:id="rId1"/>
    <sheet name="草稿" sheetId="3" r:id="rId2"/>
    <sheet name="阶段公共消费表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 l="1"/>
  <c r="N44" i="3" l="1"/>
  <c r="L44" i="3"/>
  <c r="J44" i="3"/>
  <c r="H44" i="3"/>
  <c r="F44" i="3"/>
  <c r="D44" i="3"/>
  <c r="B44" i="3"/>
  <c r="B43" i="3"/>
  <c r="B42" i="3"/>
  <c r="O40" i="3"/>
  <c r="O38" i="3"/>
  <c r="O35" i="3"/>
  <c r="O32" i="3"/>
  <c r="O30" i="3"/>
  <c r="O29" i="3"/>
  <c r="O26" i="3"/>
  <c r="O21" i="3"/>
  <c r="O20" i="3"/>
  <c r="O16" i="3"/>
  <c r="O15" i="3"/>
  <c r="O14" i="3"/>
  <c r="O11" i="3"/>
  <c r="O9" i="3"/>
  <c r="O7" i="3"/>
  <c r="O5" i="3"/>
  <c r="O3" i="3"/>
  <c r="C40" i="3"/>
  <c r="D40" i="3"/>
  <c r="E40" i="3"/>
  <c r="F40" i="3"/>
  <c r="G40" i="3"/>
  <c r="H40" i="3"/>
  <c r="I40" i="3"/>
  <c r="J40" i="3"/>
  <c r="K40" i="3"/>
  <c r="L40" i="3"/>
  <c r="M40" i="3"/>
  <c r="B40" i="3"/>
  <c r="C8" i="1" l="1"/>
  <c r="C5" i="1"/>
  <c r="C4" i="1" l="1"/>
</calcChain>
</file>

<file path=xl/sharedStrings.xml><?xml version="1.0" encoding="utf-8"?>
<sst xmlns="http://schemas.openxmlformats.org/spreadsheetml/2006/main" count="48" uniqueCount="46">
  <si>
    <t>id</t>
    <phoneticPr fontId="1" type="noConversion"/>
  </si>
  <si>
    <t>报销名称</t>
    <phoneticPr fontId="1" type="noConversion"/>
  </si>
  <si>
    <t>郑景祥票据金额</t>
    <phoneticPr fontId="1" type="noConversion"/>
  </si>
  <si>
    <t>王燊票据金额</t>
    <phoneticPr fontId="1" type="noConversion"/>
  </si>
  <si>
    <t>王燊补贴金额</t>
    <phoneticPr fontId="1" type="noConversion"/>
  </si>
  <si>
    <t>20170401~20170420莆田维养项目部报销</t>
  </si>
  <si>
    <t>20170306~20170331莆田维养项目部报销</t>
    <phoneticPr fontId="1" type="noConversion"/>
  </si>
  <si>
    <t>20170307~20170331莆田施工监控项目部报销</t>
  </si>
  <si>
    <t>20170401~20170420莆田施工监控项目部报销</t>
  </si>
  <si>
    <t>林迪南票据金额</t>
    <phoneticPr fontId="1" type="noConversion"/>
  </si>
  <si>
    <t>林迪南补贴金额</t>
    <phoneticPr fontId="1" type="noConversion"/>
  </si>
  <si>
    <t>黄学漾票据金额</t>
    <phoneticPr fontId="1" type="noConversion"/>
  </si>
  <si>
    <t>黄学漾补贴金额</t>
    <phoneticPr fontId="1" type="noConversion"/>
  </si>
  <si>
    <t>王兆林票据金额</t>
    <phoneticPr fontId="1" type="noConversion"/>
  </si>
  <si>
    <t>王兆林补贴金额</t>
    <phoneticPr fontId="1" type="noConversion"/>
  </si>
  <si>
    <t>郑景祥补贴金额（估计）</t>
    <phoneticPr fontId="1" type="noConversion"/>
  </si>
  <si>
    <t>合计</t>
    <phoneticPr fontId="1" type="noConversion"/>
  </si>
  <si>
    <t>20170313~20170420阶段消费统计表</t>
    <phoneticPr fontId="1" type="noConversion"/>
  </si>
  <si>
    <t>林迪南</t>
    <phoneticPr fontId="1" type="noConversion"/>
  </si>
  <si>
    <t>郑景祥</t>
    <phoneticPr fontId="1" type="noConversion"/>
  </si>
  <si>
    <t>王燊</t>
    <phoneticPr fontId="1" type="noConversion"/>
  </si>
  <si>
    <t>吴紫东</t>
    <phoneticPr fontId="1" type="noConversion"/>
  </si>
  <si>
    <t>黄学漾</t>
    <phoneticPr fontId="1" type="noConversion"/>
  </si>
  <si>
    <t>王兆林</t>
    <phoneticPr fontId="1" type="noConversion"/>
  </si>
  <si>
    <t>林迪南固定</t>
    <phoneticPr fontId="1" type="noConversion"/>
  </si>
  <si>
    <t>林迪南公共</t>
    <phoneticPr fontId="1" type="noConversion"/>
  </si>
  <si>
    <t>郑景祥固定</t>
    <phoneticPr fontId="1" type="noConversion"/>
  </si>
  <si>
    <t>郑景祥公共</t>
    <phoneticPr fontId="1" type="noConversion"/>
  </si>
  <si>
    <t>王燊固定</t>
    <phoneticPr fontId="1" type="noConversion"/>
  </si>
  <si>
    <t>王燊公共</t>
    <phoneticPr fontId="1" type="noConversion"/>
  </si>
  <si>
    <t>黄学漾固定</t>
    <phoneticPr fontId="1" type="noConversion"/>
  </si>
  <si>
    <t>黄学漾公共</t>
    <phoneticPr fontId="1" type="noConversion"/>
  </si>
  <si>
    <t>王兆林固定</t>
    <phoneticPr fontId="1" type="noConversion"/>
  </si>
  <si>
    <t>王兆林公共</t>
    <phoneticPr fontId="1" type="noConversion"/>
  </si>
  <si>
    <t>吴紫东固定</t>
    <phoneticPr fontId="1" type="noConversion"/>
  </si>
  <si>
    <t>吴紫东公共</t>
    <phoneticPr fontId="1" type="noConversion"/>
  </si>
  <si>
    <t>公共总权重</t>
    <phoneticPr fontId="1" type="noConversion"/>
  </si>
  <si>
    <t>固定金额总额</t>
    <phoneticPr fontId="1" type="noConversion"/>
  </si>
  <si>
    <t>总-固定</t>
    <phoneticPr fontId="1" type="noConversion"/>
  </si>
  <si>
    <t>林迪南消费</t>
    <phoneticPr fontId="1" type="noConversion"/>
  </si>
  <si>
    <t>郑景祥消费</t>
    <phoneticPr fontId="1" type="noConversion"/>
  </si>
  <si>
    <t>王燊消费</t>
    <phoneticPr fontId="1" type="noConversion"/>
  </si>
  <si>
    <t>吴紫东消费</t>
    <phoneticPr fontId="1" type="noConversion"/>
  </si>
  <si>
    <t>黄学漾消费</t>
    <phoneticPr fontId="1" type="noConversion"/>
  </si>
  <si>
    <t>王兆林消费</t>
    <phoneticPr fontId="1" type="noConversion"/>
  </si>
  <si>
    <t>报销总额估计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</si>
</sst>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sqref="A1:C3"/>
    </sheetView>
  </sheetViews>
  <sheetFormatPr defaultRowHeight="14" x14ac:dyDescent="0.3"/>
  <cols>
    <col min="2" max="2" width="38.75" bestFit="1" customWidth="1"/>
    <col min="3" max="3" width="15.5" customWidth="1"/>
    <col min="4" max="4" width="14.33203125" bestFit="1" customWidth="1"/>
    <col min="5" max="5" width="20.1640625" customWidth="1"/>
    <col min="6" max="7" width="12.33203125" bestFit="1" customWidth="1"/>
    <col min="8" max="13" width="14.33203125" bestFit="1" customWidth="1"/>
  </cols>
  <sheetData>
    <row r="1" spans="1:13" x14ac:dyDescent="0.3">
      <c r="A1" t="s">
        <v>0</v>
      </c>
      <c r="B1" t="s">
        <v>1</v>
      </c>
      <c r="C1" t="s">
        <v>45</v>
      </c>
      <c r="D1" t="s">
        <v>2</v>
      </c>
      <c r="E1" t="s">
        <v>15</v>
      </c>
      <c r="F1" t="s">
        <v>3</v>
      </c>
      <c r="G1" t="s">
        <v>4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3" x14ac:dyDescent="0.3">
      <c r="A2">
        <v>1</v>
      </c>
      <c r="B2" t="s">
        <v>6</v>
      </c>
      <c r="C2">
        <f>229.5+81.8+1158+1600</f>
        <v>3069.3</v>
      </c>
      <c r="D2">
        <v>1075.3</v>
      </c>
      <c r="E2">
        <v>720</v>
      </c>
      <c r="F2">
        <v>394</v>
      </c>
      <c r="G2">
        <v>880</v>
      </c>
    </row>
    <row r="3" spans="1:13" x14ac:dyDescent="0.3">
      <c r="A3">
        <v>2</v>
      </c>
      <c r="B3" t="s">
        <v>5</v>
      </c>
      <c r="C3">
        <f>241.5+193.5+296+480</f>
        <v>1211</v>
      </c>
      <c r="D3">
        <v>622</v>
      </c>
      <c r="E3">
        <v>280</v>
      </c>
      <c r="F3">
        <v>109</v>
      </c>
      <c r="G3">
        <v>200</v>
      </c>
    </row>
    <row r="4" spans="1:13" x14ac:dyDescent="0.3">
      <c r="A4">
        <v>3</v>
      </c>
      <c r="B4" t="s">
        <v>7</v>
      </c>
      <c r="C4">
        <f>223+635.4+78+2600</f>
        <v>3536.4</v>
      </c>
      <c r="I4">
        <v>960</v>
      </c>
      <c r="K4">
        <v>880</v>
      </c>
      <c r="M4">
        <v>760</v>
      </c>
    </row>
    <row r="5" spans="1:13" x14ac:dyDescent="0.3">
      <c r="A5">
        <v>4</v>
      </c>
      <c r="B5" t="s">
        <v>8</v>
      </c>
      <c r="C5">
        <f>121.5+449.1+1320</f>
        <v>1890.6</v>
      </c>
      <c r="I5">
        <v>680</v>
      </c>
      <c r="K5">
        <v>320</v>
      </c>
      <c r="M5">
        <v>320</v>
      </c>
    </row>
    <row r="8" spans="1:13" x14ac:dyDescent="0.3">
      <c r="A8" t="s">
        <v>16</v>
      </c>
      <c r="C8">
        <f>SUM(C2:C5)</f>
        <v>9707.3000000000011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pane ySplit="1" topLeftCell="A35" activePane="bottomLeft" state="frozen"/>
      <selection pane="bottomLeft" activeCell="M44" sqref="M44"/>
    </sheetView>
  </sheetViews>
  <sheetFormatPr defaultRowHeight="14" x14ac:dyDescent="0.3"/>
  <cols>
    <col min="1" max="1" width="11.1640625" customWidth="1"/>
    <col min="2" max="2" width="10.4140625" bestFit="1" customWidth="1"/>
    <col min="3" max="3" width="11.83203125" customWidth="1"/>
    <col min="5" max="5" width="12.25" customWidth="1"/>
    <col min="9" max="9" width="9.75" customWidth="1"/>
    <col min="11" max="11" width="10.83203125" customWidth="1"/>
    <col min="13" max="13" width="10.6640625" customWidth="1"/>
  </cols>
  <sheetData>
    <row r="1" spans="1:15" x14ac:dyDescent="0.3">
      <c r="A1" t="s">
        <v>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O1" s="1">
        <v>84.34</v>
      </c>
    </row>
    <row r="2" spans="1:15" x14ac:dyDescent="0.3">
      <c r="A2">
        <v>1</v>
      </c>
      <c r="B2" s="1">
        <v>24</v>
      </c>
      <c r="C2" s="2">
        <v>2</v>
      </c>
      <c r="E2" s="2">
        <v>2</v>
      </c>
      <c r="G2" s="2">
        <v>2</v>
      </c>
      <c r="I2">
        <v>1</v>
      </c>
      <c r="J2" s="1">
        <v>24</v>
      </c>
      <c r="K2" s="2">
        <v>2</v>
      </c>
      <c r="L2">
        <v>13</v>
      </c>
      <c r="M2" s="2">
        <v>1</v>
      </c>
      <c r="O2" s="1">
        <v>87.07</v>
      </c>
    </row>
    <row r="3" spans="1:15" x14ac:dyDescent="0.3">
      <c r="A3">
        <v>2</v>
      </c>
      <c r="B3" s="1">
        <v>11</v>
      </c>
      <c r="C3" s="2">
        <v>2</v>
      </c>
      <c r="E3" s="2">
        <v>2</v>
      </c>
      <c r="G3" s="2">
        <v>1</v>
      </c>
      <c r="J3" s="1">
        <v>24.5</v>
      </c>
      <c r="K3" s="2">
        <v>1</v>
      </c>
      <c r="L3">
        <v>21</v>
      </c>
      <c r="M3" s="2">
        <v>1</v>
      </c>
      <c r="O3" s="1">
        <f>116.74-7.9</f>
        <v>108.83999999999999</v>
      </c>
    </row>
    <row r="4" spans="1:15" x14ac:dyDescent="0.3">
      <c r="A4">
        <v>3</v>
      </c>
      <c r="B4" s="1">
        <v>24.5</v>
      </c>
      <c r="C4" s="2">
        <v>2</v>
      </c>
      <c r="E4" s="2">
        <v>2</v>
      </c>
      <c r="G4" s="2">
        <v>1</v>
      </c>
      <c r="J4" s="1">
        <v>19.5</v>
      </c>
      <c r="M4" s="2">
        <v>1</v>
      </c>
      <c r="O4" s="1">
        <v>33.01</v>
      </c>
    </row>
    <row r="5" spans="1:15" x14ac:dyDescent="0.3">
      <c r="A5">
        <v>4</v>
      </c>
      <c r="B5" s="1">
        <v>31.5</v>
      </c>
      <c r="C5" s="2">
        <v>2</v>
      </c>
      <c r="E5" s="2">
        <v>2</v>
      </c>
      <c r="G5" s="2">
        <v>1</v>
      </c>
      <c r="J5" s="1">
        <v>15.5</v>
      </c>
      <c r="M5" s="2">
        <v>1</v>
      </c>
      <c r="O5" s="1">
        <f>48+51.3</f>
        <v>99.3</v>
      </c>
    </row>
    <row r="6" spans="1:15" x14ac:dyDescent="0.3">
      <c r="A6">
        <v>5</v>
      </c>
      <c r="B6" s="1">
        <v>15</v>
      </c>
      <c r="C6" s="2">
        <v>1</v>
      </c>
      <c r="E6" s="2">
        <v>2</v>
      </c>
      <c r="G6" s="2">
        <v>2</v>
      </c>
      <c r="J6" s="1">
        <v>29</v>
      </c>
      <c r="M6" s="2">
        <v>1</v>
      </c>
      <c r="O6" s="1">
        <v>25.6</v>
      </c>
    </row>
    <row r="7" spans="1:15" x14ac:dyDescent="0.3">
      <c r="A7">
        <v>6</v>
      </c>
      <c r="B7" s="1">
        <v>40.5</v>
      </c>
      <c r="C7" s="2">
        <v>2</v>
      </c>
      <c r="E7" s="2">
        <v>2</v>
      </c>
      <c r="G7" s="2">
        <v>2</v>
      </c>
      <c r="M7" s="2">
        <v>1</v>
      </c>
      <c r="O7" s="1">
        <f>25.3+35</f>
        <v>60.3</v>
      </c>
    </row>
    <row r="8" spans="1:15" x14ac:dyDescent="0.3">
      <c r="A8">
        <v>7</v>
      </c>
      <c r="B8" s="1">
        <v>37</v>
      </c>
      <c r="C8" s="2">
        <v>2</v>
      </c>
      <c r="E8" s="2">
        <v>2</v>
      </c>
      <c r="G8" s="2">
        <v>2</v>
      </c>
      <c r="M8" s="2">
        <v>1</v>
      </c>
      <c r="O8" s="1">
        <v>185.05</v>
      </c>
    </row>
    <row r="9" spans="1:15" x14ac:dyDescent="0.3">
      <c r="A9">
        <v>8</v>
      </c>
      <c r="B9" s="1">
        <v>16</v>
      </c>
      <c r="C9" s="2">
        <v>2</v>
      </c>
      <c r="E9" s="2">
        <v>1</v>
      </c>
      <c r="M9" s="2">
        <v>1</v>
      </c>
      <c r="O9" s="1">
        <f>11+7.4</f>
        <v>18.399999999999999</v>
      </c>
    </row>
    <row r="10" spans="1:15" x14ac:dyDescent="0.3">
      <c r="A10">
        <v>9</v>
      </c>
      <c r="B10" s="1">
        <v>33</v>
      </c>
      <c r="C10" s="2">
        <v>1</v>
      </c>
      <c r="E10" s="2">
        <v>2</v>
      </c>
      <c r="M10" s="2">
        <v>1</v>
      </c>
      <c r="O10" s="1">
        <v>49</v>
      </c>
    </row>
    <row r="11" spans="1:15" x14ac:dyDescent="0.3">
      <c r="A11">
        <v>10</v>
      </c>
      <c r="B11" s="1">
        <v>13</v>
      </c>
      <c r="C11" s="2">
        <v>0.5</v>
      </c>
      <c r="E11" s="2">
        <v>2</v>
      </c>
      <c r="M11" s="2">
        <v>1</v>
      </c>
      <c r="O11" s="1">
        <f>12+39+31.5</f>
        <v>82.5</v>
      </c>
    </row>
    <row r="12" spans="1:15" x14ac:dyDescent="0.3">
      <c r="A12">
        <v>11</v>
      </c>
      <c r="B12" s="1">
        <v>11</v>
      </c>
      <c r="C12" s="2">
        <v>2</v>
      </c>
      <c r="E12" s="2">
        <v>2</v>
      </c>
      <c r="M12" s="2">
        <v>1</v>
      </c>
      <c r="O12" s="1">
        <v>138.94999999999999</v>
      </c>
    </row>
    <row r="13" spans="1:15" x14ac:dyDescent="0.3">
      <c r="A13">
        <v>12</v>
      </c>
      <c r="B13" s="1">
        <v>9</v>
      </c>
      <c r="C13" s="2">
        <v>2</v>
      </c>
      <c r="E13" s="2">
        <v>2</v>
      </c>
      <c r="M13" s="2">
        <v>1</v>
      </c>
      <c r="O13" s="1">
        <v>90.9</v>
      </c>
    </row>
    <row r="14" spans="1:15" x14ac:dyDescent="0.3">
      <c r="A14">
        <v>13</v>
      </c>
      <c r="B14" s="1">
        <v>25</v>
      </c>
      <c r="C14" s="2">
        <v>2</v>
      </c>
      <c r="E14" s="2">
        <v>2</v>
      </c>
      <c r="M14" s="2">
        <v>1</v>
      </c>
      <c r="O14" s="1">
        <f>66.5+13</f>
        <v>79.5</v>
      </c>
    </row>
    <row r="15" spans="1:15" x14ac:dyDescent="0.3">
      <c r="A15">
        <v>14</v>
      </c>
      <c r="B15" s="1">
        <v>29</v>
      </c>
      <c r="C15" s="2">
        <v>2</v>
      </c>
      <c r="E15" s="2">
        <v>1</v>
      </c>
      <c r="M15" s="2">
        <v>1</v>
      </c>
      <c r="O15" s="1">
        <f>25.12+16</f>
        <v>41.120000000000005</v>
      </c>
    </row>
    <row r="16" spans="1:15" x14ac:dyDescent="0.3">
      <c r="A16">
        <v>15</v>
      </c>
      <c r="B16" s="1">
        <v>36</v>
      </c>
      <c r="C16" s="2">
        <v>2</v>
      </c>
      <c r="E16" s="2">
        <v>2</v>
      </c>
      <c r="M16" s="2">
        <v>1</v>
      </c>
      <c r="O16" s="1">
        <f>17.1+25</f>
        <v>42.1</v>
      </c>
    </row>
    <row r="17" spans="1:15" x14ac:dyDescent="0.3">
      <c r="A17">
        <v>16</v>
      </c>
      <c r="C17" s="2">
        <v>2</v>
      </c>
      <c r="M17" s="2">
        <v>1</v>
      </c>
      <c r="O17" s="1">
        <v>5.6</v>
      </c>
    </row>
    <row r="18" spans="1:15" x14ac:dyDescent="0.3">
      <c r="A18">
        <v>17</v>
      </c>
      <c r="C18" s="2">
        <v>1</v>
      </c>
      <c r="M18" s="2">
        <v>1</v>
      </c>
      <c r="O18" s="1">
        <v>44</v>
      </c>
    </row>
    <row r="19" spans="1:15" x14ac:dyDescent="0.3">
      <c r="A19">
        <v>18</v>
      </c>
      <c r="C19" s="2">
        <v>2</v>
      </c>
      <c r="M19" s="2">
        <v>1</v>
      </c>
      <c r="O19" s="1">
        <v>81.430000000000007</v>
      </c>
    </row>
    <row r="20" spans="1:15" x14ac:dyDescent="0.3">
      <c r="A20">
        <v>19</v>
      </c>
      <c r="C20" s="2">
        <v>1</v>
      </c>
      <c r="M20" s="2">
        <v>1</v>
      </c>
      <c r="O20" s="1">
        <f>25+3+28</f>
        <v>56</v>
      </c>
    </row>
    <row r="21" spans="1:15" x14ac:dyDescent="0.3">
      <c r="A21">
        <v>20</v>
      </c>
      <c r="C21" s="2">
        <v>2</v>
      </c>
      <c r="O21" s="1">
        <f>13+24</f>
        <v>37</v>
      </c>
    </row>
    <row r="22" spans="1:15" x14ac:dyDescent="0.3">
      <c r="A22">
        <v>21</v>
      </c>
      <c r="C22" s="2">
        <v>1</v>
      </c>
      <c r="O22" s="1">
        <v>57.8</v>
      </c>
    </row>
    <row r="23" spans="1:15" x14ac:dyDescent="0.3">
      <c r="A23">
        <v>22</v>
      </c>
      <c r="C23" s="2">
        <v>1</v>
      </c>
      <c r="O23" s="1">
        <v>16</v>
      </c>
    </row>
    <row r="24" spans="1:15" x14ac:dyDescent="0.3">
      <c r="A24">
        <v>23</v>
      </c>
      <c r="C24" s="2">
        <v>1</v>
      </c>
      <c r="O24" s="1">
        <v>33</v>
      </c>
    </row>
    <row r="25" spans="1:15" x14ac:dyDescent="0.3">
      <c r="A25">
        <v>24</v>
      </c>
      <c r="C25" s="2">
        <v>2</v>
      </c>
      <c r="O25" s="1">
        <v>26</v>
      </c>
    </row>
    <row r="26" spans="1:15" x14ac:dyDescent="0.3">
      <c r="A26">
        <v>25</v>
      </c>
      <c r="C26" s="2">
        <v>1</v>
      </c>
      <c r="O26" s="1">
        <f>69.3+32</f>
        <v>101.3</v>
      </c>
    </row>
    <row r="27" spans="1:15" x14ac:dyDescent="0.3">
      <c r="A27">
        <v>26</v>
      </c>
      <c r="C27" s="2">
        <v>1</v>
      </c>
      <c r="O27" s="1">
        <v>11</v>
      </c>
    </row>
    <row r="28" spans="1:15" x14ac:dyDescent="0.3">
      <c r="A28">
        <v>27</v>
      </c>
      <c r="C28" s="2">
        <v>1</v>
      </c>
      <c r="O28" s="1">
        <v>9</v>
      </c>
    </row>
    <row r="29" spans="1:15" x14ac:dyDescent="0.3">
      <c r="A29">
        <v>28</v>
      </c>
      <c r="C29" s="2">
        <v>2</v>
      </c>
      <c r="O29" s="1">
        <f>66.68+69.8+25-28</f>
        <v>133.48000000000002</v>
      </c>
    </row>
    <row r="30" spans="1:15" x14ac:dyDescent="0.3">
      <c r="A30">
        <v>29</v>
      </c>
      <c r="C30" s="2">
        <v>2</v>
      </c>
      <c r="O30" s="1">
        <f>31+38+38+7+19+29.57+3.5+7.2+5</f>
        <v>178.26999999999998</v>
      </c>
    </row>
    <row r="31" spans="1:15" x14ac:dyDescent="0.3">
      <c r="A31">
        <v>30</v>
      </c>
      <c r="C31" s="2">
        <v>1</v>
      </c>
      <c r="O31" s="1">
        <v>26.7</v>
      </c>
    </row>
    <row r="32" spans="1:15" x14ac:dyDescent="0.3">
      <c r="A32">
        <v>31</v>
      </c>
      <c r="C32" s="2">
        <v>2</v>
      </c>
      <c r="O32" s="1">
        <f>21.8+6+22+58</f>
        <v>107.8</v>
      </c>
    </row>
    <row r="33" spans="1:15" x14ac:dyDescent="0.3">
      <c r="A33">
        <v>32</v>
      </c>
      <c r="C33" s="2">
        <v>2</v>
      </c>
      <c r="O33" s="1">
        <v>8.1999999999999993</v>
      </c>
    </row>
    <row r="34" spans="1:15" x14ac:dyDescent="0.3">
      <c r="A34">
        <v>33</v>
      </c>
      <c r="C34" s="2">
        <v>2</v>
      </c>
      <c r="O34" s="1">
        <v>85.6</v>
      </c>
    </row>
    <row r="35" spans="1:15" x14ac:dyDescent="0.3">
      <c r="A35">
        <v>34</v>
      </c>
      <c r="C35" s="2">
        <v>2</v>
      </c>
      <c r="O35" s="1">
        <f>18+7+18+2+11+3.6</f>
        <v>59.6</v>
      </c>
    </row>
    <row r="36" spans="1:15" x14ac:dyDescent="0.3">
      <c r="A36">
        <v>35</v>
      </c>
      <c r="C36" s="2">
        <v>2</v>
      </c>
      <c r="O36" s="1">
        <v>36.6</v>
      </c>
    </row>
    <row r="37" spans="1:15" x14ac:dyDescent="0.3">
      <c r="A37">
        <v>36</v>
      </c>
      <c r="C37" s="2">
        <v>2</v>
      </c>
      <c r="O37" s="1">
        <v>126.72</v>
      </c>
    </row>
    <row r="38" spans="1:15" x14ac:dyDescent="0.3">
      <c r="A38">
        <v>37</v>
      </c>
      <c r="C38" s="2">
        <v>2</v>
      </c>
      <c r="O38" s="3">
        <f>7.8+27+36+8.5+2.6</f>
        <v>81.899999999999991</v>
      </c>
    </row>
    <row r="39" spans="1:15" x14ac:dyDescent="0.3">
      <c r="A39">
        <v>38</v>
      </c>
      <c r="O39" s="1">
        <v>438</v>
      </c>
    </row>
    <row r="40" spans="1:15" x14ac:dyDescent="0.3">
      <c r="A40" t="s">
        <v>16</v>
      </c>
      <c r="B40">
        <f>SUM(B2:B38)</f>
        <v>355.5</v>
      </c>
      <c r="C40">
        <f t="shared" ref="C40:M40" si="0">SUM(C2:C38)</f>
        <v>61.5</v>
      </c>
      <c r="D40">
        <f t="shared" si="0"/>
        <v>0</v>
      </c>
      <c r="E40">
        <f t="shared" si="0"/>
        <v>28</v>
      </c>
      <c r="F40">
        <f t="shared" si="0"/>
        <v>0</v>
      </c>
      <c r="G40">
        <f t="shared" si="0"/>
        <v>11</v>
      </c>
      <c r="H40">
        <f t="shared" si="0"/>
        <v>0</v>
      </c>
      <c r="I40">
        <f t="shared" si="0"/>
        <v>1</v>
      </c>
      <c r="J40">
        <f t="shared" si="0"/>
        <v>112.5</v>
      </c>
      <c r="K40">
        <f t="shared" si="0"/>
        <v>3</v>
      </c>
      <c r="L40">
        <f t="shared" si="0"/>
        <v>34</v>
      </c>
      <c r="M40">
        <f t="shared" si="0"/>
        <v>19</v>
      </c>
      <c r="O40" s="4">
        <f>SUM(O1:O38)</f>
        <v>2548.9799999999996</v>
      </c>
    </row>
    <row r="42" spans="1:15" x14ac:dyDescent="0.3">
      <c r="A42" t="s">
        <v>36</v>
      </c>
      <c r="B42">
        <f>C40+E40+G40+I40+K40+M40</f>
        <v>123.5</v>
      </c>
    </row>
    <row r="43" spans="1:15" x14ac:dyDescent="0.3">
      <c r="A43" t="s">
        <v>37</v>
      </c>
      <c r="B43">
        <f>B40+J40+L40</f>
        <v>502</v>
      </c>
    </row>
    <row r="44" spans="1:15" x14ac:dyDescent="0.3">
      <c r="A44" t="s">
        <v>38</v>
      </c>
      <c r="B44">
        <f>2548.98-502</f>
        <v>2046.98</v>
      </c>
      <c r="C44" t="s">
        <v>39</v>
      </c>
      <c r="D44">
        <f>355.5+2046.98*61.5/123.5</f>
        <v>1374.8463157894737</v>
      </c>
      <c r="E44" t="s">
        <v>40</v>
      </c>
      <c r="F44">
        <f>2046.98*28/123.5</f>
        <v>464.09263157894736</v>
      </c>
      <c r="G44" t="s">
        <v>41</v>
      </c>
      <c r="H44">
        <f>11/123.5*2548.98</f>
        <v>227.03465587044533</v>
      </c>
      <c r="I44" t="s">
        <v>42</v>
      </c>
      <c r="J44">
        <f>34+2046.98*19/123.5</f>
        <v>348.92</v>
      </c>
      <c r="K44" t="s">
        <v>43</v>
      </c>
      <c r="L44">
        <f>1/123.5*2046.98</f>
        <v>16.574736842105263</v>
      </c>
      <c r="M44" t="s">
        <v>44</v>
      </c>
      <c r="N44">
        <f>112.5+3/123.5*2046.98</f>
        <v>162.2242105263158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B2" sqref="B2"/>
    </sheetView>
  </sheetViews>
  <sheetFormatPr defaultRowHeight="14" x14ac:dyDescent="0.3"/>
  <cols>
    <col min="1" max="1" width="32.83203125" bestFit="1" customWidth="1"/>
  </cols>
  <sheetData>
    <row r="1" spans="1:7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20170423处理</vt:lpstr>
      <vt:lpstr>草稿</vt:lpstr>
      <vt:lpstr>阶段公共消费表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2017-04-24T06:36:51Z</dcterms:modified>
</cp:coreProperties>
</file>