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g\Documents\SHMTU-Automation-Resources\物理实验\"/>
    </mc:Choice>
  </mc:AlternateContent>
  <xr:revisionPtr revIDLastSave="0" documentId="13_ncr:1_{BD4EB692-07AC-4582-A757-066717DFDCFD}" xr6:coauthVersionLast="47" xr6:coauthVersionMax="47" xr10:uidLastSave="{00000000-0000-0000-0000-000000000000}"/>
  <bookViews>
    <workbookView xWindow="-110" yWindow="-110" windowWidth="19420" windowHeight="12300" xr2:uid="{289B0313-6EC0-446F-8799-597BA1CF6533}"/>
  </bookViews>
  <sheets>
    <sheet name="使用方法介绍" sheetId="6" r:id="rId1"/>
    <sheet name="长度的测量" sheetId="3" r:id="rId2"/>
    <sheet name="单摆测重力加速度" sheetId="1" r:id="rId3"/>
    <sheet name="三线摆测物体的转动惯量" sheetId="2" r:id="rId4"/>
    <sheet name="光栅测定光波波长" sheetId="5" r:id="rId5"/>
    <sheet name="数字示波器的使用" sheetId="4" r:id="rId6"/>
    <sheet name="等厚干涉" sheetId="7" r:id="rId7"/>
    <sheet name="仿真" sheetId="8" r:id="rId8"/>
    <sheet name="光伏电池" sheetId="9" r:id="rId9"/>
    <sheet name="RLC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0" i="10" l="1"/>
  <c r="J49" i="10"/>
  <c r="L50" i="10"/>
  <c r="L49" i="10"/>
  <c r="G50" i="10"/>
  <c r="G49" i="10"/>
  <c r="K50" i="10"/>
  <c r="K49" i="10"/>
  <c r="I50" i="10"/>
  <c r="I49" i="10"/>
  <c r="F50" i="10"/>
  <c r="F49" i="10"/>
  <c r="E50" i="10" a="1"/>
  <c r="E50" i="10" s="1"/>
  <c r="D50" i="10" a="1"/>
  <c r="D50" i="10" s="1"/>
  <c r="E49" i="10" a="1"/>
  <c r="E49" i="10" s="1"/>
  <c r="D49" i="10" a="1"/>
  <c r="D49" i="10" s="1"/>
  <c r="C50" i="10"/>
  <c r="C49" i="10"/>
  <c r="H50" i="10"/>
  <c r="H49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5" i="10"/>
  <c r="F21" i="9"/>
  <c r="F19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S5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S4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S3" i="9"/>
  <c r="B18" i="7"/>
  <c r="B16" i="7"/>
  <c r="F13" i="7"/>
  <c r="F14" i="7"/>
  <c r="F12" i="7"/>
  <c r="E12" i="7"/>
  <c r="E13" i="7"/>
  <c r="E14" i="7"/>
  <c r="D13" i="7"/>
  <c r="D14" i="7"/>
  <c r="D12" i="7"/>
  <c r="C13" i="7"/>
  <c r="C14" i="7"/>
  <c r="C12" i="7"/>
  <c r="F4" i="7"/>
  <c r="E5" i="7"/>
  <c r="F6" i="7"/>
  <c r="E7" i="7"/>
  <c r="E3" i="7"/>
  <c r="D8" i="7"/>
  <c r="D4" i="7"/>
  <c r="D5" i="7"/>
  <c r="D6" i="7"/>
  <c r="D7" i="7"/>
  <c r="D3" i="7"/>
  <c r="K27" i="5"/>
  <c r="K26" i="5"/>
  <c r="K25" i="5"/>
  <c r="K24" i="5"/>
  <c r="K23" i="5"/>
  <c r="K22" i="5"/>
  <c r="K21" i="5"/>
  <c r="K20" i="5"/>
  <c r="K19" i="5"/>
  <c r="J20" i="5"/>
  <c r="J21" i="5"/>
  <c r="J22" i="5"/>
  <c r="J23" i="5"/>
  <c r="J24" i="5"/>
  <c r="J25" i="5"/>
  <c r="J26" i="5"/>
  <c r="J27" i="5"/>
  <c r="J19" i="5"/>
  <c r="I27" i="5"/>
  <c r="I26" i="5"/>
  <c r="I25" i="5"/>
  <c r="I24" i="5"/>
  <c r="I23" i="5"/>
  <c r="I22" i="5"/>
  <c r="I21" i="5"/>
  <c r="I20" i="5"/>
  <c r="I19" i="5"/>
  <c r="H20" i="5"/>
  <c r="H21" i="5"/>
  <c r="H22" i="5"/>
  <c r="H23" i="5"/>
  <c r="H24" i="5"/>
  <c r="H25" i="5"/>
  <c r="H26" i="5"/>
  <c r="H19" i="5"/>
  <c r="D20" i="5"/>
  <c r="D21" i="5"/>
  <c r="D22" i="5"/>
  <c r="D23" i="5"/>
  <c r="D24" i="5"/>
  <c r="D25" i="5"/>
  <c r="D26" i="5"/>
  <c r="D27" i="5"/>
  <c r="D19" i="5"/>
  <c r="C20" i="5"/>
  <c r="C21" i="5"/>
  <c r="C22" i="5"/>
  <c r="C23" i="5"/>
  <c r="C24" i="5"/>
  <c r="C25" i="5"/>
  <c r="C26" i="5"/>
  <c r="C27" i="5"/>
  <c r="C19" i="5"/>
  <c r="K2" i="5"/>
  <c r="K3" i="5"/>
  <c r="D4" i="4"/>
  <c r="D5" i="4" s="1"/>
  <c r="C4" i="4"/>
  <c r="C5" i="4" s="1"/>
  <c r="D7" i="4"/>
  <c r="C7" i="4"/>
  <c r="C8" i="4" s="1"/>
  <c r="B7" i="4"/>
  <c r="B4" i="4"/>
  <c r="B5" i="4" s="1"/>
  <c r="D8" i="4"/>
  <c r="B8" i="4"/>
  <c r="D19" i="1"/>
  <c r="B19" i="1"/>
  <c r="C19" i="1"/>
  <c r="H4" i="1"/>
  <c r="H3" i="1"/>
  <c r="B27" i="3"/>
  <c r="J11" i="3" s="1"/>
  <c r="B26" i="3"/>
  <c r="J10" i="3" s="1"/>
  <c r="B25" i="3"/>
  <c r="J9" i="3" s="1"/>
  <c r="O9" i="3" s="1"/>
  <c r="B23" i="3"/>
  <c r="J7" i="3" s="1"/>
  <c r="M7" i="3" s="1"/>
  <c r="B24" i="3"/>
  <c r="J8" i="3" s="1"/>
  <c r="B22" i="3"/>
  <c r="J6" i="3" s="1"/>
  <c r="M6" i="3" s="1"/>
  <c r="B21" i="3"/>
  <c r="J5" i="3" s="1"/>
  <c r="B20" i="3"/>
  <c r="J4" i="3" s="1"/>
  <c r="O4" i="3" s="1"/>
  <c r="B19" i="3"/>
  <c r="J3" i="3" s="1"/>
  <c r="I18" i="2"/>
  <c r="C27" i="2" s="1"/>
  <c r="I19" i="2"/>
  <c r="I20" i="2"/>
  <c r="I21" i="2"/>
  <c r="I22" i="2"/>
  <c r="I23" i="2"/>
  <c r="D30" i="2" s="1"/>
  <c r="I24" i="2"/>
  <c r="D32" i="2" s="1"/>
  <c r="I17" i="2"/>
  <c r="C26" i="2" s="1"/>
  <c r="D13" i="2"/>
  <c r="D14" i="2" s="1"/>
  <c r="E13" i="2"/>
  <c r="E14" i="2" s="1"/>
  <c r="C13" i="2"/>
  <c r="C14" i="2" s="1"/>
  <c r="C17" i="1"/>
  <c r="C18" i="1" s="1"/>
  <c r="D17" i="1"/>
  <c r="B17" i="1"/>
  <c r="B6" i="1"/>
  <c r="F27" i="5" l="1"/>
  <c r="E23" i="5"/>
  <c r="E26" i="5"/>
  <c r="F22" i="5"/>
  <c r="F25" i="5"/>
  <c r="E21" i="5"/>
  <c r="E24" i="5"/>
  <c r="E27" i="5"/>
  <c r="G27" i="5" s="1"/>
  <c r="H27" i="5" s="1"/>
  <c r="F21" i="5"/>
  <c r="F24" i="5"/>
  <c r="F26" i="5"/>
  <c r="G26" i="5" s="1"/>
  <c r="E19" i="5"/>
  <c r="E20" i="5"/>
  <c r="E22" i="5"/>
  <c r="G22" i="5" s="1"/>
  <c r="E25" i="5"/>
  <c r="G25" i="5" s="1"/>
  <c r="F19" i="5"/>
  <c r="F20" i="5"/>
  <c r="F23" i="5"/>
  <c r="C31" i="2"/>
  <c r="E31" i="2" s="1"/>
  <c r="C30" i="2"/>
  <c r="C32" i="2" s="1"/>
  <c r="L10" i="3"/>
  <c r="N10" i="3"/>
  <c r="M10" i="3"/>
  <c r="O10" i="3"/>
  <c r="L11" i="3"/>
  <c r="N11" i="3"/>
  <c r="M11" i="3"/>
  <c r="O11" i="3"/>
  <c r="D31" i="2"/>
  <c r="B18" i="1"/>
  <c r="D18" i="1"/>
  <c r="K5" i="3"/>
  <c r="N5" i="3"/>
  <c r="L5" i="3"/>
  <c r="N4" i="3"/>
  <c r="L4" i="3"/>
  <c r="C20" i="3" s="1"/>
  <c r="E20" i="3" s="1"/>
  <c r="F20" i="3" s="1"/>
  <c r="G20" i="3" s="1"/>
  <c r="K11" i="3"/>
  <c r="C27" i="3" s="1"/>
  <c r="E27" i="3" s="1"/>
  <c r="F27" i="3" s="1"/>
  <c r="G27" i="3" s="1"/>
  <c r="K10" i="3"/>
  <c r="C26" i="3" s="1"/>
  <c r="E26" i="3" s="1"/>
  <c r="F26" i="3" s="1"/>
  <c r="G26" i="3" s="1"/>
  <c r="N9" i="3"/>
  <c r="K9" i="3"/>
  <c r="L9" i="3"/>
  <c r="M9" i="3"/>
  <c r="N7" i="3"/>
  <c r="K7" i="3"/>
  <c r="L7" i="3"/>
  <c r="O7" i="3"/>
  <c r="C23" i="3" s="1"/>
  <c r="E23" i="3" s="1"/>
  <c r="F23" i="3" s="1"/>
  <c r="G23" i="3" s="1"/>
  <c r="M8" i="3"/>
  <c r="L8" i="3"/>
  <c r="K8" i="3"/>
  <c r="O8" i="3"/>
  <c r="N8" i="3"/>
  <c r="K6" i="3"/>
  <c r="L6" i="3"/>
  <c r="N6" i="3"/>
  <c r="O6" i="3"/>
  <c r="C22" i="3" s="1"/>
  <c r="E22" i="3" s="1"/>
  <c r="F22" i="3" s="1"/>
  <c r="G22" i="3" s="1"/>
  <c r="M5" i="3"/>
  <c r="O5" i="3"/>
  <c r="C21" i="3" s="1"/>
  <c r="E21" i="3" s="1"/>
  <c r="F21" i="3" s="1"/>
  <c r="G21" i="3" s="1"/>
  <c r="M4" i="3"/>
  <c r="K4" i="3"/>
  <c r="K3" i="3"/>
  <c r="L3" i="3"/>
  <c r="N3" i="3"/>
  <c r="M3" i="3"/>
  <c r="O3" i="3"/>
  <c r="E30" i="2" l="1"/>
  <c r="G23" i="5"/>
  <c r="G24" i="5"/>
  <c r="G19" i="5"/>
  <c r="G21" i="5"/>
  <c r="G20" i="5"/>
  <c r="E32" i="2"/>
  <c r="C24" i="3"/>
  <c r="E24" i="3" s="1"/>
  <c r="F24" i="3" s="1"/>
  <c r="G24" i="3" s="1"/>
  <c r="C25" i="3"/>
  <c r="E25" i="3" s="1"/>
  <c r="F25" i="3" s="1"/>
  <c r="G25" i="3" s="1"/>
  <c r="C19" i="3"/>
  <c r="E19" i="3" s="1"/>
  <c r="F19" i="3" s="1"/>
  <c r="G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<sst xmlns="http://schemas.openxmlformats.org/spreadsheetml/2006/main" count="265" uniqueCount="200">
  <si>
    <t>l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</si>
  <si>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</si>
  <si>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</si>
  <si>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</si>
  <si>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2x</t>
    <phoneticPr fontId="1" type="noConversion"/>
  </si>
  <si>
    <t>H0</t>
    <phoneticPr fontId="1" type="noConversion"/>
  </si>
  <si>
    <t>2Rx</t>
    <phoneticPr fontId="1" type="noConversion"/>
  </si>
  <si>
    <t>b</t>
    <phoneticPr fontId="1" type="noConversion"/>
  </si>
  <si>
    <t>原始数据重新整理</t>
    <phoneticPr fontId="1" type="noConversion"/>
  </si>
  <si>
    <t>c</t>
    <phoneticPr fontId="1" type="noConversion"/>
  </si>
  <si>
    <t>h</t>
    <phoneticPr fontId="1" type="noConversion"/>
  </si>
  <si>
    <t>外径D1</t>
    <phoneticPr fontId="1" type="noConversion"/>
  </si>
  <si>
    <t>内径D2</t>
    <phoneticPr fontId="1" type="noConversion"/>
  </si>
  <si>
    <t>高H</t>
    <phoneticPr fontId="1" type="noConversion"/>
  </si>
  <si>
    <t>外径千分尺初读数：</t>
    <phoneticPr fontId="1" type="noConversion"/>
  </si>
  <si>
    <t>游标卡尺初读数：</t>
    <phoneticPr fontId="1" type="noConversion"/>
  </si>
  <si>
    <t>米尺初读数：</t>
    <phoneticPr fontId="1" type="noConversion"/>
  </si>
  <si>
    <t>直接不确定度评定</t>
    <phoneticPr fontId="1" type="noConversion"/>
  </si>
  <si>
    <r>
      <t>x</t>
    </r>
    <r>
      <rPr>
        <sz val="11"/>
        <color theme="1"/>
        <rFont val="Tahoma"/>
        <family val="2"/>
      </rPr>
      <t>̄</t>
    </r>
    <phoneticPr fontId="1" type="noConversion"/>
  </si>
  <si>
    <t>uA</t>
    <phoneticPr fontId="1" type="noConversion"/>
  </si>
  <si>
    <t>uB</t>
    <phoneticPr fontId="1" type="noConversion"/>
  </si>
  <si>
    <t>uC</t>
    <phoneticPr fontId="1" type="noConversion"/>
  </si>
  <si>
    <t>U</t>
    <phoneticPr fontId="1" type="noConversion"/>
  </si>
  <si>
    <t>平均</t>
    <phoneticPr fontId="1" type="noConversion"/>
  </si>
  <si>
    <t>摆长l：</t>
    <phoneticPr fontId="1" type="noConversion"/>
  </si>
  <si>
    <t>次数</t>
    <phoneticPr fontId="1" type="noConversion"/>
  </si>
  <si>
    <t>摆角/次数</t>
    <phoneticPr fontId="1" type="noConversion"/>
  </si>
  <si>
    <t>θ&lt;5˚</t>
    <phoneticPr fontId="1" type="noConversion"/>
  </si>
  <si>
    <r>
      <t>5</t>
    </r>
    <r>
      <rPr>
        <sz val="11"/>
        <color theme="1"/>
        <rFont val="等线"/>
        <family val="3"/>
        <charset val="134"/>
        <scheme val="minor"/>
      </rPr>
      <t>˚&lt;θ&lt;10˚</t>
    </r>
    <phoneticPr fontId="1" type="noConversion"/>
  </si>
  <si>
    <t>10˚&lt;θ&lt;15˚</t>
    <phoneticPr fontId="1" type="noConversion"/>
  </si>
  <si>
    <t>g测</t>
    <phoneticPr fontId="1" type="noConversion"/>
  </si>
  <si>
    <t>Eg</t>
    <phoneticPr fontId="1" type="noConversion"/>
  </si>
  <si>
    <t>g理：</t>
    <phoneticPr fontId="1" type="noConversion"/>
  </si>
  <si>
    <t>实验数据记录</t>
    <phoneticPr fontId="1" type="noConversion"/>
  </si>
  <si>
    <t>下盘质量m0</t>
    <phoneticPr fontId="1" type="noConversion"/>
  </si>
  <si>
    <t>待测圆环质量m</t>
    <phoneticPr fontId="1" type="noConversion"/>
  </si>
  <si>
    <t>圆柱体质量m'</t>
    <phoneticPr fontId="1" type="noConversion"/>
  </si>
  <si>
    <t>摆动60次所需时间单位（秒）</t>
    <phoneticPr fontId="1" type="noConversion"/>
  </si>
  <si>
    <t>下盘+两圆柱</t>
    <phoneticPr fontId="1" type="noConversion"/>
  </si>
  <si>
    <t>下盘+单圆环</t>
    <phoneticPr fontId="1" type="noConversion"/>
  </si>
  <si>
    <t>T</t>
    <phoneticPr fontId="1" type="noConversion"/>
  </si>
  <si>
    <t>周期</t>
    <phoneticPr fontId="1" type="noConversion"/>
  </si>
  <si>
    <t>2R外</t>
    <phoneticPr fontId="1" type="noConversion"/>
  </si>
  <si>
    <t>2R内</t>
    <phoneticPr fontId="1" type="noConversion"/>
  </si>
  <si>
    <t>2R盘</t>
    <phoneticPr fontId="1" type="noConversion"/>
  </si>
  <si>
    <t>圆盘</t>
    <phoneticPr fontId="1" type="noConversion"/>
  </si>
  <si>
    <t>圆环</t>
    <phoneticPr fontId="1" type="noConversion"/>
  </si>
  <si>
    <t>两圆柱</t>
    <phoneticPr fontId="1" type="noConversion"/>
  </si>
  <si>
    <t>r=</t>
    <phoneticPr fontId="1" type="noConversion"/>
  </si>
  <si>
    <t>R=</t>
    <phoneticPr fontId="1" type="noConversion"/>
  </si>
  <si>
    <t>转动惯量实验值</t>
    <phoneticPr fontId="1" type="noConversion"/>
  </si>
  <si>
    <t>转动惯量理论值</t>
    <phoneticPr fontId="1" type="noConversion"/>
  </si>
  <si>
    <t>不确定度E</t>
    <phoneticPr fontId="1" type="noConversion"/>
  </si>
  <si>
    <t>下盘</t>
    <phoneticPr fontId="1" type="noConversion"/>
  </si>
  <si>
    <t>待测信号的波形</t>
    <phoneticPr fontId="1" type="noConversion"/>
  </si>
  <si>
    <t>正弦波</t>
    <phoneticPr fontId="1" type="noConversion"/>
  </si>
  <si>
    <t>三角波</t>
    <phoneticPr fontId="1" type="noConversion"/>
  </si>
  <si>
    <t>方波</t>
    <phoneticPr fontId="1" type="noConversion"/>
  </si>
  <si>
    <t>V/div 挡级</t>
    <phoneticPr fontId="1" type="noConversion"/>
  </si>
  <si>
    <t>H(div)</t>
    <phoneticPr fontId="1" type="noConversion"/>
  </si>
  <si>
    <t>Up-p(V)</t>
    <phoneticPr fontId="1" type="noConversion"/>
  </si>
  <si>
    <t>ms/div 挡级</t>
    <phoneticPr fontId="1" type="noConversion"/>
  </si>
  <si>
    <t>L(div)</t>
    <phoneticPr fontId="1" type="noConversion"/>
  </si>
  <si>
    <t>周期T(ms)</t>
    <phoneticPr fontId="1" type="noConversion"/>
  </si>
  <si>
    <r>
      <t>水平</t>
    </r>
    <r>
      <rPr>
        <sz val="11"/>
        <color theme="1"/>
        <rFont val="等线"/>
        <family val="3"/>
        <charset val="134"/>
      </rPr>
      <t>Δ</t>
    </r>
    <r>
      <rPr>
        <sz val="11"/>
        <color theme="1"/>
        <rFont val="等线"/>
        <family val="2"/>
        <charset val="134"/>
        <scheme val="minor"/>
      </rPr>
      <t>X(T)</t>
    </r>
    <phoneticPr fontId="1" type="noConversion"/>
  </si>
  <si>
    <t>频率f(Hz)(1/ΔX)</t>
    <phoneticPr fontId="1" type="noConversion"/>
  </si>
  <si>
    <t>垂直ΔY</t>
    <phoneticPr fontId="1" type="noConversion"/>
  </si>
  <si>
    <t>fx:fy</t>
    <phoneticPr fontId="1" type="noConversion"/>
  </si>
  <si>
    <t>nx</t>
    <phoneticPr fontId="1" type="noConversion"/>
  </si>
  <si>
    <t>ny</t>
    <phoneticPr fontId="1" type="noConversion"/>
  </si>
  <si>
    <t>fx(KHz)</t>
    <phoneticPr fontId="1" type="noConversion"/>
  </si>
  <si>
    <t>1:1</t>
    <phoneticPr fontId="1" type="noConversion"/>
  </si>
  <si>
    <t>2:1</t>
    <phoneticPr fontId="1" type="noConversion"/>
  </si>
  <si>
    <t>3:1</t>
    <phoneticPr fontId="1" type="noConversion"/>
  </si>
  <si>
    <r>
      <t>实验值T</t>
    </r>
    <r>
      <rPr>
        <sz val="11"/>
        <color theme="1"/>
        <rFont val="等线"/>
        <family val="3"/>
        <charset val="134"/>
      </rPr>
      <t>¯</t>
    </r>
    <r>
      <rPr>
        <sz val="11"/>
        <color theme="1"/>
        <rFont val="等线"/>
        <family val="3"/>
        <charset val="134"/>
        <scheme val="minor"/>
      </rPr>
      <t>/s</t>
    </r>
    <phoneticPr fontId="1" type="noConversion"/>
  </si>
  <si>
    <t>中央明纹的位置角φ0=</t>
    <phoneticPr fontId="1" type="noConversion"/>
  </si>
  <si>
    <t>光栅常数a+b=</t>
    <phoneticPr fontId="1" type="noConversion"/>
  </si>
  <si>
    <t>条纹级数</t>
    <phoneticPr fontId="1" type="noConversion"/>
  </si>
  <si>
    <t>谱级</t>
    <phoneticPr fontId="1" type="noConversion"/>
  </si>
  <si>
    <t>该级明条纹位置角φ</t>
    <phoneticPr fontId="1" type="noConversion"/>
  </si>
  <si>
    <t>φk=|φ-φ0|</t>
    <phoneticPr fontId="1" type="noConversion"/>
  </si>
  <si>
    <t>平均值φk</t>
    <phoneticPr fontId="1" type="noConversion"/>
  </si>
  <si>
    <t>左</t>
    <phoneticPr fontId="1" type="noConversion"/>
  </si>
  <si>
    <t>右</t>
    <phoneticPr fontId="1" type="noConversion"/>
  </si>
  <si>
    <t>紫</t>
    <phoneticPr fontId="1" type="noConversion"/>
  </si>
  <si>
    <t>绿</t>
    <phoneticPr fontId="1" type="noConversion"/>
  </si>
  <si>
    <t>黄</t>
    <phoneticPr fontId="1" type="noConversion"/>
  </si>
  <si>
    <t>sinφk</t>
    <phoneticPr fontId="1" type="noConversion"/>
  </si>
  <si>
    <t>λ平均值(m)</t>
    <phoneticPr fontId="1" type="noConversion"/>
  </si>
  <si>
    <r>
      <t>λ平均值(</t>
    </r>
    <r>
      <rPr>
        <sz val="11"/>
        <color theme="1"/>
        <rFont val="等线"/>
        <family val="3"/>
        <charset val="134"/>
      </rPr>
      <t>Å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</si>
  <si>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267.2500</t>
    <phoneticPr fontId="1" type="noConversion"/>
  </si>
  <si>
    <t>274.5000</t>
    <phoneticPr fontId="1" type="noConversion"/>
  </si>
  <si>
    <t>259.5300</t>
    <phoneticPr fontId="1" type="noConversion"/>
  </si>
  <si>
    <t>277.0500</t>
    <phoneticPr fontId="1" type="noConversion"/>
  </si>
  <si>
    <t>257.5600</t>
    <phoneticPr fontId="1" type="noConversion"/>
  </si>
  <si>
    <t>277.1800</t>
    <phoneticPr fontId="1" type="noConversion"/>
  </si>
  <si>
    <t>257.2100</t>
    <phoneticPr fontId="1" type="noConversion"/>
  </si>
  <si>
    <t>282.3000</t>
    <phoneticPr fontId="1" type="noConversion"/>
  </si>
  <si>
    <t>286.2000</t>
    <phoneticPr fontId="1" type="noConversion"/>
  </si>
  <si>
    <t>287.3000</t>
    <phoneticPr fontId="1" type="noConversion"/>
  </si>
  <si>
    <t>290.1400</t>
    <phoneticPr fontId="1" type="noConversion"/>
  </si>
  <si>
    <t>296.2800</t>
    <phoneticPr fontId="1" type="noConversion"/>
  </si>
  <si>
    <t>237.4100</t>
    <phoneticPr fontId="1" type="noConversion"/>
  </si>
  <si>
    <t>298.1300</t>
    <phoneticPr fontId="1" type="noConversion"/>
  </si>
  <si>
    <t>252.1000</t>
    <phoneticPr fontId="1" type="noConversion"/>
  </si>
  <si>
    <t>248.0900</t>
    <phoneticPr fontId="1" type="noConversion"/>
  </si>
  <si>
    <t>247.0000</t>
    <phoneticPr fontId="1" type="noConversion"/>
  </si>
  <si>
    <t>244.0800</t>
    <phoneticPr fontId="1" type="noConversion"/>
  </si>
  <si>
    <t>235.4300</t>
    <phoneticPr fontId="1" type="noConversion"/>
  </si>
  <si>
    <t>角度输入方法：xxx.xxxx 如10°10‘10’‘则输入为010.1010</t>
    <phoneticPr fontId="1" type="noConversion"/>
  </si>
  <si>
    <t>使用方法：</t>
    <phoneticPr fontId="1" type="noConversion"/>
  </si>
  <si>
    <t>虚线外如有数字内容等请勿删除</t>
    <phoneticPr fontId="1" type="noConversion"/>
  </si>
  <si>
    <t>目录</t>
    <phoneticPr fontId="1" type="noConversion"/>
  </si>
  <si>
    <t>长度的测量</t>
    <phoneticPr fontId="1" type="noConversion"/>
  </si>
  <si>
    <t>数字示波器的使用</t>
  </si>
  <si>
    <t>光栅测定光波波长</t>
  </si>
  <si>
    <t>三线摆测物体的转动惯量</t>
  </si>
  <si>
    <t>单摆测重力加速度</t>
  </si>
  <si>
    <t>此颜色（蓝色）色块为输入框，请在此框内输入内容</t>
    <phoneticPr fontId="1" type="noConversion"/>
  </si>
  <si>
    <t>此颜色（橙色）色块为计算框，请勿更改此框内容</t>
    <phoneticPr fontId="1" type="noConversion"/>
  </si>
  <si>
    <t>------</t>
    <phoneticPr fontId="1" type="noConversion"/>
  </si>
  <si>
    <t>蓝色框中默认数据仅供参考</t>
    <phoneticPr fontId="1" type="noConversion"/>
  </si>
  <si>
    <t>干涉条纹圈数</t>
    <phoneticPr fontId="1" type="noConversion"/>
  </si>
  <si>
    <t>m-n</t>
    <phoneticPr fontId="1" type="noConversion"/>
  </si>
  <si>
    <t>30-15</t>
    <phoneticPr fontId="1" type="noConversion"/>
  </si>
  <si>
    <t>25-10</t>
    <phoneticPr fontId="1" type="noConversion"/>
  </si>
  <si>
    <t>20-5</t>
    <phoneticPr fontId="1" type="noConversion"/>
  </si>
  <si>
    <t>R实均=</t>
    <phoneticPr fontId="1" type="noConversion"/>
  </si>
  <si>
    <t>E=</t>
    <phoneticPr fontId="1" type="noConversion"/>
  </si>
  <si>
    <t>R公=</t>
    <phoneticPr fontId="1" type="noConversion"/>
  </si>
  <si>
    <t>左侧(mm)</t>
    <phoneticPr fontId="1" type="noConversion"/>
  </si>
  <si>
    <t>右侧(mm)</t>
    <phoneticPr fontId="1" type="noConversion"/>
  </si>
  <si>
    <t>直径(mm)</t>
    <phoneticPr fontId="1" type="noConversion"/>
  </si>
  <si>
    <t>直径差(mm)</t>
    <phoneticPr fontId="1" type="noConversion"/>
  </si>
  <si>
    <t>λ钠(mm)</t>
    <phoneticPr fontId="1" type="noConversion"/>
  </si>
  <si>
    <t>dm-dn(mm)</t>
    <phoneticPr fontId="1" type="noConversion"/>
  </si>
  <si>
    <t>dm+dn(mm)</t>
    <phoneticPr fontId="1" type="noConversion"/>
  </si>
  <si>
    <t>m-n(mm)</t>
    <phoneticPr fontId="1" type="noConversion"/>
  </si>
  <si>
    <t>R实(m)</t>
    <phoneticPr fontId="1" type="noConversion"/>
  </si>
  <si>
    <t>等厚干涉</t>
    <phoneticPr fontId="1" type="noConversion"/>
  </si>
  <si>
    <t>光名称</t>
    <phoneticPr fontId="1" type="noConversion"/>
  </si>
  <si>
    <t>自然光</t>
    <phoneticPr fontId="1" type="noConversion"/>
  </si>
  <si>
    <t>线偏振光</t>
    <phoneticPr fontId="1" type="noConversion"/>
  </si>
  <si>
    <t>椭圆偏振光</t>
    <phoneticPr fontId="1" type="noConversion"/>
  </si>
  <si>
    <t>圆偏振光</t>
    <phoneticPr fontId="1" type="noConversion"/>
  </si>
  <si>
    <t>部分偏振光</t>
    <phoneticPr fontId="1" type="noConversion"/>
  </si>
  <si>
    <t>光强变化</t>
    <phoneticPr fontId="1" type="noConversion"/>
  </si>
  <si>
    <t>消光</t>
    <phoneticPr fontId="1" type="noConversion"/>
  </si>
  <si>
    <t>无</t>
    <phoneticPr fontId="1" type="noConversion"/>
  </si>
  <si>
    <t>有</t>
    <phoneticPr fontId="1" type="noConversion"/>
  </si>
  <si>
    <t>光强最强时的角度</t>
    <phoneticPr fontId="1" type="noConversion"/>
  </si>
  <si>
    <t>消光时的角度</t>
    <phoneticPr fontId="1" type="noConversion"/>
  </si>
  <si>
    <t>0°/180°</t>
    <phoneticPr fontId="1" type="noConversion"/>
  </si>
  <si>
    <t>90°/270°</t>
    <phoneticPr fontId="1" type="noConversion"/>
  </si>
  <si>
    <t>波晶片C的旋角</t>
    <phoneticPr fontId="1" type="noConversion"/>
  </si>
  <si>
    <t>转动偏振片B观察现象</t>
    <phoneticPr fontId="1" type="noConversion"/>
  </si>
  <si>
    <t>通过C后光的偏振态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</si>
  <si>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</si>
  <si>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</si>
  <si>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</si>
  <si>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G</t>
    <phoneticPr fontId="1" type="noConversion"/>
  </si>
  <si>
    <t>F</t>
    <phoneticPr fontId="1" type="noConversion"/>
  </si>
  <si>
    <t>λ/2波片的轴与偏振片A的方向的夹角θ</t>
    <phoneticPr fontId="1" type="noConversion"/>
  </si>
  <si>
    <t>转动偏振片B到消光θ‘</t>
    <phoneticPr fontId="1" type="noConversion"/>
  </si>
  <si>
    <t>线偏振光经过λ/2波片后振动方向旋转的角度</t>
    <phoneticPr fontId="1" type="noConversion"/>
  </si>
  <si>
    <t>位置(cm)</t>
    <phoneticPr fontId="1" type="noConversion"/>
  </si>
  <si>
    <t>P(mW)</t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</si>
  <si>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oc</t>
    </r>
    <r>
      <rPr>
        <sz val="11"/>
        <color theme="1"/>
        <rFont val="等线"/>
        <family val="3"/>
        <charset val="134"/>
        <scheme val="minor"/>
      </rPr>
      <t>(V)</t>
    </r>
    <phoneticPr fontId="1" type="noConversion"/>
  </si>
  <si>
    <r>
      <t>I</t>
    </r>
    <r>
      <rPr>
        <sz val="6"/>
        <color theme="1"/>
        <rFont val="等线"/>
        <family val="3"/>
        <charset val="134"/>
        <scheme val="minor"/>
      </rPr>
      <t>sc</t>
    </r>
    <r>
      <rPr>
        <sz val="11"/>
        <color theme="1"/>
        <rFont val="等线"/>
        <family val="2"/>
        <charset val="134"/>
        <scheme val="minor"/>
      </rPr>
      <t>(mA)</t>
    </r>
    <phoneticPr fontId="1" type="noConversion"/>
  </si>
  <si>
    <r>
      <t>R(</t>
    </r>
    <r>
      <rPr>
        <sz val="11"/>
        <color theme="1"/>
        <rFont val="等线"/>
        <family val="3"/>
        <charset val="134"/>
      </rPr>
      <t>Ω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</si>
  <si>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U(V)</t>
    <phoneticPr fontId="1" type="noConversion"/>
  </si>
  <si>
    <t>I(mA)</t>
    <phoneticPr fontId="1" type="noConversion"/>
  </si>
  <si>
    <t>P</t>
    <phoneticPr fontId="1" type="noConversion"/>
  </si>
  <si>
    <t>P(max)=(U*I)max=</t>
    <phoneticPr fontId="1" type="noConversion"/>
  </si>
  <si>
    <t>Ys=Pmax/Pin=</t>
    <phoneticPr fontId="1" type="noConversion"/>
  </si>
  <si>
    <t>I/mA</t>
    <phoneticPr fontId="1" type="noConversion"/>
  </si>
  <si>
    <t>由谐振曲线求出</t>
    <phoneticPr fontId="1" type="noConversion"/>
  </si>
  <si>
    <t>谐振频率</t>
    <phoneticPr fontId="1" type="noConversion"/>
  </si>
  <si>
    <t>品质因数Q值</t>
    <phoneticPr fontId="1" type="noConversion"/>
  </si>
  <si>
    <t>带宽Δf/Hz</t>
    <phoneticPr fontId="1" type="noConversion"/>
  </si>
  <si>
    <t>Δf</t>
    <phoneticPr fontId="1" type="noConversion"/>
  </si>
  <si>
    <r>
      <t>Δf=R/2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  <charset val="134"/>
        <scheme val="minor"/>
      </rPr>
      <t>L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</si>
  <si>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R0</t>
    </r>
    <r>
      <rPr>
        <sz val="11"/>
        <color theme="1"/>
        <rFont val="等线"/>
        <family val="2"/>
        <charset val="134"/>
        <scheme val="minor"/>
      </rPr>
      <t>/mV</t>
    </r>
    <phoneticPr fontId="1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</si>
  <si>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</si>
  <si>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rPr>
        <vertAlign val="subscript"/>
        <sz val="20"/>
        <color theme="1"/>
        <rFont val="等线"/>
        <family val="3"/>
        <charset val="134"/>
        <scheme val="minor"/>
      </rPr>
      <t xml:space="preserve">参数      </t>
    </r>
    <r>
      <rPr>
        <vertAlign val="superscript"/>
        <sz val="20"/>
        <color theme="1"/>
        <rFont val="等线"/>
        <family val="3"/>
        <charset val="134"/>
        <scheme val="minor"/>
      </rPr>
      <t>数值</t>
    </r>
    <phoneticPr fontId="1" type="noConversion"/>
  </si>
  <si>
    <r>
      <rPr>
        <vertAlign val="subscript"/>
        <sz val="11"/>
        <color theme="1"/>
        <rFont val="等线"/>
        <family val="3"/>
        <charset val="134"/>
        <scheme val="minor"/>
      </rPr>
      <t xml:space="preserve">频率f/Hz </t>
    </r>
    <r>
      <rPr>
        <vertAlign val="superscript"/>
        <sz val="11"/>
        <color theme="1"/>
        <rFont val="等线"/>
        <family val="3"/>
        <charset val="134"/>
        <scheme val="minor"/>
      </rPr>
      <t>数值</t>
    </r>
    <phoneticPr fontId="1" type="noConversion"/>
  </si>
  <si>
    <r>
      <t>L=50mH
R</t>
    </r>
    <r>
      <rPr>
        <vertAlign val="subscript"/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charset val="134"/>
        <scheme val="minor"/>
      </rPr>
      <t>=12.6Ω
C=0.05μF</t>
    </r>
    <phoneticPr fontId="1" type="noConversion"/>
  </si>
  <si>
    <r>
      <t>曲线峰点f</t>
    </r>
    <r>
      <rPr>
        <vertAlign val="subscript"/>
        <sz val="11"/>
        <color theme="1"/>
        <rFont val="等线"/>
        <family val="3"/>
        <charset val="134"/>
        <scheme val="minor"/>
      </rPr>
      <t>0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</si>
  <si>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1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</si>
  <si>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</si>
  <si>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=1/（2</t>
    </r>
    <r>
      <rPr>
        <sz val="11"/>
        <color theme="1"/>
        <rFont val="等线"/>
        <family val="3"/>
        <charset val="134"/>
      </rPr>
      <t>π√</t>
    </r>
    <r>
      <rPr>
        <sz val="12.65"/>
        <color theme="1"/>
        <rFont val="等线"/>
        <family val="3"/>
        <charset val="134"/>
      </rPr>
      <t>LC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</si>
  <si>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Q=1/R*√(L/C)</t>
    <phoneticPr fontId="1" type="noConversion"/>
  </si>
  <si>
    <r>
      <t>Q=√(f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f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)/(f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-f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</si>
  <si>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=</t>
    </r>
    <r>
      <rPr>
        <sz val="11"/>
        <color theme="1"/>
        <rFont val="等线"/>
        <family val="3"/>
        <charset val="134"/>
      </rPr>
      <t>√(</t>
    </r>
    <r>
      <rPr>
        <sz val="12.65"/>
        <color theme="1"/>
        <rFont val="等线"/>
        <family val="3"/>
        <charset val="134"/>
      </rPr>
      <t>f</t>
    </r>
    <r>
      <rPr>
        <vertAlign val="subscript"/>
        <sz val="12.65"/>
        <color theme="1"/>
        <rFont val="等线"/>
        <family val="3"/>
        <charset val="134"/>
      </rPr>
      <t>1</t>
    </r>
    <r>
      <rPr>
        <sz val="12.65"/>
        <color theme="1"/>
        <rFont val="等线"/>
        <family val="3"/>
        <charset val="134"/>
      </rPr>
      <t>f</t>
    </r>
    <r>
      <rPr>
        <vertAlign val="subscript"/>
        <sz val="12.65"/>
        <color theme="1"/>
        <rFont val="等线"/>
        <family val="3"/>
        <charset val="134"/>
      </rPr>
      <t>2</t>
    </r>
    <r>
      <rPr>
        <sz val="12.65"/>
        <color theme="1"/>
        <rFont val="等线"/>
        <family val="3"/>
        <charset val="134"/>
      </rPr>
      <t>)</t>
    </r>
    <phoneticPr fontId="1" type="noConversion"/>
  </si>
  <si>
    <t>仿真</t>
    <phoneticPr fontId="1" type="noConversion"/>
  </si>
  <si>
    <t>光伏电池</t>
    <phoneticPr fontId="1" type="noConversion"/>
  </si>
  <si>
    <t>RLC</t>
    <phoneticPr fontId="1" type="noConversion"/>
  </si>
  <si>
    <t>更新地址：</t>
    <phoneticPr fontId="1" type="noConversion"/>
  </si>
  <si>
    <t>https://github.com/zjm54321/SHMTU-Automation-Resources</t>
    <phoneticPr fontId="1" type="noConversion"/>
  </si>
  <si>
    <t>A:光强发生变化，但不消光
B:光强发生变化，且消光
C:光强没有发生变化
D:某位置有光，其他位置消光
E:椭圆偏振光
F:圆偏振光
G:线偏振光
H:部分偏振光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</si>
</sst>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76" formatCode="0.00_ "/>
    <numFmt numFmtId="177" formatCode="0.000_ "/>
    <numFmt numFmtId="178" formatCode="0.0_ "/>
    <numFmt numFmtId="179" formatCode="0.000000_ "/>
    <numFmt numFmtId="180" formatCode="0.0000_ "/>
    <numFmt numFmtId="181" formatCode="0.000%"/>
    <numFmt numFmtId="182" formatCode="00.0000"/>
    <numFmt numFmtId="183" formatCode="0.0000_ &quot;°&quot;"/>
    <numFmt numFmtId="184" formatCode="0_ "/>
    <numFmt numFmtId="185" formatCode="0.0000%"/>
    <numFmt numFmtId="186" formatCode="0.000E+00"/>
    <numFmt numFmtId="187" formatCode="0_ &quot;°&quot;"/>
    <numFmt numFmtId="188" formatCode="#,&quot;K&quot;"/>
    <numFmt numFmtId="189" formatCode="0.0%"/>
    <numFmt numFmtId="190" formatCode="0_ &quot;Ω&quot;"/>
    <numFmt numFmtId="191" formatCode="\L\=0_ &quot;mH&quot;"/>
    <numFmt numFmtId="192" formatCode="\R\L\=0.0_ &quot;Ω&quot;"/>
    <numFmt numFmtId="193" formatCode="\C\=0.00_ &quot;μF&quot;"/>
    <numFmt numFmtId="194" formatCode="\U\=0.000_ &quot;V&quot;"/>
    <numFmt numFmtId="195" formatCode="\R\=\R0\+\R\L\=000.0_ &quot;Ω&quot;"/>
  </numFmts>
  <fonts count="2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u/>
      <sz val="20"/>
      <color theme="1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20"/>
      <color theme="10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2.65"/>
      <color theme="1"/>
      <name val="等线"/>
      <family val="3"/>
      <charset val="134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20"/>
      <color theme="1"/>
      <name val="等线"/>
      <family val="3"/>
      <charset val="134"/>
      <scheme val="minor"/>
    </font>
    <font>
      <vertAlign val="superscript"/>
      <sz val="20"/>
      <color theme="1"/>
      <name val="等线"/>
      <family val="3"/>
      <charset val="134"/>
      <scheme val="minor"/>
    </font>
    <font>
      <vertAlign val="subscript"/>
      <sz val="12.65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Dash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thin">
        <color auto="1"/>
      </diagonal>
    </border>
    <border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0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8" fontId="0" fillId="2" borderId="4" xfId="0" applyNumberFormat="1" applyFill="1" applyBorder="1" applyAlignment="1">
      <alignment horizontal="center" vertical="center"/>
    </xf>
    <xf numFmtId="178" fontId="0" fillId="3" borderId="5" xfId="0" applyNumberFormat="1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9" fontId="0" fillId="2" borderId="4" xfId="0" applyNumberFormat="1" applyFill="1" applyBorder="1" applyAlignment="1">
      <alignment horizontal="center" vertical="center"/>
    </xf>
    <xf numFmtId="179" fontId="0" fillId="2" borderId="5" xfId="0" applyNumberFormat="1" applyFill="1" applyBorder="1" applyAlignment="1">
      <alignment horizontal="center" vertical="center"/>
    </xf>
    <xf numFmtId="179" fontId="0" fillId="3" borderId="7" xfId="0" applyNumberFormat="1" applyFill="1" applyBorder="1" applyAlignment="1">
      <alignment horizontal="center" vertical="center"/>
    </xf>
    <xf numFmtId="179" fontId="0" fillId="3" borderId="8" xfId="0" applyNumberFormat="1" applyFill="1" applyBorder="1" applyAlignment="1">
      <alignment horizontal="center" vertical="center"/>
    </xf>
    <xf numFmtId="177" fontId="0" fillId="3" borderId="2" xfId="0" applyNumberFormat="1" applyFill="1" applyBorder="1" applyAlignment="1">
      <alignment horizontal="center" vertical="center"/>
    </xf>
    <xf numFmtId="177" fontId="0" fillId="3" borderId="3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10" fontId="0" fillId="3" borderId="8" xfId="0" applyNumberForma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7" fontId="0" fillId="2" borderId="4" xfId="0" applyNumberFormat="1" applyFill="1" applyBorder="1" applyAlignment="1">
      <alignment horizontal="center" vertical="center"/>
    </xf>
    <xf numFmtId="177" fontId="0" fillId="2" borderId="5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7" fontId="0" fillId="3" borderId="4" xfId="0" applyNumberFormat="1" applyFill="1" applyBorder="1" applyAlignment="1">
      <alignment horizontal="center" vertical="center"/>
    </xf>
    <xf numFmtId="177" fontId="0" fillId="3" borderId="5" xfId="0" applyNumberFormat="1" applyFill="1" applyBorder="1" applyAlignment="1">
      <alignment horizontal="center" vertical="center"/>
    </xf>
    <xf numFmtId="177" fontId="0" fillId="3" borderId="7" xfId="0" applyNumberFormat="1" applyFill="1" applyBorder="1" applyAlignment="1">
      <alignment horizontal="center" vertical="center"/>
    </xf>
    <xf numFmtId="177" fontId="0" fillId="3" borderId="8" xfId="0" applyNumberForma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1" fontId="0" fillId="3" borderId="4" xfId="0" applyNumberFormat="1" applyFill="1" applyBorder="1" applyAlignment="1">
      <alignment horizontal="center" vertical="center"/>
    </xf>
    <xf numFmtId="10" fontId="0" fillId="3" borderId="5" xfId="0" applyNumberFormat="1" applyFill="1" applyBorder="1" applyAlignment="1">
      <alignment horizontal="center" vertical="center"/>
    </xf>
    <xf numFmtId="11" fontId="0" fillId="3" borderId="7" xfId="0" applyNumberFormat="1" applyFill="1" applyBorder="1" applyAlignment="1">
      <alignment horizontal="center" vertical="center"/>
    </xf>
    <xf numFmtId="11" fontId="0" fillId="0" borderId="18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176" fontId="0" fillId="3" borderId="7" xfId="0" applyNumberFormat="1" applyFill="1" applyBorder="1" applyAlignment="1">
      <alignment horizontal="center" vertical="center"/>
    </xf>
    <xf numFmtId="178" fontId="0" fillId="3" borderId="4" xfId="0" applyNumberFormat="1" applyFill="1" applyBorder="1" applyAlignment="1">
      <alignment horizontal="center" vertical="center"/>
    </xf>
    <xf numFmtId="180" fontId="0" fillId="3" borderId="4" xfId="0" applyNumberFormat="1" applyFill="1" applyBorder="1" applyAlignment="1">
      <alignment horizontal="center" vertical="center"/>
    </xf>
    <xf numFmtId="180" fontId="0" fillId="3" borderId="7" xfId="0" applyNumberFormat="1" applyFill="1" applyBorder="1" applyAlignment="1">
      <alignment horizontal="center" vertical="center"/>
    </xf>
    <xf numFmtId="181" fontId="0" fillId="3" borderId="5" xfId="0" applyNumberFormat="1" applyFill="1" applyBorder="1" applyAlignment="1">
      <alignment horizontal="center" vertical="center"/>
    </xf>
    <xf numFmtId="181" fontId="0" fillId="3" borderId="8" xfId="0" applyNumberFormat="1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178" fontId="0" fillId="3" borderId="20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2" borderId="8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183" fontId="0" fillId="3" borderId="4" xfId="0" applyNumberFormat="1" applyFill="1" applyBorder="1" applyAlignment="1">
      <alignment horizontal="center" vertical="center"/>
    </xf>
    <xf numFmtId="183" fontId="0" fillId="3" borderId="7" xfId="0" applyNumberFormat="1" applyFill="1" applyBorder="1" applyAlignment="1">
      <alignment horizontal="center" vertical="center"/>
    </xf>
    <xf numFmtId="184" fontId="0" fillId="3" borderId="4" xfId="0" applyNumberFormat="1" applyFill="1" applyBorder="1" applyAlignment="1">
      <alignment horizontal="center" vertical="center"/>
    </xf>
    <xf numFmtId="184" fontId="0" fillId="3" borderId="7" xfId="0" applyNumberFormat="1" applyFill="1" applyBorder="1" applyAlignment="1">
      <alignment horizontal="center" vertical="center"/>
    </xf>
    <xf numFmtId="185" fontId="0" fillId="3" borderId="5" xfId="0" applyNumberFormat="1" applyFill="1" applyBorder="1" applyAlignment="1">
      <alignment horizontal="center" vertical="center"/>
    </xf>
    <xf numFmtId="185" fontId="0" fillId="3" borderId="8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182" fontId="0" fillId="0" borderId="13" xfId="0" applyNumberFormat="1" applyBorder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8" fillId="0" borderId="0" xfId="0" applyFo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quotePrefix="1" applyFont="1" applyBorder="1" applyAlignment="1">
      <alignment horizontal="center" vertical="center"/>
    </xf>
    <xf numFmtId="0" fontId="12" fillId="0" borderId="7" xfId="0" applyFont="1" applyBorder="1">
      <alignment vertical="center"/>
    </xf>
    <xf numFmtId="0" fontId="11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77" fontId="0" fillId="2" borderId="7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186" fontId="0" fillId="3" borderId="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186" fontId="0" fillId="3" borderId="7" xfId="0" applyNumberFormat="1" applyFill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177" fontId="0" fillId="3" borderId="20" xfId="0" applyNumberForma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0" fillId="3" borderId="20" xfId="0" applyNumberForma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187" fontId="0" fillId="0" borderId="2" xfId="0" applyNumberFormat="1" applyBorder="1" applyAlignment="1">
      <alignment horizontal="center" vertical="center" wrapText="1"/>
    </xf>
    <xf numFmtId="187" fontId="0" fillId="0" borderId="3" xfId="0" applyNumberForma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187" fontId="0" fillId="2" borderId="4" xfId="0" applyNumberFormat="1" applyFill="1" applyBorder="1" applyAlignment="1">
      <alignment horizontal="center" vertical="center" wrapText="1"/>
    </xf>
    <xf numFmtId="187" fontId="0" fillId="2" borderId="5" xfId="0" applyNumberFormat="1" applyFill="1" applyBorder="1" applyAlignment="1">
      <alignment horizontal="center" vertical="center" wrapText="1"/>
    </xf>
    <xf numFmtId="187" fontId="0" fillId="2" borderId="7" xfId="0" applyNumberFormat="1" applyFill="1" applyBorder="1" applyAlignment="1">
      <alignment horizontal="center" vertical="center" wrapText="1"/>
    </xf>
    <xf numFmtId="187" fontId="0" fillId="2" borderId="8" xfId="0" applyNumberFormat="1" applyFill="1" applyBorder="1" applyAlignment="1">
      <alignment horizontal="center" vertical="center" wrapText="1"/>
    </xf>
    <xf numFmtId="188" fontId="0" fillId="0" borderId="4" xfId="0" applyNumberFormat="1" applyBorder="1" applyAlignment="1">
      <alignment horizontal="center" vertical="center" wrapText="1"/>
    </xf>
    <xf numFmtId="188" fontId="0" fillId="0" borderId="5" xfId="0" applyNumberFormat="1" applyBorder="1" applyAlignment="1">
      <alignment horizontal="center" vertical="center" wrapText="1"/>
    </xf>
    <xf numFmtId="177" fontId="0" fillId="2" borderId="4" xfId="0" applyNumberFormat="1" applyFill="1" applyBorder="1" applyAlignment="1">
      <alignment horizontal="center" vertical="center" wrapText="1"/>
    </xf>
    <xf numFmtId="177" fontId="0" fillId="2" borderId="5" xfId="0" applyNumberFormat="1" applyFill="1" applyBorder="1" applyAlignment="1">
      <alignment horizontal="center" vertical="center" wrapText="1"/>
    </xf>
    <xf numFmtId="177" fontId="0" fillId="2" borderId="7" xfId="0" applyNumberFormat="1" applyFill="1" applyBorder="1" applyAlignment="1">
      <alignment horizontal="center" vertical="center" wrapText="1"/>
    </xf>
    <xf numFmtId="177" fontId="0" fillId="2" borderId="8" xfId="0" applyNumberFormat="1" applyFill="1" applyBorder="1" applyAlignment="1">
      <alignment horizontal="center" vertical="center" wrapText="1"/>
    </xf>
    <xf numFmtId="195" fontId="0" fillId="3" borderId="4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95" fontId="0" fillId="3" borderId="7" xfId="0" applyNumberForma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191" fontId="0" fillId="3" borderId="34" xfId="0" applyNumberFormat="1" applyFill="1" applyBorder="1" applyAlignment="1">
      <alignment horizontal="center" vertical="center" wrapText="1"/>
    </xf>
    <xf numFmtId="192" fontId="0" fillId="3" borderId="35" xfId="0" applyNumberFormat="1" applyFill="1" applyBorder="1" applyAlignment="1">
      <alignment horizontal="center" vertical="center" wrapText="1"/>
    </xf>
    <xf numFmtId="193" fontId="0" fillId="3" borderId="35" xfId="0" applyNumberFormat="1" applyFill="1" applyBorder="1" applyAlignment="1">
      <alignment horizontal="center" vertical="center" wrapText="1"/>
    </xf>
    <xf numFmtId="194" fontId="0" fillId="3" borderId="36" xfId="0" applyNumberFormat="1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190" fontId="0" fillId="3" borderId="32" xfId="0" applyNumberFormat="1" applyFill="1" applyBorder="1" applyAlignment="1">
      <alignment horizontal="center" vertical="center" wrapText="1"/>
    </xf>
    <xf numFmtId="190" fontId="0" fillId="3" borderId="33" xfId="0" applyNumberFormat="1" applyFill="1" applyBorder="1" applyAlignment="1">
      <alignment horizontal="center" vertical="center" wrapText="1"/>
    </xf>
    <xf numFmtId="176" fontId="0" fillId="3" borderId="4" xfId="0" applyNumberFormat="1" applyFill="1" applyBorder="1" applyAlignment="1">
      <alignment horizontal="center" vertical="center" wrapText="1"/>
    </xf>
    <xf numFmtId="176" fontId="0" fillId="3" borderId="7" xfId="0" applyNumberFormat="1" applyFill="1" applyBorder="1" applyAlignment="1">
      <alignment horizontal="center" vertical="center" wrapText="1"/>
    </xf>
    <xf numFmtId="176" fontId="0" fillId="3" borderId="5" xfId="0" applyNumberFormat="1" applyFill="1" applyBorder="1" applyAlignment="1">
      <alignment horizontal="center" vertical="center" wrapText="1"/>
    </xf>
    <xf numFmtId="176" fontId="0" fillId="3" borderId="8" xfId="0" applyNumberFormat="1" applyFill="1" applyBorder="1" applyAlignment="1">
      <alignment horizontal="center" vertical="center" wrapText="1"/>
    </xf>
    <xf numFmtId="0" fontId="6" fillId="0" borderId="0" xfId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3" borderId="4" xfId="0" applyNumberFormat="1" applyFill="1" applyBorder="1" applyAlignment="1">
      <alignment horizontal="center" vertical="center"/>
    </xf>
    <xf numFmtId="177" fontId="0" fillId="3" borderId="5" xfId="0" applyNumberFormat="1" applyFill="1" applyBorder="1" applyAlignment="1">
      <alignment horizontal="center" vertical="center"/>
    </xf>
    <xf numFmtId="177" fontId="0" fillId="3" borderId="7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189" fontId="0" fillId="3" borderId="24" xfId="0" applyNumberFormat="1" applyFill="1" applyBorder="1" applyAlignment="1">
      <alignment horizontal="center" vertical="center"/>
    </xf>
    <xf numFmtId="189" fontId="0" fillId="3" borderId="20" xfId="0" applyNumberForma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1125367061733009E-2"/>
          <c:y val="7.0985127919651031E-2"/>
          <c:w val="0.95620044535542104"/>
          <c:h val="0.89845826596153811"/>
        </c:manualLayout>
      </c:layout>
      <c:scatterChart>
        <c:scatterStyle val="smoothMarker"/>
        <c:varyColors val="0"/>
        <c:ser>
          <c:idx val="0"/>
          <c:order val="0"/>
          <c:tx>
            <c:v>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(光伏电池!$C$8:$P$8,光伏电池!$C$11:$P$11,光伏电池!$C$14:$P$14)</c:f>
              <c:numCache>
                <c:formatCode>0.000_ </c:formatCode>
                <c:ptCount val="42"/>
                <c:pt idx="0">
                  <c:v>1.4E-2</c:v>
                </c:pt>
                <c:pt idx="1">
                  <c:v>1.4999999999999999E-2</c:v>
                </c:pt>
                <c:pt idx="2">
                  <c:v>1.6E-2</c:v>
                </c:pt>
                <c:pt idx="3">
                  <c:v>2.1000000000000001E-2</c:v>
                </c:pt>
                <c:pt idx="4">
                  <c:v>0.28000000000000003</c:v>
                </c:pt>
                <c:pt idx="5">
                  <c:v>4.2000000000000003E-2</c:v>
                </c:pt>
                <c:pt idx="6">
                  <c:v>5.6000000000000001E-2</c:v>
                </c:pt>
                <c:pt idx="7">
                  <c:v>7.0000000000000007E-2</c:v>
                </c:pt>
                <c:pt idx="8">
                  <c:v>8.3000000000000004E-2</c:v>
                </c:pt>
                <c:pt idx="9">
                  <c:v>9.8000000000000004E-2</c:v>
                </c:pt>
                <c:pt idx="10">
                  <c:v>9.9000000000000005E-2</c:v>
                </c:pt>
                <c:pt idx="11">
                  <c:v>0.124</c:v>
                </c:pt>
                <c:pt idx="12">
                  <c:v>0.13600000000000001</c:v>
                </c:pt>
                <c:pt idx="13">
                  <c:v>0.15</c:v>
                </c:pt>
                <c:pt idx="14">
                  <c:v>0.21099999999999999</c:v>
                </c:pt>
                <c:pt idx="15">
                  <c:v>0.26</c:v>
                </c:pt>
                <c:pt idx="16">
                  <c:v>0.29799999999999999</c:v>
                </c:pt>
                <c:pt idx="17">
                  <c:v>0.32300000000000001</c:v>
                </c:pt>
                <c:pt idx="18">
                  <c:v>0.34100000000000003</c:v>
                </c:pt>
                <c:pt idx="19">
                  <c:v>0.35299999999999998</c:v>
                </c:pt>
                <c:pt idx="20">
                  <c:v>0.36399999999999999</c:v>
                </c:pt>
                <c:pt idx="21">
                  <c:v>0.36899999999999999</c:v>
                </c:pt>
                <c:pt idx="22">
                  <c:v>0.377</c:v>
                </c:pt>
                <c:pt idx="23">
                  <c:v>0.38400000000000001</c:v>
                </c:pt>
                <c:pt idx="24">
                  <c:v>0.38600000000000001</c:v>
                </c:pt>
                <c:pt idx="25">
                  <c:v>0.38800000000000001</c:v>
                </c:pt>
                <c:pt idx="26">
                  <c:v>0.39200000000000002</c:v>
                </c:pt>
                <c:pt idx="27">
                  <c:v>0.39400000000000002</c:v>
                </c:pt>
                <c:pt idx="28">
                  <c:v>0.39600000000000002</c:v>
                </c:pt>
                <c:pt idx="29">
                  <c:v>0.39700000000000002</c:v>
                </c:pt>
                <c:pt idx="30">
                  <c:v>0.4</c:v>
                </c:pt>
                <c:pt idx="31">
                  <c:v>0.40100000000000002</c:v>
                </c:pt>
                <c:pt idx="32">
                  <c:v>0.41499999999999998</c:v>
                </c:pt>
                <c:pt idx="33">
                  <c:v>0.41899999999999998</c:v>
                </c:pt>
                <c:pt idx="34">
                  <c:v>0.42</c:v>
                </c:pt>
                <c:pt idx="35">
                  <c:v>0.42099999999999999</c:v>
                </c:pt>
                <c:pt idx="36">
                  <c:v>0.42199999999999999</c:v>
                </c:pt>
                <c:pt idx="37">
                  <c:v>0.42299999999999999</c:v>
                </c:pt>
                <c:pt idx="38">
                  <c:v>0.42299999999999999</c:v>
                </c:pt>
                <c:pt idx="39">
                  <c:v>0.42399999999999999</c:v>
                </c:pt>
                <c:pt idx="40">
                  <c:v>0.42399999999999999</c:v>
                </c:pt>
                <c:pt idx="41">
                  <c:v>0.42599999999999999</c:v>
                </c:pt>
              </c:numCache>
            </c:numRef>
          </c:xVal>
          <c:yVal>
            <c:numRef>
              <c:f>(光伏电池!$C$9:$P$9,光伏电池!$C$12:$P$12,光伏电池!$C$15:$P$15)</c:f>
              <c:numCache>
                <c:formatCode>0.000_ </c:formatCode>
                <c:ptCount val="42"/>
                <c:pt idx="0">
                  <c:v>1.3879999999999999</c:v>
                </c:pt>
                <c:pt idx="1">
                  <c:v>1.3919999999999999</c:v>
                </c:pt>
                <c:pt idx="2">
                  <c:v>1.3939999999999999</c:v>
                </c:pt>
                <c:pt idx="3">
                  <c:v>1.3959999999999999</c:v>
                </c:pt>
                <c:pt idx="4">
                  <c:v>1.3939999999999999</c:v>
                </c:pt>
                <c:pt idx="5">
                  <c:v>1.393</c:v>
                </c:pt>
                <c:pt idx="6">
                  <c:v>1.3919999999999999</c:v>
                </c:pt>
                <c:pt idx="7">
                  <c:v>1.3919999999999999</c:v>
                </c:pt>
                <c:pt idx="8">
                  <c:v>1.3839999999999999</c:v>
                </c:pt>
                <c:pt idx="9">
                  <c:v>1.3839999999999999</c:v>
                </c:pt>
                <c:pt idx="10">
                  <c:v>1.3759999999999999</c:v>
                </c:pt>
                <c:pt idx="11">
                  <c:v>1.367</c:v>
                </c:pt>
                <c:pt idx="12">
                  <c:v>1.36</c:v>
                </c:pt>
                <c:pt idx="13">
                  <c:v>1.36</c:v>
                </c:pt>
                <c:pt idx="14">
                  <c:v>1.3089999999999999</c:v>
                </c:pt>
                <c:pt idx="15">
                  <c:v>1.228</c:v>
                </c:pt>
                <c:pt idx="16">
                  <c:v>1.137</c:v>
                </c:pt>
                <c:pt idx="17">
                  <c:v>1.03</c:v>
                </c:pt>
                <c:pt idx="18">
                  <c:v>0.94099999999999995</c:v>
                </c:pt>
                <c:pt idx="19">
                  <c:v>0.85299999999999998</c:v>
                </c:pt>
                <c:pt idx="20">
                  <c:v>0.78400000000000003</c:v>
                </c:pt>
                <c:pt idx="21">
                  <c:v>0.71799999999999997</c:v>
                </c:pt>
                <c:pt idx="22">
                  <c:v>0.66600000000000004</c:v>
                </c:pt>
                <c:pt idx="23">
                  <c:v>0.62</c:v>
                </c:pt>
                <c:pt idx="24">
                  <c:v>0.57999999999999996</c:v>
                </c:pt>
                <c:pt idx="25">
                  <c:v>0.54100000000000004</c:v>
                </c:pt>
                <c:pt idx="26">
                  <c:v>0.51300000000000001</c:v>
                </c:pt>
                <c:pt idx="27">
                  <c:v>0.48299999999999998</c:v>
                </c:pt>
                <c:pt idx="28">
                  <c:v>0.45700000000000002</c:v>
                </c:pt>
                <c:pt idx="29">
                  <c:v>0.433</c:v>
                </c:pt>
                <c:pt idx="30">
                  <c:v>0.41299999999999998</c:v>
                </c:pt>
                <c:pt idx="31">
                  <c:v>0.34300000000000003</c:v>
                </c:pt>
                <c:pt idx="32">
                  <c:v>2.4E-2</c:v>
                </c:pt>
                <c:pt idx="33">
                  <c:v>0.13800000000000001</c:v>
                </c:pt>
                <c:pt idx="34">
                  <c:v>0.104</c:v>
                </c:pt>
                <c:pt idx="35">
                  <c:v>8.4000000000000005E-2</c:v>
                </c:pt>
                <c:pt idx="36">
                  <c:v>7.0999999999999994E-2</c:v>
                </c:pt>
                <c:pt idx="37">
                  <c:v>6.2E-2</c:v>
                </c:pt>
                <c:pt idx="38">
                  <c:v>5.0999999999999997E-2</c:v>
                </c:pt>
                <c:pt idx="39">
                  <c:v>4.7E-2</c:v>
                </c:pt>
                <c:pt idx="40">
                  <c:v>4.2000000000000003E-2</c:v>
                </c:pt>
                <c:pt idx="41">
                  <c:v>5.0000000000000001E-3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AE-4BD4-AA88-DC691645D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027519"/>
        <c:axId val="502026559"/>
      </c:scatterChart>
      <c:valAx>
        <c:axId val="502027519"/>
        <c:scaling>
          <c:orientation val="minMax"/>
        </c:scaling>
        <c:delete val="0"/>
        <c:axPos val="b"/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026559"/>
        <c:crosses val="autoZero"/>
        <c:crossBetween val="midCat"/>
      </c:valAx>
      <c:valAx>
        <c:axId val="50202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027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光伏电池!$C$3:$K$3</c:f>
              <c:numCache>
                <c:formatCode>0.000_ </c:formatCode>
                <c:ptCount val="9"/>
                <c:pt idx="0">
                  <c:v>2.238</c:v>
                </c:pt>
                <c:pt idx="1">
                  <c:v>1.1859999999999999</c:v>
                </c:pt>
                <c:pt idx="2">
                  <c:v>0.748</c:v>
                </c:pt>
                <c:pt idx="3">
                  <c:v>0.35199999999999998</c:v>
                </c:pt>
                <c:pt idx="4">
                  <c:v>0.4</c:v>
                </c:pt>
                <c:pt idx="5">
                  <c:v>0.314</c:v>
                </c:pt>
                <c:pt idx="6">
                  <c:v>0.254</c:v>
                </c:pt>
                <c:pt idx="7">
                  <c:v>0.21199999999999999</c:v>
                </c:pt>
                <c:pt idx="8">
                  <c:v>0.17899999999999999</c:v>
                </c:pt>
              </c:numCache>
            </c:numRef>
          </c:xVal>
          <c:yVal>
            <c:numRef>
              <c:f>光伏电池!$C$4:$K$4</c:f>
              <c:numCache>
                <c:formatCode>0.000_ </c:formatCode>
                <c:ptCount val="9"/>
                <c:pt idx="0">
                  <c:v>0.46700000000000003</c:v>
                </c:pt>
                <c:pt idx="1">
                  <c:v>0.438</c:v>
                </c:pt>
                <c:pt idx="2">
                  <c:v>0.41899999999999998</c:v>
                </c:pt>
                <c:pt idx="3">
                  <c:v>0.40400000000000003</c:v>
                </c:pt>
                <c:pt idx="4">
                  <c:v>0.34200000000000003</c:v>
                </c:pt>
                <c:pt idx="5">
                  <c:v>0.38</c:v>
                </c:pt>
                <c:pt idx="6">
                  <c:v>0.374</c:v>
                </c:pt>
                <c:pt idx="7">
                  <c:v>0.36799999999999999</c:v>
                </c:pt>
                <c:pt idx="8">
                  <c:v>0.36299999999999999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5E-429B-A340-43DFC74E1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509935"/>
        <c:axId val="676566191"/>
      </c:scatterChart>
      <c:valAx>
        <c:axId val="67450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566191"/>
        <c:crosses val="autoZero"/>
        <c:crossBetween val="midCat"/>
      </c:valAx>
      <c:valAx>
        <c:axId val="676566191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509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光伏电池!$C$3:$K$3</c:f>
              <c:numCache>
                <c:formatCode>0.000_ </c:formatCode>
                <c:ptCount val="9"/>
                <c:pt idx="0">
                  <c:v>2.238</c:v>
                </c:pt>
                <c:pt idx="1">
                  <c:v>1.1859999999999999</c:v>
                </c:pt>
                <c:pt idx="2">
                  <c:v>0.748</c:v>
                </c:pt>
                <c:pt idx="3">
                  <c:v>0.35199999999999998</c:v>
                </c:pt>
                <c:pt idx="4">
                  <c:v>0.4</c:v>
                </c:pt>
                <c:pt idx="5">
                  <c:v>0.314</c:v>
                </c:pt>
                <c:pt idx="6">
                  <c:v>0.254</c:v>
                </c:pt>
                <c:pt idx="7">
                  <c:v>0.21199999999999999</c:v>
                </c:pt>
                <c:pt idx="8">
                  <c:v>0.17899999999999999</c:v>
                </c:pt>
              </c:numCache>
            </c:numRef>
          </c:xVal>
          <c:yVal>
            <c:numRef>
              <c:f>光伏电池!$C$5:$K$5</c:f>
              <c:numCache>
                <c:formatCode>0.000_ </c:formatCode>
                <c:ptCount val="9"/>
                <c:pt idx="0">
                  <c:v>1.3859999999999999</c:v>
                </c:pt>
                <c:pt idx="1">
                  <c:v>0.73699999999999999</c:v>
                </c:pt>
                <c:pt idx="2">
                  <c:v>0.46400000000000002</c:v>
                </c:pt>
                <c:pt idx="3">
                  <c:v>0.32800000000000001</c:v>
                </c:pt>
                <c:pt idx="4">
                  <c:v>0.247</c:v>
                </c:pt>
                <c:pt idx="5">
                  <c:v>0.19400000000000001</c:v>
                </c:pt>
                <c:pt idx="6">
                  <c:v>0.157</c:v>
                </c:pt>
                <c:pt idx="7">
                  <c:v>0.13100000000000001</c:v>
                </c:pt>
                <c:pt idx="8">
                  <c:v>0.113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8B-4BA1-917C-56AA3D45A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716351"/>
        <c:axId val="674716831"/>
      </c:scatterChart>
      <c:valAx>
        <c:axId val="6747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716831"/>
        <c:crosses val="autoZero"/>
        <c:crossBetween val="midCat"/>
      </c:valAx>
      <c:valAx>
        <c:axId val="67471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71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RLC!$D$3</c:f>
              <c:strCache>
                <c:ptCount val="1"/>
                <c:pt idx="0">
                  <c:v>100 Ω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RLC!$B$5:$B$44</c:f>
              <c:numCache>
                <c:formatCode>General</c:formatCode>
                <c:ptCount val="40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  <c:pt idx="6">
                  <c:v>2100</c:v>
                </c:pt>
                <c:pt idx="7">
                  <c:v>2200</c:v>
                </c:pt>
                <c:pt idx="8">
                  <c:v>2300</c:v>
                </c:pt>
                <c:pt idx="9">
                  <c:v>2400</c:v>
                </c:pt>
                <c:pt idx="10">
                  <c:v>2500</c:v>
                </c:pt>
                <c:pt idx="11">
                  <c:v>2600</c:v>
                </c:pt>
                <c:pt idx="12">
                  <c:v>2700</c:v>
                </c:pt>
                <c:pt idx="13">
                  <c:v>2800</c:v>
                </c:pt>
                <c:pt idx="14">
                  <c:v>2900</c:v>
                </c:pt>
                <c:pt idx="15">
                  <c:v>3000</c:v>
                </c:pt>
                <c:pt idx="16">
                  <c:v>3100</c:v>
                </c:pt>
                <c:pt idx="17">
                  <c:v>3125</c:v>
                </c:pt>
                <c:pt idx="18">
                  <c:v>3150</c:v>
                </c:pt>
                <c:pt idx="19">
                  <c:v>3175</c:v>
                </c:pt>
                <c:pt idx="20">
                  <c:v>3200</c:v>
                </c:pt>
                <c:pt idx="21">
                  <c:v>3225</c:v>
                </c:pt>
                <c:pt idx="22">
                  <c:v>3250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4200</c:v>
                </c:pt>
                <c:pt idx="32">
                  <c:v>4400</c:v>
                </c:pt>
                <c:pt idx="33">
                  <c:v>4600</c:v>
                </c:pt>
                <c:pt idx="34">
                  <c:v>4800</c:v>
                </c:pt>
                <c:pt idx="35">
                  <c:v>5000</c:v>
                </c:pt>
                <c:pt idx="36">
                  <c:v>5200</c:v>
                </c:pt>
                <c:pt idx="37">
                  <c:v>5400</c:v>
                </c:pt>
                <c:pt idx="38">
                  <c:v>5600</c:v>
                </c:pt>
                <c:pt idx="39">
                  <c:v>5800</c:v>
                </c:pt>
              </c:numCache>
            </c:numRef>
          </c:xVal>
          <c:yVal>
            <c:numRef>
              <c:f>RLC!$D$5:$D$44</c:f>
              <c:numCache>
                <c:formatCode>0.00_ </c:formatCode>
                <c:ptCount val="40"/>
                <c:pt idx="0">
                  <c:v>0.37</c:v>
                </c:pt>
                <c:pt idx="1">
                  <c:v>0.44</c:v>
                </c:pt>
                <c:pt idx="2">
                  <c:v>0.55000000000000004</c:v>
                </c:pt>
                <c:pt idx="3">
                  <c:v>0.68</c:v>
                </c:pt>
                <c:pt idx="4">
                  <c:v>0.84</c:v>
                </c:pt>
                <c:pt idx="5">
                  <c:v>1.05</c:v>
                </c:pt>
                <c:pt idx="6">
                  <c:v>1.17</c:v>
                </c:pt>
                <c:pt idx="7">
                  <c:v>1.32</c:v>
                </c:pt>
                <c:pt idx="8">
                  <c:v>1.52</c:v>
                </c:pt>
                <c:pt idx="9">
                  <c:v>1.76</c:v>
                </c:pt>
                <c:pt idx="10">
                  <c:v>2</c:v>
                </c:pt>
                <c:pt idx="11">
                  <c:v>2.36</c:v>
                </c:pt>
                <c:pt idx="12">
                  <c:v>2.86</c:v>
                </c:pt>
                <c:pt idx="13">
                  <c:v>3.6</c:v>
                </c:pt>
                <c:pt idx="14">
                  <c:v>4.5599999999999996</c:v>
                </c:pt>
                <c:pt idx="15">
                  <c:v>6.14</c:v>
                </c:pt>
                <c:pt idx="16">
                  <c:v>8.07</c:v>
                </c:pt>
                <c:pt idx="17">
                  <c:v>8.41</c:v>
                </c:pt>
                <c:pt idx="18">
                  <c:v>8.57</c:v>
                </c:pt>
                <c:pt idx="19">
                  <c:v>8.6199999999999992</c:v>
                </c:pt>
                <c:pt idx="20">
                  <c:v>8.18</c:v>
                </c:pt>
                <c:pt idx="21">
                  <c:v>7.94</c:v>
                </c:pt>
                <c:pt idx="22">
                  <c:v>7.69</c:v>
                </c:pt>
                <c:pt idx="23">
                  <c:v>7.34</c:v>
                </c:pt>
                <c:pt idx="24">
                  <c:v>5.45</c:v>
                </c:pt>
                <c:pt idx="25">
                  <c:v>4.3899999999999997</c:v>
                </c:pt>
                <c:pt idx="26">
                  <c:v>3.67</c:v>
                </c:pt>
                <c:pt idx="27">
                  <c:v>3.17</c:v>
                </c:pt>
                <c:pt idx="28">
                  <c:v>2.72</c:v>
                </c:pt>
                <c:pt idx="29">
                  <c:v>2.4</c:v>
                </c:pt>
                <c:pt idx="30">
                  <c:v>2.19</c:v>
                </c:pt>
                <c:pt idx="31">
                  <c:v>1.76</c:v>
                </c:pt>
                <c:pt idx="32">
                  <c:v>1.55</c:v>
                </c:pt>
                <c:pt idx="33">
                  <c:v>1.5</c:v>
                </c:pt>
                <c:pt idx="34">
                  <c:v>1.44</c:v>
                </c:pt>
                <c:pt idx="35">
                  <c:v>1.1000000000000001</c:v>
                </c:pt>
                <c:pt idx="36">
                  <c:v>0.99</c:v>
                </c:pt>
                <c:pt idx="37">
                  <c:v>0.91</c:v>
                </c:pt>
                <c:pt idx="38">
                  <c:v>0.85</c:v>
                </c:pt>
                <c:pt idx="39">
                  <c:v>0.79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42-49C8-8D25-E2199C431182}"/>
            </c:ext>
          </c:extLst>
        </c:ser>
        <c:ser>
          <c:idx val="1"/>
          <c:order val="1"/>
          <c:tx>
            <c:strRef>
              <c:f>RLC!$F$3</c:f>
              <c:strCache>
                <c:ptCount val="1"/>
                <c:pt idx="0">
                  <c:v>300 Ω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RLC!$B$5:$B$44</c:f>
              <c:numCache>
                <c:formatCode>General</c:formatCode>
                <c:ptCount val="40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  <c:pt idx="6">
                  <c:v>2100</c:v>
                </c:pt>
                <c:pt idx="7">
                  <c:v>2200</c:v>
                </c:pt>
                <c:pt idx="8">
                  <c:v>2300</c:v>
                </c:pt>
                <c:pt idx="9">
                  <c:v>2400</c:v>
                </c:pt>
                <c:pt idx="10">
                  <c:v>2500</c:v>
                </c:pt>
                <c:pt idx="11">
                  <c:v>2600</c:v>
                </c:pt>
                <c:pt idx="12">
                  <c:v>2700</c:v>
                </c:pt>
                <c:pt idx="13">
                  <c:v>2800</c:v>
                </c:pt>
                <c:pt idx="14">
                  <c:v>2900</c:v>
                </c:pt>
                <c:pt idx="15">
                  <c:v>3000</c:v>
                </c:pt>
                <c:pt idx="16">
                  <c:v>3100</c:v>
                </c:pt>
                <c:pt idx="17">
                  <c:v>3125</c:v>
                </c:pt>
                <c:pt idx="18">
                  <c:v>3150</c:v>
                </c:pt>
                <c:pt idx="19">
                  <c:v>3175</c:v>
                </c:pt>
                <c:pt idx="20">
                  <c:v>3200</c:v>
                </c:pt>
                <c:pt idx="21">
                  <c:v>3225</c:v>
                </c:pt>
                <c:pt idx="22">
                  <c:v>3250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4200</c:v>
                </c:pt>
                <c:pt idx="32">
                  <c:v>4400</c:v>
                </c:pt>
                <c:pt idx="33">
                  <c:v>4600</c:v>
                </c:pt>
                <c:pt idx="34">
                  <c:v>4800</c:v>
                </c:pt>
                <c:pt idx="35">
                  <c:v>5000</c:v>
                </c:pt>
                <c:pt idx="36">
                  <c:v>5200</c:v>
                </c:pt>
                <c:pt idx="37">
                  <c:v>5400</c:v>
                </c:pt>
                <c:pt idx="38">
                  <c:v>5600</c:v>
                </c:pt>
                <c:pt idx="39">
                  <c:v>5800</c:v>
                </c:pt>
              </c:numCache>
            </c:numRef>
          </c:xVal>
          <c:yVal>
            <c:numRef>
              <c:f>RLC!$F$5:$F$44</c:f>
              <c:numCache>
                <c:formatCode>0.00_ </c:formatCode>
                <c:ptCount val="40"/>
                <c:pt idx="0">
                  <c:v>0.36</c:v>
                </c:pt>
                <c:pt idx="1">
                  <c:v>0.44</c:v>
                </c:pt>
                <c:pt idx="2">
                  <c:v>0.54333333333333333</c:v>
                </c:pt>
                <c:pt idx="3">
                  <c:v>0.66666666666666663</c:v>
                </c:pt>
                <c:pt idx="4">
                  <c:v>0.81</c:v>
                </c:pt>
                <c:pt idx="5">
                  <c:v>0.99333333333333329</c:v>
                </c:pt>
                <c:pt idx="6">
                  <c:v>1.1000000000000001</c:v>
                </c:pt>
                <c:pt idx="7">
                  <c:v>1.2266666666666666</c:v>
                </c:pt>
                <c:pt idx="8">
                  <c:v>1.37</c:v>
                </c:pt>
                <c:pt idx="9">
                  <c:v>1.53</c:v>
                </c:pt>
                <c:pt idx="10">
                  <c:v>1.7366666666666666</c:v>
                </c:pt>
                <c:pt idx="11">
                  <c:v>1.9533333333333334</c:v>
                </c:pt>
                <c:pt idx="12">
                  <c:v>2.1466666666666665</c:v>
                </c:pt>
                <c:pt idx="13">
                  <c:v>2.4533333333333331</c:v>
                </c:pt>
                <c:pt idx="14">
                  <c:v>2.7033333333333331</c:v>
                </c:pt>
                <c:pt idx="15">
                  <c:v>2.9866666666666668</c:v>
                </c:pt>
                <c:pt idx="16">
                  <c:v>3.0866666666666664</c:v>
                </c:pt>
                <c:pt idx="17">
                  <c:v>3.08</c:v>
                </c:pt>
                <c:pt idx="18">
                  <c:v>3.1133333333333333</c:v>
                </c:pt>
                <c:pt idx="19">
                  <c:v>3.1333333333333333</c:v>
                </c:pt>
                <c:pt idx="20">
                  <c:v>3.15</c:v>
                </c:pt>
                <c:pt idx="21">
                  <c:v>3.1366666666666667</c:v>
                </c:pt>
                <c:pt idx="22">
                  <c:v>3.1066666666666665</c:v>
                </c:pt>
                <c:pt idx="23">
                  <c:v>3.1</c:v>
                </c:pt>
                <c:pt idx="24">
                  <c:v>2.9</c:v>
                </c:pt>
                <c:pt idx="25">
                  <c:v>2.6966666666666668</c:v>
                </c:pt>
                <c:pt idx="26">
                  <c:v>2.5033333333333334</c:v>
                </c:pt>
                <c:pt idx="27">
                  <c:v>2.1533333333333333</c:v>
                </c:pt>
                <c:pt idx="28">
                  <c:v>2.1166666666666667</c:v>
                </c:pt>
                <c:pt idx="29">
                  <c:v>1.96</c:v>
                </c:pt>
                <c:pt idx="30">
                  <c:v>1.82</c:v>
                </c:pt>
                <c:pt idx="31">
                  <c:v>1.5866666666666667</c:v>
                </c:pt>
                <c:pt idx="32">
                  <c:v>1.4566666666666668</c:v>
                </c:pt>
                <c:pt idx="33">
                  <c:v>1.3533333333333333</c:v>
                </c:pt>
                <c:pt idx="34">
                  <c:v>1.2733333333333334</c:v>
                </c:pt>
                <c:pt idx="35">
                  <c:v>1.0266666666666666</c:v>
                </c:pt>
                <c:pt idx="36">
                  <c:v>0.94</c:v>
                </c:pt>
                <c:pt idx="37">
                  <c:v>0.88666666666666671</c:v>
                </c:pt>
                <c:pt idx="38">
                  <c:v>0.84</c:v>
                </c:pt>
                <c:pt idx="39">
                  <c:v>0.77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D8-4A5D-9BB4-4A50BF377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541119"/>
        <c:axId val="610546399"/>
      </c:scatterChart>
      <c:valAx>
        <c:axId val="61054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546399"/>
        <c:crosses val="autoZero"/>
        <c:crossBetween val="midCat"/>
      </c:valAx>
      <c:valAx>
        <c:axId val="61054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541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323850</xdr:colOff>
      <xdr:row>19</xdr:row>
      <xdr:rowOff>110490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81BF083-B5F2-40DF-A7FB-6E265BAF88FD}"/>
            </a:ext>
          </a:extLst>
        </xdr:cNvPr>
        <xdr:cNvSpPr txBox="1"/>
      </xdr:nvSpPr>
      <xdr:spPr>
        <a:xfrm>
          <a:off x="6816090" y="35166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22</xdr:row>
      <xdr:rowOff>80010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3B095FB-4ED6-4D24-B2B4-590E4BF8BD9E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23</xdr:row>
      <xdr:rowOff>80010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9ED95791-85C7-42D5-9EF2-B191E5587836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24</xdr:row>
      <xdr:rowOff>80010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E9425E06-E8BE-47C8-8BD1-BA601ECCFCA8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25</xdr:row>
      <xdr:rowOff>80010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CE259FD-B56E-45AF-B944-033272F356CD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26</xdr:row>
      <xdr:rowOff>80010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DEAF4246-A2D6-4368-B64A-249808C188A5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259978</xdr:colOff>
      <xdr:row>36</xdr:row>
      <xdr:rowOff>8964</xdr:rowOff>
    </xdr:from>
    <xdr:to>
      <xdr:col>16</xdr:col>
      <xdr:colOff>0</xdr:colOff>
      <xdr:row>56</xdr:row>
      <xdr:rowOff>44824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830AB8F-E920-97DF-8FEF-0E9FCEEDC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600635</xdr:colOff>
      <xdr:row>22</xdr:row>
      <xdr:rowOff>165846</xdr:rowOff>
    </xdr:from>
    <xdr:to>
      <xdr:col>7</xdr:col>
      <xdr:colOff>403411</xdr:colOff>
      <xdr:row>34</xdr:row>
      <xdr:rowOff>170330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93F2710-9985-93EE-89E8-9C3590CBD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430305</xdr:colOff>
      <xdr:row>22</xdr:row>
      <xdr:rowOff>170331</xdr:rowOff>
    </xdr:from>
    <xdr:to>
      <xdr:col>15</xdr:col>
      <xdr:colOff>430306</xdr:colOff>
      <xdr:row>35</xdr:row>
      <xdr:rowOff>31375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9E32E06-257A-7AD6-7E1D-FC8001F0D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1</xdr:row>
      <xdr:rowOff>18143</xdr:rowOff>
    </xdr:from>
    <xdr:to>
      <xdr:col>12</xdr:col>
      <xdr:colOff>18143</xdr:colOff>
      <xdr:row>43</xdr:row>
      <xdr:rowOff>117930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73CFF75-CC0B-FF2C-56DE-F17525C89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zjm54321/SHMTU-Automation-Resourc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89D-5DE1-4D8D-BE68-F86D0C1B8DF9}">
  <dimension ref="A1:E10"/>
  <sheetViews>
    <sheetView tabSelected="1" workbookViewId="0">
      <selection activeCell="E7" sqref="E7"/>
    </sheetView>
  </sheetViews>
  <sheetFormatPr defaultRowHeight="25" x14ac:dyDescent="0.3"/>
  <cols>
    <col min="1" max="1" width="45.4140625" style="109" bestFit="1" customWidth="1"/>
    <col min="3" max="3" width="3.6640625" customWidth="1"/>
    <col min="4" max="4" width="11.6640625" bestFit="1" customWidth="1"/>
    <col min="5" max="5" width="56.75" bestFit="1" customWidth="1"/>
  </cols>
  <sheetData>
    <row r="1" spans="1:5" ht="25.5" thickTop="1" x14ac:dyDescent="0.3">
      <c r="A1" s="129" t="s">
        <v>112</v>
      </c>
      <c r="C1" s="164" t="s">
        <v>110</v>
      </c>
      <c r="D1" s="110"/>
      <c r="E1" s="111" t="s">
        <v>118</v>
      </c>
    </row>
    <row r="2" spans="1:5" x14ac:dyDescent="0.3">
      <c r="A2" s="130" t="s">
        <v>113</v>
      </c>
      <c r="C2" s="165"/>
      <c r="D2" s="112"/>
      <c r="E2" s="113" t="s">
        <v>119</v>
      </c>
    </row>
    <row r="3" spans="1:5" x14ac:dyDescent="0.3">
      <c r="A3" s="130" t="s">
        <v>117</v>
      </c>
      <c r="C3" s="165"/>
      <c r="D3" s="114" t="s">
        <v>120</v>
      </c>
      <c r="E3" s="113" t="s">
        <v>111</v>
      </c>
    </row>
    <row r="4" spans="1:5" ht="25.5" thickBot="1" x14ac:dyDescent="0.35">
      <c r="A4" s="130" t="s">
        <v>116</v>
      </c>
      <c r="C4" s="166"/>
      <c r="D4" s="115"/>
      <c r="E4" s="116" t="s">
        <v>121</v>
      </c>
    </row>
    <row r="5" spans="1:5" ht="25.5" thickTop="1" x14ac:dyDescent="0.3">
      <c r="A5" s="130" t="s">
        <v>115</v>
      </c>
    </row>
    <row r="6" spans="1:5" x14ac:dyDescent="0.3">
      <c r="A6" s="130" t="s">
        <v>114</v>
      </c>
      <c r="D6" t="s">
        <v>197</v>
      </c>
      <c r="E6" s="163" t="s">
        <v>198</v>
      </c>
    </row>
    <row r="7" spans="1:5" x14ac:dyDescent="0.3">
      <c r="A7" s="131" t="s">
        <v>139</v>
      </c>
    </row>
    <row r="8" spans="1:5" x14ac:dyDescent="0.3">
      <c r="A8" s="130" t="s">
        <v>194</v>
      </c>
    </row>
    <row r="9" spans="1:5" x14ac:dyDescent="0.3">
      <c r="A9" s="130" t="s">
        <v>195</v>
      </c>
    </row>
    <row r="10" spans="1:5" x14ac:dyDescent="0.3">
      <c r="A10" s="130" t="s">
        <v>196</v>
      </c>
    </row>
  </sheetData>
  <mergeCells count="1">
    <mergeCell ref="C1:C4"/>
  </mergeCells>
  <phoneticPr fontId="1" type="noConversion"/>
  <hyperlinks>
    <hyperlink ref="A2" location="长度的测量!A1" display="长度的测量" xr:uid="{1E09A82B-886C-489D-AC10-F8D9B16F2AE0}"/>
    <hyperlink ref="A3" location="单摆测重力加速度!A1" display="单摆测重力加速度" xr:uid="{6A8380B4-1DFE-4A00-8084-41FEBECC0699}"/>
    <hyperlink ref="A4" location="三线摆测物体的转动惯量!A1" display="三线摆测物体的转动惯量" xr:uid="{9CE4C102-2824-496C-8317-403B6BAF01FB}"/>
    <hyperlink ref="A5" location="光栅测定光波波长!A1" display="光栅测定光波波长" xr:uid="{83E6F457-570B-4A5E-85CB-03B38EB34846}"/>
    <hyperlink ref="A6" location="数字示波器的使用!A1" display="数字示波器的使用" xr:uid="{74EC47CA-A051-42BA-981D-1AF3BDEF9461}"/>
    <hyperlink ref="A7" location="等厚干涉!A1" display="等厚干涉" xr:uid="{0CDA16F6-3B20-4BA6-90D8-F890C15F7658}"/>
    <hyperlink ref="A8" location="仿真!A1" display="仿真" xr:uid="{2122028A-6DF0-45EB-875C-D0DEDF4E466E}"/>
    <hyperlink ref="A9" location="光伏电池!A1" display="光伏电池" xr:uid="{980BFCC6-863C-41AE-9147-89B0F0E37206}"/>
    <hyperlink ref="A10" location="RLC!A1" display="RLC" xr:uid="{4B03C6FC-8A16-43A9-9D47-CBAEBE51291E}"/>
    <hyperlink ref="E6" r:id="rId1" xr:uid="{E43B4457-6E04-4BCF-8426-1C5A510B93E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557D-B5E2-47DF-A008-A9E5A2CB3D6D}">
  <dimension ref="A1:O28"/>
  <sheetViews>
    <sheetView zoomScaleNormal="100" workbookViewId="0">
      <selection sqref="A1:G1"/>
    </sheetView>
  </sheetViews>
  <sheetFormatPr defaultRowHeight="14" x14ac:dyDescent="0.3"/>
  <cols>
    <col min="1" max="1" width="7.33203125" customWidth="1"/>
    <col min="2" max="2" width="6.58203125" bestFit="1" customWidth="1"/>
    <col min="3" max="3" width="7.58203125" bestFit="1" customWidth="1"/>
    <col min="4" max="6" width="6.58203125" bestFit="1" customWidth="1"/>
    <col min="7" max="7" width="7" bestFit="1" customWidth="1"/>
  </cols>
  <sheetData>
    <row r="1" spans="1:15" ht="14.5" thickBot="1" x14ac:dyDescent="0.35">
      <c r="A1" s="167" t="s">
        <v>8</v>
      </c>
      <c r="B1" s="168"/>
      <c r="C1" s="168"/>
      <c r="D1" s="168"/>
      <c r="E1" s="168"/>
      <c r="F1" s="168"/>
      <c r="G1" s="168"/>
      <c r="H1" s="12"/>
    </row>
    <row r="2" spans="1:15" ht="14.5" thickTop="1" x14ac:dyDescent="0.3">
      <c r="A2" s="7"/>
      <c r="B2" s="2">
        <v>1</v>
      </c>
      <c r="C2" s="2">
        <v>2</v>
      </c>
      <c r="D2" s="2">
        <v>3</v>
      </c>
      <c r="E2" s="2">
        <v>4</v>
      </c>
      <c r="F2" s="2">
        <v>5</v>
      </c>
      <c r="G2" s="13">
        <v>6</v>
      </c>
      <c r="H2" s="14"/>
    </row>
    <row r="3" spans="1:15" x14ac:dyDescent="0.3">
      <c r="A3" s="8" t="s">
        <v>3</v>
      </c>
      <c r="B3" s="31">
        <v>39.979999999999997</v>
      </c>
      <c r="C3" s="31">
        <v>39.99</v>
      </c>
      <c r="D3" s="31">
        <v>40</v>
      </c>
      <c r="E3" s="31">
        <v>40</v>
      </c>
      <c r="F3" s="31">
        <v>40.01</v>
      </c>
      <c r="G3" s="32">
        <v>40.020000000000003</v>
      </c>
      <c r="H3" s="14"/>
      <c r="J3">
        <f t="shared" ref="J3:J11" si="0">B19</f>
        <v>40</v>
      </c>
      <c r="K3">
        <f t="shared" ref="K3:K11" si="1">J3</f>
        <v>40</v>
      </c>
      <c r="L3">
        <f t="shared" ref="L3:L11" si="2">J3</f>
        <v>40</v>
      </c>
      <c r="M3">
        <f t="shared" ref="M3:M11" si="3">J3</f>
        <v>40</v>
      </c>
      <c r="N3">
        <f t="shared" ref="N3:N11" si="4">J3</f>
        <v>40</v>
      </c>
      <c r="O3">
        <f t="shared" ref="O3:O11" si="5">J3</f>
        <v>40</v>
      </c>
    </row>
    <row r="4" spans="1:15" x14ac:dyDescent="0.3">
      <c r="A4" s="8" t="s">
        <v>7</v>
      </c>
      <c r="B4" s="31">
        <v>24.98</v>
      </c>
      <c r="C4" s="31">
        <v>24.99</v>
      </c>
      <c r="D4" s="31">
        <v>25</v>
      </c>
      <c r="E4" s="31">
        <v>25</v>
      </c>
      <c r="F4" s="31">
        <v>25.01</v>
      </c>
      <c r="G4" s="32">
        <v>25.02</v>
      </c>
      <c r="H4" s="14"/>
      <c r="J4">
        <f t="shared" si="0"/>
        <v>25</v>
      </c>
      <c r="K4">
        <f t="shared" si="1"/>
        <v>25</v>
      </c>
      <c r="L4">
        <f t="shared" si="2"/>
        <v>25</v>
      </c>
      <c r="M4">
        <f t="shared" si="3"/>
        <v>25</v>
      </c>
      <c r="N4">
        <f t="shared" si="4"/>
        <v>25</v>
      </c>
      <c r="O4">
        <f t="shared" si="5"/>
        <v>25</v>
      </c>
    </row>
    <row r="5" spans="1:15" x14ac:dyDescent="0.3">
      <c r="A5" s="8" t="s">
        <v>9</v>
      </c>
      <c r="B5" s="31">
        <v>7.98</v>
      </c>
      <c r="C5" s="31">
        <v>7.99</v>
      </c>
      <c r="D5" s="31">
        <v>8</v>
      </c>
      <c r="E5" s="31">
        <v>8</v>
      </c>
      <c r="F5" s="31">
        <v>8.01</v>
      </c>
      <c r="G5" s="32">
        <v>8.02</v>
      </c>
      <c r="H5" s="14"/>
      <c r="J5">
        <f t="shared" si="0"/>
        <v>8</v>
      </c>
      <c r="K5">
        <f t="shared" si="1"/>
        <v>8</v>
      </c>
      <c r="L5">
        <f t="shared" si="2"/>
        <v>8</v>
      </c>
      <c r="M5">
        <f t="shared" si="3"/>
        <v>8</v>
      </c>
      <c r="N5">
        <f t="shared" si="4"/>
        <v>8</v>
      </c>
      <c r="O5">
        <f t="shared" si="5"/>
        <v>8</v>
      </c>
    </row>
    <row r="6" spans="1:15" x14ac:dyDescent="0.3">
      <c r="A6" s="8" t="s">
        <v>10</v>
      </c>
      <c r="B6" s="31">
        <v>7.98</v>
      </c>
      <c r="C6" s="31">
        <v>7.99</v>
      </c>
      <c r="D6" s="31">
        <v>8</v>
      </c>
      <c r="E6" s="31">
        <v>8</v>
      </c>
      <c r="F6" s="31">
        <v>8.01</v>
      </c>
      <c r="G6" s="32">
        <v>8.02</v>
      </c>
      <c r="H6" s="14"/>
      <c r="J6">
        <f t="shared" si="0"/>
        <v>8</v>
      </c>
      <c r="K6">
        <f t="shared" si="1"/>
        <v>8</v>
      </c>
      <c r="L6">
        <f t="shared" si="2"/>
        <v>8</v>
      </c>
      <c r="M6">
        <f t="shared" si="3"/>
        <v>8</v>
      </c>
      <c r="N6">
        <f t="shared" si="4"/>
        <v>8</v>
      </c>
      <c r="O6">
        <f t="shared" si="5"/>
        <v>8</v>
      </c>
    </row>
    <row r="7" spans="1:15" x14ac:dyDescent="0.3">
      <c r="A7" s="8" t="s">
        <v>1</v>
      </c>
      <c r="B7" s="33">
        <v>7.9980000000000002</v>
      </c>
      <c r="C7" s="33">
        <v>7.9989999999999997</v>
      </c>
      <c r="D7" s="33">
        <v>8</v>
      </c>
      <c r="E7" s="33">
        <v>8</v>
      </c>
      <c r="F7" s="33">
        <v>8.0009999999999994</v>
      </c>
      <c r="G7" s="34">
        <v>8.0020000000000007</v>
      </c>
      <c r="H7" s="14"/>
      <c r="J7">
        <f t="shared" si="0"/>
        <v>8</v>
      </c>
      <c r="K7">
        <f t="shared" si="1"/>
        <v>8</v>
      </c>
      <c r="L7">
        <f t="shared" si="2"/>
        <v>8</v>
      </c>
      <c r="M7">
        <f t="shared" si="3"/>
        <v>8</v>
      </c>
      <c r="N7">
        <f t="shared" si="4"/>
        <v>8</v>
      </c>
      <c r="O7">
        <f t="shared" si="5"/>
        <v>8</v>
      </c>
    </row>
    <row r="8" spans="1:15" x14ac:dyDescent="0.3">
      <c r="A8" s="8" t="s">
        <v>0</v>
      </c>
      <c r="B8" s="15">
        <v>127.8</v>
      </c>
      <c r="C8" s="15">
        <v>127.9</v>
      </c>
      <c r="D8" s="15">
        <v>128</v>
      </c>
      <c r="E8" s="15">
        <v>128</v>
      </c>
      <c r="F8" s="15">
        <v>128.1</v>
      </c>
      <c r="G8" s="35">
        <v>128.19999999999999</v>
      </c>
      <c r="H8" s="14"/>
      <c r="J8">
        <f t="shared" si="0"/>
        <v>128</v>
      </c>
      <c r="K8">
        <f t="shared" si="1"/>
        <v>128</v>
      </c>
      <c r="L8">
        <f t="shared" si="2"/>
        <v>128</v>
      </c>
      <c r="M8">
        <f t="shared" si="3"/>
        <v>128</v>
      </c>
      <c r="N8">
        <f t="shared" si="4"/>
        <v>128</v>
      </c>
      <c r="O8">
        <f t="shared" si="5"/>
        <v>128</v>
      </c>
    </row>
    <row r="9" spans="1:15" x14ac:dyDescent="0.3">
      <c r="A9" s="8" t="s">
        <v>11</v>
      </c>
      <c r="B9" s="31">
        <v>20.98</v>
      </c>
      <c r="C9" s="31">
        <v>20.99</v>
      </c>
      <c r="D9" s="31">
        <v>21</v>
      </c>
      <c r="E9" s="31">
        <v>21</v>
      </c>
      <c r="F9" s="31">
        <v>21.01</v>
      </c>
      <c r="G9" s="32">
        <v>21.02</v>
      </c>
      <c r="H9" s="14"/>
      <c r="J9">
        <f t="shared" si="0"/>
        <v>21</v>
      </c>
      <c r="K9">
        <f t="shared" si="1"/>
        <v>21</v>
      </c>
      <c r="L9">
        <f t="shared" si="2"/>
        <v>21</v>
      </c>
      <c r="M9">
        <f t="shared" si="3"/>
        <v>21</v>
      </c>
      <c r="N9">
        <f t="shared" si="4"/>
        <v>21</v>
      </c>
      <c r="O9">
        <f t="shared" si="5"/>
        <v>21</v>
      </c>
    </row>
    <row r="10" spans="1:15" x14ac:dyDescent="0.3">
      <c r="A10" s="8" t="s">
        <v>12</v>
      </c>
      <c r="B10" s="31">
        <v>7.98</v>
      </c>
      <c r="C10" s="31">
        <v>7.99</v>
      </c>
      <c r="D10" s="31">
        <v>8</v>
      </c>
      <c r="E10" s="31">
        <v>8</v>
      </c>
      <c r="F10" s="31">
        <v>8.01</v>
      </c>
      <c r="G10" s="32">
        <v>8.02</v>
      </c>
      <c r="H10" s="14"/>
      <c r="J10">
        <f t="shared" si="0"/>
        <v>8</v>
      </c>
      <c r="K10">
        <f t="shared" si="1"/>
        <v>8</v>
      </c>
      <c r="L10">
        <f t="shared" si="2"/>
        <v>8</v>
      </c>
      <c r="M10">
        <f t="shared" si="3"/>
        <v>8</v>
      </c>
      <c r="N10">
        <f t="shared" si="4"/>
        <v>8</v>
      </c>
      <c r="O10">
        <f t="shared" si="5"/>
        <v>8</v>
      </c>
    </row>
    <row r="11" spans="1:15" ht="14.5" thickBot="1" x14ac:dyDescent="0.35">
      <c r="A11" s="9" t="s">
        <v>13</v>
      </c>
      <c r="B11" s="17">
        <v>29.98</v>
      </c>
      <c r="C11" s="17">
        <v>29.99</v>
      </c>
      <c r="D11" s="17">
        <v>30</v>
      </c>
      <c r="E11" s="17">
        <v>30</v>
      </c>
      <c r="F11" s="17">
        <v>30.01</v>
      </c>
      <c r="G11" s="36">
        <v>30.02</v>
      </c>
      <c r="H11" s="14"/>
      <c r="J11">
        <f t="shared" si="0"/>
        <v>30</v>
      </c>
      <c r="K11">
        <f t="shared" si="1"/>
        <v>30</v>
      </c>
      <c r="L11">
        <f t="shared" si="2"/>
        <v>30</v>
      </c>
      <c r="M11">
        <f t="shared" si="3"/>
        <v>30</v>
      </c>
      <c r="N11">
        <f t="shared" si="4"/>
        <v>30</v>
      </c>
      <c r="O11">
        <f t="shared" si="5"/>
        <v>30</v>
      </c>
    </row>
    <row r="12" spans="1:15" ht="15" thickTop="1" thickBot="1" x14ac:dyDescent="0.35">
      <c r="A12" s="10"/>
      <c r="B12" s="11"/>
      <c r="C12" s="11"/>
      <c r="D12" s="11"/>
      <c r="E12" s="11"/>
      <c r="F12" s="11"/>
      <c r="G12" s="11"/>
      <c r="H12" s="14"/>
    </row>
    <row r="13" spans="1:15" ht="42.5" thickTop="1" x14ac:dyDescent="0.3">
      <c r="A13" s="71" t="s">
        <v>14</v>
      </c>
      <c r="B13" s="37">
        <v>0</v>
      </c>
      <c r="D13" s="11"/>
      <c r="E13" s="11"/>
      <c r="F13" s="11"/>
      <c r="G13" s="11"/>
      <c r="H13" s="14"/>
    </row>
    <row r="14" spans="1:15" ht="42" x14ac:dyDescent="0.3">
      <c r="A14" s="72" t="s">
        <v>15</v>
      </c>
      <c r="B14" s="32">
        <v>0</v>
      </c>
      <c r="D14" s="11"/>
      <c r="E14" s="11"/>
      <c r="F14" s="11"/>
      <c r="G14" s="11"/>
      <c r="H14" s="14"/>
    </row>
    <row r="15" spans="1:15" ht="28.5" thickBot="1" x14ac:dyDescent="0.35">
      <c r="A15" s="73" t="s">
        <v>16</v>
      </c>
      <c r="B15" s="36">
        <v>0</v>
      </c>
      <c r="D15" s="11"/>
      <c r="E15" s="11"/>
      <c r="F15" s="11"/>
      <c r="G15" s="11"/>
      <c r="H15" s="14"/>
    </row>
    <row r="16" spans="1:15" ht="14.5" thickTop="1" x14ac:dyDescent="0.3">
      <c r="A16" s="10"/>
      <c r="B16" s="11"/>
      <c r="C16" s="11"/>
      <c r="D16" s="11"/>
      <c r="E16" s="11"/>
      <c r="F16" s="11"/>
      <c r="G16" s="11"/>
      <c r="H16" s="14"/>
    </row>
    <row r="17" spans="1:8" ht="14.5" thickBot="1" x14ac:dyDescent="0.35">
      <c r="A17" s="169" t="s">
        <v>17</v>
      </c>
      <c r="B17" s="170"/>
      <c r="C17" s="170"/>
      <c r="D17" s="170"/>
      <c r="E17" s="170"/>
      <c r="F17" s="170"/>
      <c r="G17" s="170"/>
      <c r="H17" s="14"/>
    </row>
    <row r="18" spans="1:8" ht="14.5" thickTop="1" x14ac:dyDescent="0.3">
      <c r="A18" s="7"/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13" t="s">
        <v>2</v>
      </c>
      <c r="H18" s="14"/>
    </row>
    <row r="19" spans="1:8" x14ac:dyDescent="0.3">
      <c r="A19" s="8" t="s">
        <v>3</v>
      </c>
      <c r="B19" s="64">
        <f>AVERAGE(B3:G3)-B14</f>
        <v>40</v>
      </c>
      <c r="C19" s="67">
        <f>SQRT(SUMXMY2(B3:G3,J3:O3)/30)</f>
        <v>5.7735026918967498E-3</v>
      </c>
      <c r="D19" s="38">
        <v>1.2E-2</v>
      </c>
      <c r="E19" s="48">
        <f>SQRT(SUMSQ(C19:D19))</f>
        <v>1.3316656236958999E-2</v>
      </c>
      <c r="F19" s="48">
        <f>2*E19</f>
        <v>2.6633312473917998E-2</v>
      </c>
      <c r="G19" s="69">
        <f>F19/B19</f>
        <v>6.6583281184794997E-4</v>
      </c>
      <c r="H19" s="14"/>
    </row>
    <row r="20" spans="1:8" x14ac:dyDescent="0.3">
      <c r="A20" s="8" t="s">
        <v>7</v>
      </c>
      <c r="B20" s="64">
        <f>AVERAGE(B4:G4)-B14</f>
        <v>25</v>
      </c>
      <c r="C20" s="67">
        <f t="shared" ref="C20:C27" si="6">SQRT(SUMXMY2(B4:G4,J4:O4)/30)</f>
        <v>5.7735026918963404E-3</v>
      </c>
      <c r="D20" s="38">
        <v>1.2E-2</v>
      </c>
      <c r="E20" s="48">
        <f t="shared" ref="E20:E27" si="7">SQRT(SUMSQ(C20:D20))</f>
        <v>1.3316656236958822E-2</v>
      </c>
      <c r="F20" s="48">
        <f t="shared" ref="F20:F27" si="8">2*E20</f>
        <v>2.6633312473917644E-2</v>
      </c>
      <c r="G20" s="69">
        <f t="shared" ref="G20:G27" si="9">F20/B20</f>
        <v>1.0653324989567058E-3</v>
      </c>
      <c r="H20" s="14"/>
    </row>
    <row r="21" spans="1:8" x14ac:dyDescent="0.3">
      <c r="A21" s="8" t="s">
        <v>9</v>
      </c>
      <c r="B21" s="64">
        <f>AVERAGE(B5:G5)-B14</f>
        <v>8</v>
      </c>
      <c r="C21" s="67">
        <f t="shared" si="6"/>
        <v>5.7735026918961348E-3</v>
      </c>
      <c r="D21" s="38">
        <v>1.2E-2</v>
      </c>
      <c r="E21" s="48">
        <f t="shared" si="7"/>
        <v>1.3316656236958734E-2</v>
      </c>
      <c r="F21" s="48">
        <f t="shared" si="8"/>
        <v>2.6633312473917467E-2</v>
      </c>
      <c r="G21" s="69">
        <f t="shared" si="9"/>
        <v>3.3291640592396834E-3</v>
      </c>
      <c r="H21" s="14"/>
    </row>
    <row r="22" spans="1:8" x14ac:dyDescent="0.3">
      <c r="A22" s="8" t="s">
        <v>10</v>
      </c>
      <c r="B22" s="64">
        <f>AVERAGE(B6:G6)-B14</f>
        <v>8</v>
      </c>
      <c r="C22" s="67">
        <f t="shared" si="6"/>
        <v>5.7735026918961348E-3</v>
      </c>
      <c r="D22" s="38">
        <v>2E-3</v>
      </c>
      <c r="E22" s="48">
        <f t="shared" si="7"/>
        <v>6.1101009266076702E-3</v>
      </c>
      <c r="F22" s="48">
        <f t="shared" si="8"/>
        <v>1.222020185321534E-2</v>
      </c>
      <c r="G22" s="69">
        <f t="shared" si="9"/>
        <v>1.5275252316519175E-3</v>
      </c>
      <c r="H22" s="14"/>
    </row>
    <row r="23" spans="1:8" x14ac:dyDescent="0.3">
      <c r="A23" s="8" t="s">
        <v>1</v>
      </c>
      <c r="B23" s="64">
        <f>AVERAGE(B7:G7)-B13</f>
        <v>8</v>
      </c>
      <c r="C23" s="67">
        <f t="shared" si="6"/>
        <v>5.7735026918966472E-4</v>
      </c>
      <c r="D23" s="38">
        <v>2E-3</v>
      </c>
      <c r="E23" s="48">
        <f t="shared" si="7"/>
        <v>2.0816659994661434E-3</v>
      </c>
      <c r="F23" s="48">
        <f t="shared" si="8"/>
        <v>4.1633319989322869E-3</v>
      </c>
      <c r="G23" s="69">
        <f t="shared" si="9"/>
        <v>5.2041649986653586E-4</v>
      </c>
      <c r="H23" s="14"/>
    </row>
    <row r="24" spans="1:8" x14ac:dyDescent="0.3">
      <c r="A24" s="8" t="s">
        <v>0</v>
      </c>
      <c r="B24" s="66">
        <f>AVERAGE(B8:G8)-B15</f>
        <v>128</v>
      </c>
      <c r="C24" s="48">
        <f t="shared" si="6"/>
        <v>5.7735026918960937E-2</v>
      </c>
      <c r="D24" s="38">
        <v>0.02</v>
      </c>
      <c r="E24" s="64">
        <f t="shared" si="7"/>
        <v>6.1101009266076318E-2</v>
      </c>
      <c r="F24" s="48">
        <f t="shared" si="8"/>
        <v>0.12220201853215264</v>
      </c>
      <c r="G24" s="55">
        <f t="shared" si="9"/>
        <v>9.5470326978244248E-4</v>
      </c>
      <c r="H24" s="14"/>
    </row>
    <row r="25" spans="1:8" x14ac:dyDescent="0.3">
      <c r="A25" s="8" t="s">
        <v>11</v>
      </c>
      <c r="B25" s="64">
        <f>AVERAGE(B9:G9)-B14</f>
        <v>21</v>
      </c>
      <c r="C25" s="67">
        <f t="shared" si="6"/>
        <v>5.7735026918963404E-3</v>
      </c>
      <c r="D25" s="38">
        <v>1.2E-2</v>
      </c>
      <c r="E25" s="48">
        <f t="shared" si="7"/>
        <v>1.3316656236958822E-2</v>
      </c>
      <c r="F25" s="48">
        <f t="shared" si="8"/>
        <v>2.6633312473917644E-2</v>
      </c>
      <c r="G25" s="69">
        <f t="shared" si="9"/>
        <v>1.2682529749484593E-3</v>
      </c>
      <c r="H25" s="14"/>
    </row>
    <row r="26" spans="1:8" x14ac:dyDescent="0.3">
      <c r="A26" s="8" t="s">
        <v>12</v>
      </c>
      <c r="B26" s="64">
        <f>AVERAGE(B10:G10)-B14</f>
        <v>8</v>
      </c>
      <c r="C26" s="67">
        <f t="shared" si="6"/>
        <v>5.7735026918961348E-3</v>
      </c>
      <c r="D26" s="38">
        <v>1.2E-2</v>
      </c>
      <c r="E26" s="48">
        <f t="shared" si="7"/>
        <v>1.3316656236958734E-2</v>
      </c>
      <c r="F26" s="48">
        <f t="shared" si="8"/>
        <v>2.6633312473917467E-2</v>
      </c>
      <c r="G26" s="69">
        <f t="shared" si="9"/>
        <v>3.3291640592396834E-3</v>
      </c>
      <c r="H26" s="14"/>
    </row>
    <row r="27" spans="1:8" ht="14.5" thickBot="1" x14ac:dyDescent="0.35">
      <c r="A27" s="9" t="s">
        <v>13</v>
      </c>
      <c r="B27" s="65">
        <f>AVERAGE(B11:G11)-B14</f>
        <v>30</v>
      </c>
      <c r="C27" s="68">
        <f t="shared" si="6"/>
        <v>5.7735026918963404E-3</v>
      </c>
      <c r="D27" s="40">
        <v>1.2E-2</v>
      </c>
      <c r="E27" s="50">
        <f t="shared" si="7"/>
        <v>1.3316656236958822E-2</v>
      </c>
      <c r="F27" s="50">
        <f t="shared" si="8"/>
        <v>2.6633312473917644E-2</v>
      </c>
      <c r="G27" s="70">
        <f t="shared" si="9"/>
        <v>8.8777708246392151E-4</v>
      </c>
      <c r="H27" s="14"/>
    </row>
    <row r="28" spans="1:8" ht="15" thickTop="1" thickBot="1" x14ac:dyDescent="0.35">
      <c r="A28" s="28"/>
      <c r="B28" s="29"/>
      <c r="C28" s="29"/>
      <c r="D28" s="29"/>
      <c r="E28" s="29"/>
      <c r="F28" s="29"/>
      <c r="G28" s="29"/>
      <c r="H28" s="30"/>
    </row>
  </sheetData>
  <mergeCells count="2">
    <mergeCell ref="A1:G1"/>
    <mergeCell ref="A17:G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2714-0455-41D1-95FE-B4BF050C3231}">
  <dimension ref="A1:P20"/>
  <sheetViews>
    <sheetView zoomScaleNormal="100" workbookViewId="0"/>
  </sheetViews>
  <sheetFormatPr defaultRowHeight="14" x14ac:dyDescent="0.3"/>
  <cols>
    <col min="1" max="1" width="8" bestFit="1" customWidth="1"/>
    <col min="2" max="3" width="9.58203125" bestFit="1" customWidth="1"/>
    <col min="4" max="4" width="10.4140625" bestFit="1" customWidth="1"/>
    <col min="5" max="8" width="6.58203125" bestFit="1" customWidth="1"/>
    <col min="9" max="9" width="7.6640625" customWidth="1"/>
  </cols>
  <sheetData>
    <row r="1" spans="1:16" ht="14.5" thickBot="1" x14ac:dyDescent="0.35">
      <c r="A1" s="5"/>
      <c r="B1" s="6"/>
      <c r="C1" s="6"/>
      <c r="D1" s="6"/>
      <c r="E1" s="6"/>
      <c r="F1" s="6"/>
      <c r="G1" s="6"/>
      <c r="H1" s="6"/>
      <c r="I1" s="12"/>
    </row>
    <row r="2" spans="1:16" ht="14.5" thickTop="1" x14ac:dyDescent="0.3">
      <c r="A2" s="76" t="s">
        <v>25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13" t="s">
        <v>23</v>
      </c>
      <c r="I2" s="14"/>
    </row>
    <row r="3" spans="1:16" x14ac:dyDescent="0.3">
      <c r="A3" s="77" t="s">
        <v>0</v>
      </c>
      <c r="B3" s="15">
        <v>800.3</v>
      </c>
      <c r="C3" s="15">
        <v>800.1</v>
      </c>
      <c r="D3" s="15">
        <v>801</v>
      </c>
      <c r="E3" s="15">
        <v>800.7</v>
      </c>
      <c r="F3" s="15">
        <v>800.3</v>
      </c>
      <c r="G3" s="15">
        <v>800.1</v>
      </c>
      <c r="H3" s="16">
        <f>AVERAGE(B3:G3)</f>
        <v>800.41666666666686</v>
      </c>
      <c r="I3" s="14"/>
    </row>
    <row r="4" spans="1:16" ht="14.5" thickBot="1" x14ac:dyDescent="0.35">
      <c r="A4" s="78" t="s">
        <v>1</v>
      </c>
      <c r="B4" s="17">
        <v>20</v>
      </c>
      <c r="C4" s="17">
        <v>20.04</v>
      </c>
      <c r="D4" s="17">
        <v>19.98</v>
      </c>
      <c r="E4" s="17">
        <v>20.02</v>
      </c>
      <c r="F4" s="17">
        <v>20</v>
      </c>
      <c r="G4" s="17">
        <v>20</v>
      </c>
      <c r="H4" s="18">
        <f>AVERAGE(B4:G4)</f>
        <v>20.006666666666664</v>
      </c>
      <c r="I4" s="14"/>
    </row>
    <row r="5" spans="1:16" ht="15" thickTop="1" thickBot="1" x14ac:dyDescent="0.35">
      <c r="A5" s="79"/>
      <c r="B5" s="11"/>
      <c r="C5" s="11"/>
      <c r="D5" s="11"/>
      <c r="E5" s="11"/>
      <c r="F5" s="11"/>
      <c r="G5" s="11"/>
      <c r="H5" s="11"/>
      <c r="I5" s="14"/>
    </row>
    <row r="6" spans="1:16" ht="15" thickTop="1" thickBot="1" x14ac:dyDescent="0.35">
      <c r="A6" s="80" t="s">
        <v>24</v>
      </c>
      <c r="B6" s="74">
        <f>H3+0.5*H4</f>
        <v>810.42000000000019</v>
      </c>
      <c r="C6" s="11"/>
      <c r="D6" s="11"/>
      <c r="E6" s="11"/>
      <c r="F6" s="11"/>
      <c r="G6" s="11"/>
      <c r="H6" s="11"/>
      <c r="I6" s="14"/>
    </row>
    <row r="7" spans="1:16" ht="15" thickTop="1" thickBot="1" x14ac:dyDescent="0.35">
      <c r="A7" s="79"/>
      <c r="B7" s="11"/>
      <c r="C7" s="11"/>
      <c r="D7" s="11"/>
      <c r="E7" s="11"/>
      <c r="F7" s="11"/>
      <c r="G7" s="11"/>
      <c r="H7" s="11"/>
      <c r="I7" s="14"/>
    </row>
    <row r="8" spans="1:16" ht="15" thickTop="1" thickBot="1" x14ac:dyDescent="0.35">
      <c r="A8" s="80" t="s">
        <v>32</v>
      </c>
      <c r="B8" s="75">
        <v>9.7940000000000005</v>
      </c>
      <c r="C8" s="11"/>
      <c r="D8" s="11"/>
      <c r="E8" s="11"/>
      <c r="F8" s="11"/>
      <c r="G8" s="11"/>
      <c r="H8" s="11"/>
      <c r="I8" s="14"/>
    </row>
    <row r="9" spans="1:16" ht="15" thickTop="1" thickBot="1" x14ac:dyDescent="0.35">
      <c r="A9" s="79"/>
      <c r="B9" s="11"/>
      <c r="C9" s="11"/>
      <c r="D9" s="11"/>
      <c r="E9" s="11"/>
      <c r="F9" s="11"/>
      <c r="G9" s="11"/>
      <c r="H9" s="11"/>
      <c r="I9" s="14"/>
      <c r="P9" s="1"/>
    </row>
    <row r="10" spans="1:16" ht="28.5" thickTop="1" x14ac:dyDescent="0.3">
      <c r="A10" s="76" t="s">
        <v>26</v>
      </c>
      <c r="B10" s="19" t="s">
        <v>27</v>
      </c>
      <c r="C10" s="2" t="s">
        <v>28</v>
      </c>
      <c r="D10" s="13" t="s">
        <v>29</v>
      </c>
      <c r="E10" s="11"/>
      <c r="F10" s="11"/>
      <c r="G10" s="11"/>
      <c r="H10" s="11"/>
      <c r="I10" s="14"/>
      <c r="P10" s="1"/>
    </row>
    <row r="11" spans="1:16" x14ac:dyDescent="0.3">
      <c r="A11" s="77">
        <v>1</v>
      </c>
      <c r="B11" s="20">
        <v>1.8026819999999999</v>
      </c>
      <c r="C11" s="20">
        <v>1.8031459999999999</v>
      </c>
      <c r="D11" s="21">
        <v>1.807342</v>
      </c>
      <c r="E11" s="11"/>
      <c r="F11" s="11"/>
      <c r="G11" s="11"/>
      <c r="H11" s="11"/>
      <c r="I11" s="14"/>
      <c r="P11" s="1"/>
    </row>
    <row r="12" spans="1:16" x14ac:dyDescent="0.3">
      <c r="A12" s="77">
        <v>2</v>
      </c>
      <c r="B12" s="20">
        <v>1.8022899999999999</v>
      </c>
      <c r="C12" s="20">
        <v>1.804001</v>
      </c>
      <c r="D12" s="21">
        <v>1.802862</v>
      </c>
      <c r="E12" s="11"/>
      <c r="F12" s="11"/>
      <c r="G12" s="11"/>
      <c r="H12" s="11"/>
      <c r="I12" s="14"/>
    </row>
    <row r="13" spans="1:16" x14ac:dyDescent="0.3">
      <c r="A13" s="77">
        <v>3</v>
      </c>
      <c r="B13" s="20">
        <v>1.802265</v>
      </c>
      <c r="C13" s="20">
        <v>1.803426</v>
      </c>
      <c r="D13" s="21">
        <v>1.8070440000000001</v>
      </c>
      <c r="E13" s="11"/>
      <c r="F13" s="11"/>
      <c r="G13" s="11"/>
      <c r="H13" s="11"/>
      <c r="I13" s="14"/>
    </row>
    <row r="14" spans="1:16" x14ac:dyDescent="0.3">
      <c r="A14" s="77">
        <v>4</v>
      </c>
      <c r="B14" s="20">
        <v>1.8026549999999999</v>
      </c>
      <c r="C14" s="20">
        <v>1.8031820000000001</v>
      </c>
      <c r="D14" s="21">
        <v>1.8064960000000001</v>
      </c>
      <c r="E14" s="11"/>
      <c r="F14" s="11"/>
      <c r="G14" s="11"/>
      <c r="H14" s="11"/>
      <c r="I14" s="14"/>
    </row>
    <row r="15" spans="1:16" x14ac:dyDescent="0.3">
      <c r="A15" s="77">
        <v>5</v>
      </c>
      <c r="B15" s="20">
        <v>1.8018339999999999</v>
      </c>
      <c r="C15" s="20">
        <v>1.804022</v>
      </c>
      <c r="D15" s="21">
        <v>1.807402</v>
      </c>
      <c r="E15" s="11"/>
      <c r="F15" s="11"/>
      <c r="G15" s="11"/>
      <c r="H15" s="11"/>
      <c r="I15" s="14"/>
    </row>
    <row r="16" spans="1:16" x14ac:dyDescent="0.3">
      <c r="A16" s="77">
        <v>6</v>
      </c>
      <c r="B16" s="20">
        <v>1.801982</v>
      </c>
      <c r="C16" s="20">
        <v>1.804038</v>
      </c>
      <c r="D16" s="21">
        <v>1.806864</v>
      </c>
      <c r="E16" s="11"/>
      <c r="F16" s="11"/>
      <c r="G16" s="11"/>
      <c r="H16" s="11"/>
      <c r="I16" s="14"/>
    </row>
    <row r="17" spans="1:9" ht="28.5" thickBot="1" x14ac:dyDescent="0.35">
      <c r="A17" s="78" t="s">
        <v>74</v>
      </c>
      <c r="B17" s="22">
        <f>AVERAGE(B11:B16)</f>
        <v>1.8022846666666668</v>
      </c>
      <c r="C17" s="22">
        <f t="shared" ref="C17:D17" si="0">AVERAGE(C11:C16)</f>
        <v>1.8036358333333331</v>
      </c>
      <c r="D17" s="23">
        <f t="shared" si="0"/>
        <v>1.806335</v>
      </c>
      <c r="E17" s="11"/>
      <c r="F17" s="11"/>
      <c r="G17" s="11"/>
      <c r="H17" s="11"/>
      <c r="I17" s="14"/>
    </row>
    <row r="18" spans="1:9" ht="14.5" thickTop="1" x14ac:dyDescent="0.3">
      <c r="A18" s="76" t="s">
        <v>30</v>
      </c>
      <c r="B18" s="24">
        <f>4*(3.1415^2)*B6*0.001/(B17^2)</f>
        <v>9.8491214764147887</v>
      </c>
      <c r="C18" s="24">
        <f>4*(3.1415^2)*B6*0.001/(C17^2)</f>
        <v>9.8343703612305031</v>
      </c>
      <c r="D18" s="25">
        <f>4*(3.1415^2)*B6*0.001/(D17^2)</f>
        <v>9.8050017533508029</v>
      </c>
      <c r="E18" s="11"/>
      <c r="F18" s="11"/>
      <c r="G18" s="11"/>
      <c r="H18" s="11"/>
      <c r="I18" s="14"/>
    </row>
    <row r="19" spans="1:9" ht="14.5" thickBot="1" x14ac:dyDescent="0.35">
      <c r="A19" s="78" t="s">
        <v>31</v>
      </c>
      <c r="B19" s="26">
        <f>ABS(B18-B8)/B8</f>
        <v>5.6280862175605737E-3</v>
      </c>
      <c r="C19" s="26">
        <f>ABS(C18-B8)/B8</f>
        <v>4.1219482571475024E-3</v>
      </c>
      <c r="D19" s="27">
        <f>ABS(D18-B8)/B8</f>
        <v>1.1233156372067025E-3</v>
      </c>
      <c r="E19" s="11"/>
      <c r="F19" s="11"/>
      <c r="G19" s="11"/>
      <c r="H19" s="11"/>
      <c r="I19" s="14"/>
    </row>
    <row r="20" spans="1:9" ht="15" thickTop="1" thickBot="1" x14ac:dyDescent="0.35">
      <c r="A20" s="28"/>
      <c r="B20" s="29"/>
      <c r="C20" s="29"/>
      <c r="D20" s="29"/>
      <c r="E20" s="29"/>
      <c r="F20" s="29"/>
      <c r="G20" s="29"/>
      <c r="H20" s="29"/>
      <c r="I20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4D-96E4-4688-BFC8-D93FCF4F8991}">
  <dimension ref="A1:J33"/>
  <sheetViews>
    <sheetView zoomScaleNormal="100" workbookViewId="0"/>
  </sheetViews>
  <sheetFormatPr defaultRowHeight="14" x14ac:dyDescent="0.3"/>
  <cols>
    <col min="1" max="1" width="5.9140625" customWidth="1"/>
    <col min="2" max="2" width="7.58203125" bestFit="1" customWidth="1"/>
    <col min="3" max="3" width="8.75" customWidth="1"/>
    <col min="4" max="4" width="9.4140625" customWidth="1"/>
    <col min="5" max="5" width="7.25" customWidth="1"/>
    <col min="6" max="7" width="6.58203125" bestFit="1" customWidth="1"/>
    <col min="8" max="8" width="7.58203125" bestFit="1" customWidth="1"/>
    <col min="9" max="9" width="6.58203125" bestFit="1" customWidth="1"/>
  </cols>
  <sheetData>
    <row r="1" spans="1:10" ht="14.5" thickBot="1" x14ac:dyDescent="0.35">
      <c r="A1" s="89"/>
      <c r="B1" s="88"/>
      <c r="C1" s="172" t="s">
        <v>33</v>
      </c>
      <c r="D1" s="172"/>
      <c r="E1" s="172"/>
      <c r="F1" s="6"/>
      <c r="G1" s="6"/>
      <c r="H1" s="6"/>
      <c r="I1" s="6"/>
      <c r="J1" s="84"/>
    </row>
    <row r="2" spans="1:10" ht="28.5" thickTop="1" x14ac:dyDescent="0.3">
      <c r="A2" s="10"/>
      <c r="C2" s="42" t="s">
        <v>34</v>
      </c>
      <c r="D2" s="43" t="s">
        <v>35</v>
      </c>
      <c r="E2" s="44" t="s">
        <v>36</v>
      </c>
      <c r="F2" s="11"/>
      <c r="G2" s="11"/>
      <c r="H2" s="11"/>
      <c r="I2" s="11"/>
      <c r="J2" s="85"/>
    </row>
    <row r="3" spans="1:10" ht="14.5" thickBot="1" x14ac:dyDescent="0.35">
      <c r="A3" s="10"/>
      <c r="C3" s="45">
        <v>1084</v>
      </c>
      <c r="D3" s="46">
        <v>386</v>
      </c>
      <c r="E3" s="47">
        <v>138</v>
      </c>
      <c r="F3" s="11"/>
      <c r="G3" s="11"/>
      <c r="H3" s="11"/>
      <c r="I3" s="11"/>
      <c r="J3" s="85"/>
    </row>
    <row r="4" spans="1:10" ht="14.5" thickTop="1" x14ac:dyDescent="0.3">
      <c r="A4" s="10"/>
      <c r="B4" s="11"/>
      <c r="C4" s="11"/>
      <c r="D4" s="11"/>
      <c r="E4" s="11"/>
      <c r="F4" s="11"/>
      <c r="G4" s="11"/>
      <c r="H4" s="11"/>
      <c r="I4" s="11"/>
      <c r="J4" s="85"/>
    </row>
    <row r="5" spans="1:10" ht="14.5" thickBot="1" x14ac:dyDescent="0.35">
      <c r="A5" s="10"/>
      <c r="B5" s="11"/>
      <c r="C5" s="11"/>
      <c r="D5" s="11"/>
      <c r="E5" s="11"/>
      <c r="F5" s="11"/>
      <c r="G5" s="11"/>
      <c r="H5" s="11"/>
      <c r="I5" s="11"/>
      <c r="J5" s="85"/>
    </row>
    <row r="6" spans="1:10" ht="28.5" thickTop="1" x14ac:dyDescent="0.3">
      <c r="A6" s="7"/>
      <c r="B6" s="2"/>
      <c r="C6" s="43" t="s">
        <v>53</v>
      </c>
      <c r="D6" s="43" t="s">
        <v>39</v>
      </c>
      <c r="E6" s="44" t="s">
        <v>38</v>
      </c>
      <c r="F6" s="11"/>
      <c r="G6" s="11"/>
      <c r="H6" s="11"/>
      <c r="I6" s="11"/>
      <c r="J6" s="85"/>
    </row>
    <row r="7" spans="1:10" x14ac:dyDescent="0.3">
      <c r="A7" s="171" t="s">
        <v>37</v>
      </c>
      <c r="B7" s="3">
        <v>1</v>
      </c>
      <c r="C7" s="33">
        <v>44.328000000000003</v>
      </c>
      <c r="D7" s="33">
        <v>42.826000000000001</v>
      </c>
      <c r="E7" s="34">
        <v>46.406999999999996</v>
      </c>
      <c r="F7" s="11"/>
      <c r="G7" s="11"/>
      <c r="H7" s="11"/>
      <c r="I7" s="11"/>
      <c r="J7" s="85"/>
    </row>
    <row r="8" spans="1:10" x14ac:dyDescent="0.3">
      <c r="A8" s="171"/>
      <c r="B8" s="3">
        <v>2</v>
      </c>
      <c r="C8" s="33">
        <v>50.844000000000001</v>
      </c>
      <c r="D8" s="33">
        <v>42.811999999999998</v>
      </c>
      <c r="E8" s="34">
        <v>45.881999999999998</v>
      </c>
      <c r="F8" s="11"/>
      <c r="G8" s="11"/>
      <c r="H8" s="11"/>
      <c r="I8" s="11"/>
      <c r="J8" s="85"/>
    </row>
    <row r="9" spans="1:10" x14ac:dyDescent="0.3">
      <c r="A9" s="171"/>
      <c r="B9" s="3">
        <v>3</v>
      </c>
      <c r="C9" s="33">
        <v>44.286000000000001</v>
      </c>
      <c r="D9" s="33">
        <v>42.862000000000002</v>
      </c>
      <c r="E9" s="34">
        <v>45.86</v>
      </c>
      <c r="F9" s="11"/>
      <c r="G9" s="11"/>
      <c r="H9" s="11"/>
      <c r="I9" s="11"/>
      <c r="J9" s="85"/>
    </row>
    <row r="10" spans="1:10" x14ac:dyDescent="0.3">
      <c r="A10" s="171"/>
      <c r="B10" s="3">
        <v>4</v>
      </c>
      <c r="C10" s="33">
        <v>44.31</v>
      </c>
      <c r="D10" s="33">
        <v>42.642000000000003</v>
      </c>
      <c r="E10" s="34">
        <v>46.206000000000003</v>
      </c>
      <c r="F10" s="11"/>
      <c r="G10" s="11"/>
      <c r="H10" s="11"/>
      <c r="I10" s="11"/>
      <c r="J10" s="85"/>
    </row>
    <row r="11" spans="1:10" x14ac:dyDescent="0.3">
      <c r="A11" s="171"/>
      <c r="B11" s="3">
        <v>5</v>
      </c>
      <c r="C11" s="33">
        <v>44.276000000000003</v>
      </c>
      <c r="D11" s="33">
        <v>42.828000000000003</v>
      </c>
      <c r="E11" s="34">
        <v>45.886000000000003</v>
      </c>
      <c r="F11" s="11"/>
      <c r="G11" s="11"/>
      <c r="H11" s="11"/>
      <c r="I11" s="11"/>
      <c r="J11" s="85"/>
    </row>
    <row r="12" spans="1:10" x14ac:dyDescent="0.3">
      <c r="A12" s="171"/>
      <c r="B12" s="3">
        <v>6</v>
      </c>
      <c r="C12" s="33">
        <v>44.423999999999999</v>
      </c>
      <c r="D12" s="33">
        <v>42.868000000000002</v>
      </c>
      <c r="E12" s="34">
        <v>45.682000000000002</v>
      </c>
      <c r="F12" s="11"/>
      <c r="G12" s="11"/>
      <c r="H12" s="11"/>
      <c r="I12" s="11"/>
      <c r="J12" s="85"/>
    </row>
    <row r="13" spans="1:10" x14ac:dyDescent="0.3">
      <c r="A13" s="171"/>
      <c r="B13" s="3" t="s">
        <v>23</v>
      </c>
      <c r="C13" s="48">
        <f>AVERAGE(C7:C12)</f>
        <v>45.411333333333339</v>
      </c>
      <c r="D13" s="48">
        <f t="shared" ref="D13:E13" si="0">AVERAGE(D7:D12)</f>
        <v>42.806333333333335</v>
      </c>
      <c r="E13" s="49">
        <f t="shared" si="0"/>
        <v>45.987166666666667</v>
      </c>
      <c r="F13" s="11"/>
      <c r="G13" s="11"/>
      <c r="H13" s="11"/>
      <c r="I13" s="11"/>
      <c r="J13" s="85"/>
    </row>
    <row r="14" spans="1:10" ht="14.5" thickBot="1" x14ac:dyDescent="0.35">
      <c r="A14" s="9" t="s">
        <v>41</v>
      </c>
      <c r="B14" s="4" t="s">
        <v>40</v>
      </c>
      <c r="C14" s="50">
        <f>C13/30</f>
        <v>1.5137111111111112</v>
      </c>
      <c r="D14" s="50">
        <f t="shared" ref="D14:E14" si="1">D13/30</f>
        <v>1.4268777777777779</v>
      </c>
      <c r="E14" s="51">
        <f t="shared" si="1"/>
        <v>1.5329055555555555</v>
      </c>
      <c r="F14" s="11"/>
      <c r="G14" s="11"/>
      <c r="H14" s="11"/>
      <c r="I14" s="11"/>
      <c r="J14" s="85"/>
    </row>
    <row r="15" spans="1:10" ht="15" thickTop="1" thickBot="1" x14ac:dyDescent="0.35">
      <c r="A15" s="10"/>
      <c r="B15" s="11"/>
      <c r="C15" s="11"/>
      <c r="D15" s="11"/>
      <c r="E15" s="11"/>
      <c r="F15" s="11"/>
      <c r="G15" s="11"/>
      <c r="H15" s="11"/>
      <c r="I15" s="11"/>
      <c r="J15" s="85"/>
    </row>
    <row r="16" spans="1:10" ht="14.5" thickTop="1" x14ac:dyDescent="0.3">
      <c r="A16" s="86"/>
      <c r="B16" s="81"/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2">
        <v>6</v>
      </c>
      <c r="I16" s="13" t="s">
        <v>23</v>
      </c>
      <c r="J16" s="85"/>
    </row>
    <row r="17" spans="1:10" x14ac:dyDescent="0.3">
      <c r="A17" s="86"/>
      <c r="B17" s="82" t="s">
        <v>3</v>
      </c>
      <c r="C17" s="31">
        <v>7.57</v>
      </c>
      <c r="D17" s="31">
        <v>7.53</v>
      </c>
      <c r="E17" s="31">
        <v>7.5</v>
      </c>
      <c r="F17" s="31">
        <v>7.51</v>
      </c>
      <c r="G17" s="31">
        <v>7.53</v>
      </c>
      <c r="H17" s="31">
        <v>7.51</v>
      </c>
      <c r="I17" s="52">
        <f>AVERAGE(C17:H17)</f>
        <v>7.5249999999999995</v>
      </c>
      <c r="J17" s="85"/>
    </row>
    <row r="18" spans="1:10" x14ac:dyDescent="0.3">
      <c r="A18" s="86"/>
      <c r="B18" s="82" t="s">
        <v>7</v>
      </c>
      <c r="C18" s="31">
        <v>16.010000000000002</v>
      </c>
      <c r="D18" s="31">
        <v>15.99</v>
      </c>
      <c r="E18" s="31">
        <v>16.02</v>
      </c>
      <c r="F18" s="31">
        <v>16.010000000000002</v>
      </c>
      <c r="G18" s="31">
        <v>16.02</v>
      </c>
      <c r="H18" s="31">
        <v>15.97</v>
      </c>
      <c r="I18" s="52">
        <f t="shared" ref="I18:I24" si="2">AVERAGE(C18:H18)</f>
        <v>16.003333333333334</v>
      </c>
      <c r="J18" s="85"/>
    </row>
    <row r="19" spans="1:10" x14ac:dyDescent="0.3">
      <c r="A19" s="86"/>
      <c r="B19" s="82" t="s">
        <v>42</v>
      </c>
      <c r="C19" s="31">
        <v>14.91</v>
      </c>
      <c r="D19" s="31">
        <v>15</v>
      </c>
      <c r="E19" s="31">
        <v>14.96</v>
      </c>
      <c r="F19" s="31">
        <v>14.97</v>
      </c>
      <c r="G19" s="31">
        <v>14.96</v>
      </c>
      <c r="H19" s="31">
        <v>15.01</v>
      </c>
      <c r="I19" s="52">
        <f t="shared" si="2"/>
        <v>14.968333333333335</v>
      </c>
      <c r="J19" s="85"/>
    </row>
    <row r="20" spans="1:10" x14ac:dyDescent="0.3">
      <c r="A20" s="86"/>
      <c r="B20" s="82" t="s">
        <v>43</v>
      </c>
      <c r="C20" s="33">
        <v>9.9350000000000005</v>
      </c>
      <c r="D20" s="33">
        <v>9.9749999999999996</v>
      </c>
      <c r="E20" s="33">
        <v>10.005000000000001</v>
      </c>
      <c r="F20" s="33">
        <v>9.9450000000000003</v>
      </c>
      <c r="G20" s="33">
        <v>9.9550000000000001</v>
      </c>
      <c r="H20" s="33">
        <v>10.005000000000001</v>
      </c>
      <c r="I20" s="49">
        <f t="shared" si="2"/>
        <v>9.9700000000000006</v>
      </c>
      <c r="J20" s="85"/>
    </row>
    <row r="21" spans="1:10" x14ac:dyDescent="0.3">
      <c r="A21" s="86"/>
      <c r="B21" s="82" t="s">
        <v>6</v>
      </c>
      <c r="C21" s="31">
        <v>3.05</v>
      </c>
      <c r="D21" s="31">
        <v>3.0449999999999999</v>
      </c>
      <c r="E21" s="31">
        <v>3.01</v>
      </c>
      <c r="F21" s="31">
        <v>3.0049999999999999</v>
      </c>
      <c r="G21" s="31">
        <v>3.01</v>
      </c>
      <c r="H21" s="31">
        <v>3.05</v>
      </c>
      <c r="I21" s="52">
        <f t="shared" si="2"/>
        <v>3.0283333333333329</v>
      </c>
      <c r="J21" s="85"/>
    </row>
    <row r="22" spans="1:10" x14ac:dyDescent="0.3">
      <c r="A22" s="86"/>
      <c r="B22" s="82" t="s">
        <v>5</v>
      </c>
      <c r="C22" s="31">
        <v>45.13</v>
      </c>
      <c r="D22" s="31">
        <v>45.1</v>
      </c>
      <c r="E22" s="31">
        <v>49.99</v>
      </c>
      <c r="F22" s="31">
        <v>45.07</v>
      </c>
      <c r="G22" s="31">
        <v>45.04</v>
      </c>
      <c r="H22" s="31">
        <v>45.1</v>
      </c>
      <c r="I22" s="52">
        <f t="shared" si="2"/>
        <v>45.905000000000001</v>
      </c>
      <c r="J22" s="85"/>
    </row>
    <row r="23" spans="1:10" x14ac:dyDescent="0.3">
      <c r="A23" s="86"/>
      <c r="B23" s="82" t="s">
        <v>44</v>
      </c>
      <c r="C23" s="31">
        <v>19.100000000000001</v>
      </c>
      <c r="D23" s="31">
        <v>19.12</v>
      </c>
      <c r="E23" s="31">
        <v>19.079999999999998</v>
      </c>
      <c r="F23" s="31">
        <v>19.09</v>
      </c>
      <c r="G23" s="31">
        <v>19.100000000000001</v>
      </c>
      <c r="H23" s="31">
        <v>19.12</v>
      </c>
      <c r="I23" s="52">
        <f t="shared" si="2"/>
        <v>19.10166666666667</v>
      </c>
      <c r="J23" s="85"/>
    </row>
    <row r="24" spans="1:10" ht="14.5" thickBot="1" x14ac:dyDescent="0.35">
      <c r="A24" s="86"/>
      <c r="B24" s="83" t="s">
        <v>4</v>
      </c>
      <c r="C24" s="17">
        <v>16.97</v>
      </c>
      <c r="D24" s="17">
        <v>17</v>
      </c>
      <c r="E24" s="17">
        <v>16.989999999999998</v>
      </c>
      <c r="F24" s="17">
        <v>17.100000000000001</v>
      </c>
      <c r="G24" s="17">
        <v>17.059999999999999</v>
      </c>
      <c r="H24" s="17">
        <v>17.04</v>
      </c>
      <c r="I24" s="18">
        <f t="shared" si="2"/>
        <v>17.026666666666667</v>
      </c>
      <c r="J24" s="85"/>
    </row>
    <row r="25" spans="1:10" ht="15" thickTop="1" thickBot="1" x14ac:dyDescent="0.35">
      <c r="A25" s="10"/>
      <c r="B25" s="11"/>
      <c r="C25" s="11"/>
      <c r="D25" s="11"/>
      <c r="E25" s="11"/>
      <c r="F25" s="11"/>
      <c r="G25" s="11"/>
      <c r="H25" s="11"/>
      <c r="I25" s="11"/>
      <c r="J25" s="85"/>
    </row>
    <row r="26" spans="1:10" ht="14.5" thickTop="1" x14ac:dyDescent="0.3">
      <c r="A26" s="86"/>
      <c r="B26" s="81" t="s">
        <v>48</v>
      </c>
      <c r="C26" s="53">
        <f>(SQRT(3)/3)*I17</f>
        <v>4.3445607756519333</v>
      </c>
      <c r="D26" s="11"/>
      <c r="E26" s="11"/>
      <c r="F26" s="11"/>
      <c r="G26" s="11"/>
      <c r="H26" s="11"/>
      <c r="I26" s="11"/>
      <c r="J26" s="85"/>
    </row>
    <row r="27" spans="1:10" ht="14.5" thickBot="1" x14ac:dyDescent="0.35">
      <c r="A27" s="86"/>
      <c r="B27" s="83" t="s">
        <v>49</v>
      </c>
      <c r="C27" s="41">
        <f>(SQRT(3)/3)*I18</f>
        <v>9.2395288079313111</v>
      </c>
      <c r="D27" s="11"/>
      <c r="E27" s="11"/>
      <c r="F27" s="11"/>
      <c r="G27" s="11"/>
      <c r="H27" s="11"/>
      <c r="I27" s="11"/>
      <c r="J27" s="85"/>
    </row>
    <row r="28" spans="1:10" ht="15" thickTop="1" thickBot="1" x14ac:dyDescent="0.35">
      <c r="A28" s="10"/>
      <c r="B28" s="11"/>
      <c r="C28" s="11"/>
      <c r="D28" s="11"/>
      <c r="E28" s="11"/>
      <c r="F28" s="11"/>
      <c r="G28" s="11"/>
      <c r="H28" s="11"/>
      <c r="I28" s="11"/>
      <c r="J28" s="85"/>
    </row>
    <row r="29" spans="1:10" ht="28.5" thickTop="1" x14ac:dyDescent="0.3">
      <c r="A29" s="86"/>
      <c r="B29" s="42"/>
      <c r="C29" s="43" t="s">
        <v>50</v>
      </c>
      <c r="D29" s="43" t="s">
        <v>51</v>
      </c>
      <c r="E29" s="44" t="s">
        <v>52</v>
      </c>
      <c r="F29" s="11"/>
      <c r="G29" s="11"/>
      <c r="H29" s="11"/>
      <c r="I29" s="11"/>
      <c r="J29" s="85"/>
    </row>
    <row r="30" spans="1:10" x14ac:dyDescent="0.3">
      <c r="A30" s="86"/>
      <c r="B30" s="82" t="s">
        <v>45</v>
      </c>
      <c r="C30" s="54">
        <f>((C3/1000)*9.794*(C26/100)*(C27/100))*C14^2/(4*3.14^2*(I22/100))</f>
        <v>5.3937622706733464E-3</v>
      </c>
      <c r="D30" s="54">
        <f>0.5*(C3/1000)*(I23/2/100)^2</f>
        <v>4.9440382209722236E-3</v>
      </c>
      <c r="E30" s="55">
        <f>ABS(C30-D30)/D30</f>
        <v>9.0962899071740308E-2</v>
      </c>
      <c r="F30" s="11"/>
      <c r="G30" s="11"/>
      <c r="H30" s="11"/>
      <c r="I30" s="11"/>
      <c r="J30" s="85"/>
    </row>
    <row r="31" spans="1:10" x14ac:dyDescent="0.3">
      <c r="A31" s="86"/>
      <c r="B31" s="82" t="s">
        <v>46</v>
      </c>
      <c r="C31" s="54">
        <f>((9.794*(C26/100)*(C27/100))/(4*3.14^2*(I22/100)))*(((C3/1000)+(D3/1000))*D14^2-(C3/1000)*C14^2)</f>
        <v>1.1055500108596494E-3</v>
      </c>
      <c r="D31" s="54">
        <f>0.5*(D3/1000)*((I19/2/100)^2+(I20/2/100)^2)</f>
        <v>1.5606554309027783E-3</v>
      </c>
      <c r="E31" s="55">
        <f t="shared" ref="E31:E32" si="3">ABS(C31-D31)/D31</f>
        <v>0.29161172353071435</v>
      </c>
      <c r="F31" s="11"/>
      <c r="G31" s="11"/>
      <c r="H31" s="11"/>
      <c r="I31" s="11"/>
      <c r="J31" s="85"/>
    </row>
    <row r="32" spans="1:10" ht="14.5" thickBot="1" x14ac:dyDescent="0.35">
      <c r="A32" s="86"/>
      <c r="B32" s="83" t="s">
        <v>47</v>
      </c>
      <c r="C32" s="56">
        <f>0.5*((((C3/1000)+2*(E3/1000))*9.794*(C26/100)*(C27/100)*E14^2/(4*3.14^2*(I22/100)))-C30)</f>
        <v>7.7301304370334467E-4</v>
      </c>
      <c r="D32" s="56">
        <f>(E3/1000)*(I24/2/100)^2+0.5*(E3/1000)*(I21/2/100)^2</f>
        <v>1.0160000881250003E-3</v>
      </c>
      <c r="E32" s="27">
        <f t="shared" si="3"/>
        <v>0.23916045604885866</v>
      </c>
      <c r="F32" s="11"/>
      <c r="G32" s="11"/>
      <c r="H32" s="11"/>
      <c r="I32" s="11"/>
      <c r="J32" s="85"/>
    </row>
    <row r="33" spans="1:10" ht="15" thickTop="1" thickBot="1" x14ac:dyDescent="0.35">
      <c r="A33" s="28"/>
      <c r="B33" s="57"/>
      <c r="C33" s="29"/>
      <c r="D33" s="29"/>
      <c r="E33" s="29"/>
      <c r="F33" s="29"/>
      <c r="G33" s="29"/>
      <c r="H33" s="29"/>
      <c r="I33" s="29"/>
      <c r="J33" s="87"/>
    </row>
  </sheetData>
  <mergeCells count="2">
    <mergeCell ref="A7:A13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4BF3-EFA1-4C24-A0D4-A210B119E82E}">
  <dimension ref="A1:L28"/>
  <sheetViews>
    <sheetView workbookViewId="0"/>
  </sheetViews>
  <sheetFormatPr defaultRowHeight="14" x14ac:dyDescent="0.3"/>
  <cols>
    <col min="1" max="1" width="5.4140625" customWidth="1"/>
    <col min="2" max="2" width="5.58203125" bestFit="1" customWidth="1"/>
    <col min="3" max="4" width="10.33203125" bestFit="1" customWidth="1"/>
    <col min="5" max="6" width="9.33203125" bestFit="1" customWidth="1"/>
    <col min="7" max="7" width="9.75" bestFit="1" customWidth="1"/>
    <col min="8" max="8" width="7.58203125" customWidth="1"/>
    <col min="9" max="9" width="11.4140625" bestFit="1" customWidth="1"/>
    <col min="10" max="10" width="11" bestFit="1" customWidth="1"/>
    <col min="11" max="11" width="12.25" bestFit="1" customWidth="1"/>
  </cols>
  <sheetData>
    <row r="1" spans="1:12" ht="14.5" thickBot="1" x14ac:dyDescent="0.3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84"/>
    </row>
    <row r="2" spans="1:12" ht="14.4" customHeight="1" thickTop="1" thickBot="1" x14ac:dyDescent="0.35">
      <c r="A2" s="174" t="s">
        <v>75</v>
      </c>
      <c r="B2" s="175"/>
      <c r="C2" s="175"/>
      <c r="D2" s="175"/>
      <c r="E2" s="93" t="s">
        <v>90</v>
      </c>
      <c r="F2" s="11"/>
      <c r="G2" s="178" t="s">
        <v>75</v>
      </c>
      <c r="H2" s="179"/>
      <c r="I2" s="179"/>
      <c r="J2" s="179"/>
      <c r="K2" s="94">
        <f>TRUNC(E2)+MID(E2,5,2)/60+MID(E2,7,2)/3600</f>
        <v>267.41666666666669</v>
      </c>
      <c r="L2" s="105"/>
    </row>
    <row r="3" spans="1:12" ht="14.4" customHeight="1" thickTop="1" thickBot="1" x14ac:dyDescent="0.35">
      <c r="A3" s="86"/>
      <c r="F3" s="11"/>
      <c r="G3" s="180" t="s">
        <v>76</v>
      </c>
      <c r="H3" s="181"/>
      <c r="I3" s="181"/>
      <c r="J3" s="181"/>
      <c r="K3" s="90">
        <f>1/3000</f>
        <v>3.3333333333333332E-4</v>
      </c>
      <c r="L3" s="85"/>
    </row>
    <row r="4" spans="1:12" ht="15" thickTop="1" thickBot="1" x14ac:dyDescent="0.35">
      <c r="A4" s="106"/>
      <c r="B4" s="11"/>
      <c r="C4" s="11"/>
      <c r="D4" s="11"/>
      <c r="E4" s="11"/>
      <c r="F4" s="11"/>
      <c r="G4" s="11"/>
      <c r="H4" s="11"/>
      <c r="I4" s="11"/>
      <c r="J4" s="11"/>
      <c r="K4" s="11"/>
      <c r="L4" s="85"/>
    </row>
    <row r="5" spans="1:12" ht="14.5" thickTop="1" x14ac:dyDescent="0.3">
      <c r="A5" s="182" t="s">
        <v>77</v>
      </c>
      <c r="B5" s="183" t="s">
        <v>78</v>
      </c>
      <c r="C5" s="183" t="s">
        <v>79</v>
      </c>
      <c r="D5" s="185"/>
      <c r="L5" s="85"/>
    </row>
    <row r="6" spans="1:12" x14ac:dyDescent="0.3">
      <c r="A6" s="171"/>
      <c r="B6" s="184"/>
      <c r="C6" s="91" t="s">
        <v>82</v>
      </c>
      <c r="D6" s="92" t="s">
        <v>83</v>
      </c>
      <c r="L6" s="85"/>
    </row>
    <row r="7" spans="1:12" x14ac:dyDescent="0.3">
      <c r="A7" s="171">
        <v>1</v>
      </c>
      <c r="B7" s="3" t="s">
        <v>84</v>
      </c>
      <c r="C7" s="95" t="s">
        <v>91</v>
      </c>
      <c r="D7" s="103" t="s">
        <v>92</v>
      </c>
      <c r="F7" s="176" t="s">
        <v>109</v>
      </c>
      <c r="L7" s="85"/>
    </row>
    <row r="8" spans="1:12" x14ac:dyDescent="0.3">
      <c r="A8" s="171"/>
      <c r="B8" s="3" t="s">
        <v>85</v>
      </c>
      <c r="C8" s="95" t="s">
        <v>93</v>
      </c>
      <c r="D8" s="103" t="s">
        <v>94</v>
      </c>
      <c r="F8" s="177"/>
      <c r="L8" s="85"/>
    </row>
    <row r="9" spans="1:12" x14ac:dyDescent="0.3">
      <c r="A9" s="171"/>
      <c r="B9" s="3" t="s">
        <v>86</v>
      </c>
      <c r="C9" s="95" t="s">
        <v>95</v>
      </c>
      <c r="D9" s="103" t="s">
        <v>96</v>
      </c>
      <c r="F9" s="177"/>
      <c r="L9" s="85"/>
    </row>
    <row r="10" spans="1:12" x14ac:dyDescent="0.3">
      <c r="A10" s="171">
        <v>7</v>
      </c>
      <c r="B10" s="3" t="s">
        <v>84</v>
      </c>
      <c r="C10" s="95" t="s">
        <v>97</v>
      </c>
      <c r="D10" s="103" t="s">
        <v>104</v>
      </c>
      <c r="F10" s="177"/>
      <c r="L10" s="85"/>
    </row>
    <row r="11" spans="1:12" x14ac:dyDescent="0.3">
      <c r="A11" s="171"/>
      <c r="B11" s="3" t="s">
        <v>85</v>
      </c>
      <c r="C11" s="95" t="s">
        <v>98</v>
      </c>
      <c r="D11" s="103" t="s">
        <v>105</v>
      </c>
      <c r="F11" s="177"/>
      <c r="L11" s="85"/>
    </row>
    <row r="12" spans="1:12" x14ac:dyDescent="0.3">
      <c r="A12" s="171"/>
      <c r="B12" s="3" t="s">
        <v>86</v>
      </c>
      <c r="C12" s="95" t="s">
        <v>99</v>
      </c>
      <c r="D12" s="103" t="s">
        <v>106</v>
      </c>
      <c r="F12" s="177"/>
      <c r="L12" s="85"/>
    </row>
    <row r="13" spans="1:12" x14ac:dyDescent="0.3">
      <c r="A13" s="171">
        <v>3</v>
      </c>
      <c r="B13" s="3" t="s">
        <v>84</v>
      </c>
      <c r="C13" s="95" t="s">
        <v>100</v>
      </c>
      <c r="D13" s="103" t="s">
        <v>107</v>
      </c>
      <c r="F13" s="177"/>
      <c r="L13" s="85"/>
    </row>
    <row r="14" spans="1:12" x14ac:dyDescent="0.3">
      <c r="A14" s="171"/>
      <c r="B14" s="3" t="s">
        <v>85</v>
      </c>
      <c r="C14" s="95" t="s">
        <v>101</v>
      </c>
      <c r="D14" s="103" t="s">
        <v>102</v>
      </c>
      <c r="F14" s="177"/>
      <c r="L14" s="85"/>
    </row>
    <row r="15" spans="1:12" ht="14.5" thickBot="1" x14ac:dyDescent="0.35">
      <c r="A15" s="173"/>
      <c r="B15" s="4" t="s">
        <v>86</v>
      </c>
      <c r="C15" s="96" t="s">
        <v>103</v>
      </c>
      <c r="D15" s="104" t="s">
        <v>108</v>
      </c>
      <c r="L15" s="85"/>
    </row>
    <row r="16" spans="1:12" ht="15" thickTop="1" thickBot="1" x14ac:dyDescent="0.35">
      <c r="A16" s="86"/>
      <c r="L16" s="85"/>
    </row>
    <row r="17" spans="1:12" ht="14.5" thickTop="1" x14ac:dyDescent="0.3">
      <c r="A17" s="182" t="s">
        <v>77</v>
      </c>
      <c r="B17" s="183" t="s">
        <v>78</v>
      </c>
      <c r="C17" s="183" t="s">
        <v>79</v>
      </c>
      <c r="D17" s="183"/>
      <c r="E17" s="183" t="s">
        <v>80</v>
      </c>
      <c r="F17" s="183"/>
      <c r="G17" s="183" t="s">
        <v>81</v>
      </c>
      <c r="H17" s="183" t="s">
        <v>87</v>
      </c>
      <c r="I17" s="183" t="s">
        <v>88</v>
      </c>
      <c r="J17" s="183" t="s">
        <v>89</v>
      </c>
      <c r="K17" s="185" t="s">
        <v>2</v>
      </c>
      <c r="L17" s="85"/>
    </row>
    <row r="18" spans="1:12" x14ac:dyDescent="0.3">
      <c r="A18" s="171"/>
      <c r="B18" s="184"/>
      <c r="C18" s="91" t="s">
        <v>82</v>
      </c>
      <c r="D18" s="91" t="s">
        <v>83</v>
      </c>
      <c r="E18" s="91" t="s">
        <v>82</v>
      </c>
      <c r="F18" s="91" t="s">
        <v>83</v>
      </c>
      <c r="G18" s="184"/>
      <c r="H18" s="184"/>
      <c r="I18" s="184"/>
      <c r="J18" s="184"/>
      <c r="K18" s="186"/>
      <c r="L18" s="85"/>
    </row>
    <row r="19" spans="1:12" x14ac:dyDescent="0.3">
      <c r="A19" s="171">
        <v>1</v>
      </c>
      <c r="B19" s="3" t="s">
        <v>84</v>
      </c>
      <c r="C19" s="97">
        <f>TRUNC(C7)+MID(C7,5,2)/60+MID(C7,7,2)/3600</f>
        <v>274.83333333333331</v>
      </c>
      <c r="D19" s="97">
        <f>TRUNC(D7)+MID(D7,5,2)/60+MID(D7,7,2)/3600</f>
        <v>259.88333333333333</v>
      </c>
      <c r="E19" s="97">
        <f>ABS(K2-C19)</f>
        <v>7.4166666666666288</v>
      </c>
      <c r="F19" s="97">
        <f>ABS(K2-D19)</f>
        <v>7.5333333333333599</v>
      </c>
      <c r="G19" s="97">
        <f>AVERAGE(E19:F19)</f>
        <v>7.4749999999999943</v>
      </c>
      <c r="H19" s="67">
        <f>SIN(RADIANS(G19))</f>
        <v>0.13009358037903224</v>
      </c>
      <c r="I19" s="54">
        <f>(K3/100)*H19/A19</f>
        <v>4.3364526793010746E-7</v>
      </c>
      <c r="J19" s="99">
        <f>I19*10^10</f>
        <v>4336.4526793010746</v>
      </c>
      <c r="K19" s="101">
        <f>ABS(J19-4358)/4358</f>
        <v>4.9443140658387867E-3</v>
      </c>
      <c r="L19" s="85"/>
    </row>
    <row r="20" spans="1:12" x14ac:dyDescent="0.3">
      <c r="A20" s="171"/>
      <c r="B20" s="3" t="s">
        <v>85</v>
      </c>
      <c r="C20" s="97">
        <f t="shared" ref="C20:D27" si="0">TRUNC(C8)+MID(C8,5,2)/60+MID(C8,7,2)/3600</f>
        <v>277.08333333333331</v>
      </c>
      <c r="D20" s="97">
        <f t="shared" si="0"/>
        <v>257.93333333333334</v>
      </c>
      <c r="E20" s="97">
        <f>ABS(K2-C20)</f>
        <v>9.6666666666666288</v>
      </c>
      <c r="F20" s="97">
        <f>ABS(K2-D20)</f>
        <v>9.4833333333333485</v>
      </c>
      <c r="G20" s="97">
        <f t="shared" ref="G20:G27" si="1">AVERAGE(E20:F20)</f>
        <v>9.5749999999999886</v>
      </c>
      <c r="H20" s="67">
        <f t="shared" ref="H20:H27" si="2">SIN(RADIANS(G20))</f>
        <v>0.16633850892308336</v>
      </c>
      <c r="I20" s="54">
        <f>(K3/100)*H20/A19</f>
        <v>5.5446169641027789E-7</v>
      </c>
      <c r="J20" s="99">
        <f t="shared" ref="J20:J27" si="3">I20*10^10</f>
        <v>5544.6169641027791</v>
      </c>
      <c r="K20" s="101">
        <f>ABS(J20-5461)/5461</f>
        <v>1.5311657956927136E-2</v>
      </c>
      <c r="L20" s="85"/>
    </row>
    <row r="21" spans="1:12" x14ac:dyDescent="0.3">
      <c r="A21" s="171"/>
      <c r="B21" s="3" t="s">
        <v>86</v>
      </c>
      <c r="C21" s="97">
        <f t="shared" si="0"/>
        <v>277.3</v>
      </c>
      <c r="D21" s="97">
        <f t="shared" si="0"/>
        <v>257.35000000000002</v>
      </c>
      <c r="E21" s="97">
        <f>ABS(K2-C21)</f>
        <v>9.8833333333333258</v>
      </c>
      <c r="F21" s="97">
        <f>ABS(K2-D21)</f>
        <v>10.066666666666663</v>
      </c>
      <c r="G21" s="97">
        <f t="shared" si="1"/>
        <v>9.9749999999999943</v>
      </c>
      <c r="H21" s="67">
        <f t="shared" si="2"/>
        <v>0.17321845770575348</v>
      </c>
      <c r="I21" s="54">
        <f>(K3/100)*H21/A19</f>
        <v>5.7739485901917826E-7</v>
      </c>
      <c r="J21" s="99">
        <f t="shared" si="3"/>
        <v>5773.9485901917824</v>
      </c>
      <c r="K21" s="101">
        <f>ABS(J21-5770)/5770</f>
        <v>6.8433105576817788E-4</v>
      </c>
      <c r="L21" s="85"/>
    </row>
    <row r="22" spans="1:12" x14ac:dyDescent="0.3">
      <c r="A22" s="171">
        <v>2</v>
      </c>
      <c r="B22" s="3" t="s">
        <v>84</v>
      </c>
      <c r="C22" s="97">
        <f t="shared" si="0"/>
        <v>282.5</v>
      </c>
      <c r="D22" s="97">
        <f t="shared" si="0"/>
        <v>252.16666666666666</v>
      </c>
      <c r="E22" s="97">
        <f>ABS(K2-C22)</f>
        <v>15.083333333333314</v>
      </c>
      <c r="F22" s="97">
        <f>ABS(K2-D22)</f>
        <v>15.250000000000028</v>
      </c>
      <c r="G22" s="97">
        <f t="shared" si="1"/>
        <v>15.166666666666671</v>
      </c>
      <c r="H22" s="67">
        <f t="shared" si="2"/>
        <v>0.26162771046294364</v>
      </c>
      <c r="I22" s="54">
        <f>(K3/100)*H22/A22</f>
        <v>4.3604618410490605E-7</v>
      </c>
      <c r="J22" s="99">
        <f t="shared" si="3"/>
        <v>4360.4618410490602</v>
      </c>
      <c r="K22" s="101">
        <f>ABS(J22-4358)/4358</f>
        <v>5.6490157160629651E-4</v>
      </c>
      <c r="L22" s="85"/>
    </row>
    <row r="23" spans="1:12" x14ac:dyDescent="0.3">
      <c r="A23" s="171"/>
      <c r="B23" s="3" t="s">
        <v>85</v>
      </c>
      <c r="C23" s="97">
        <f t="shared" si="0"/>
        <v>286.33333333333331</v>
      </c>
      <c r="D23" s="97">
        <f t="shared" si="0"/>
        <v>248.15</v>
      </c>
      <c r="E23" s="97">
        <f>ABS(K2-C23)</f>
        <v>18.916666666666629</v>
      </c>
      <c r="F23" s="97">
        <f>ABS(K2-D23)</f>
        <v>19.26666666666668</v>
      </c>
      <c r="G23" s="97">
        <f t="shared" si="1"/>
        <v>19.091666666666654</v>
      </c>
      <c r="H23" s="67">
        <f t="shared" si="2"/>
        <v>0.32708045827043752</v>
      </c>
      <c r="I23" s="54">
        <f>(K3/100)*H23/A22</f>
        <v>5.4513409711739591E-7</v>
      </c>
      <c r="J23" s="99">
        <f t="shared" si="3"/>
        <v>5451.3409711739587</v>
      </c>
      <c r="K23" s="101">
        <f>ABS(J23-5461)/5461</f>
        <v>1.768728955510222E-3</v>
      </c>
      <c r="L23" s="85"/>
    </row>
    <row r="24" spans="1:12" x14ac:dyDescent="0.3">
      <c r="A24" s="171"/>
      <c r="B24" s="3" t="s">
        <v>86</v>
      </c>
      <c r="C24" s="97">
        <f t="shared" si="0"/>
        <v>287.5</v>
      </c>
      <c r="D24" s="97">
        <f t="shared" si="0"/>
        <v>247</v>
      </c>
      <c r="E24" s="97">
        <f>ABS(K2-C24)</f>
        <v>20.083333333333314</v>
      </c>
      <c r="F24" s="97">
        <f>ABS(K2-D24)</f>
        <v>20.416666666666686</v>
      </c>
      <c r="G24" s="97">
        <f t="shared" si="1"/>
        <v>20.25</v>
      </c>
      <c r="H24" s="67">
        <f t="shared" si="2"/>
        <v>0.34611705707749296</v>
      </c>
      <c r="I24" s="54">
        <f>(K3/100)*H24/A22</f>
        <v>5.7686176179582157E-7</v>
      </c>
      <c r="J24" s="99">
        <f t="shared" si="3"/>
        <v>5768.6176179582153</v>
      </c>
      <c r="K24" s="101">
        <f>ABS(J24-5770)/5770</f>
        <v>2.3958094311693148E-4</v>
      </c>
      <c r="L24" s="85"/>
    </row>
    <row r="25" spans="1:12" x14ac:dyDescent="0.3">
      <c r="A25" s="171">
        <v>3</v>
      </c>
      <c r="B25" s="3" t="s">
        <v>84</v>
      </c>
      <c r="C25" s="97">
        <f t="shared" si="0"/>
        <v>290.23333333333335</v>
      </c>
      <c r="D25" s="97">
        <f t="shared" si="0"/>
        <v>244.13333333333333</v>
      </c>
      <c r="E25" s="97">
        <f>ABS(K2-C25)</f>
        <v>22.816666666666663</v>
      </c>
      <c r="F25" s="97">
        <f>ABS(K2-D25)</f>
        <v>23.28333333333336</v>
      </c>
      <c r="G25" s="97">
        <f t="shared" si="1"/>
        <v>23.050000000000011</v>
      </c>
      <c r="H25" s="67">
        <f t="shared" si="2"/>
        <v>0.39153427163160781</v>
      </c>
      <c r="I25" s="54">
        <f>(K3/100)*H25/A25</f>
        <v>4.3503807959067533E-7</v>
      </c>
      <c r="J25" s="99">
        <f t="shared" si="3"/>
        <v>4350.3807959067535</v>
      </c>
      <c r="K25" s="101">
        <f>ABS(J25-4358)/4358</f>
        <v>1.7483258589367785E-3</v>
      </c>
      <c r="L25" s="85"/>
    </row>
    <row r="26" spans="1:12" x14ac:dyDescent="0.3">
      <c r="A26" s="171"/>
      <c r="B26" s="3" t="s">
        <v>85</v>
      </c>
      <c r="C26" s="97">
        <f t="shared" si="0"/>
        <v>296.46666666666664</v>
      </c>
      <c r="D26" s="97">
        <f t="shared" si="0"/>
        <v>237.68333333333334</v>
      </c>
      <c r="E26" s="97">
        <f>ABS(K2-C26)</f>
        <v>29.049999999999955</v>
      </c>
      <c r="F26" s="97">
        <f>ABS(K2-D26)</f>
        <v>29.733333333333348</v>
      </c>
      <c r="G26" s="97">
        <f t="shared" si="1"/>
        <v>29.391666666666652</v>
      </c>
      <c r="H26" s="67">
        <f t="shared" si="2"/>
        <v>0.49077703551086066</v>
      </c>
      <c r="I26" s="54">
        <f>(K3/100)*H26/A25</f>
        <v>5.453078172342896E-7</v>
      </c>
      <c r="J26" s="99">
        <f t="shared" si="3"/>
        <v>5453.0781723428963</v>
      </c>
      <c r="K26" s="101">
        <f>ABS(J26-5461)/5461</f>
        <v>1.4506185052378094E-3</v>
      </c>
      <c r="L26" s="85"/>
    </row>
    <row r="27" spans="1:12" ht="14.5" thickBot="1" x14ac:dyDescent="0.35">
      <c r="A27" s="173"/>
      <c r="B27" s="4" t="s">
        <v>86</v>
      </c>
      <c r="C27" s="98">
        <f t="shared" si="0"/>
        <v>298.21666666666664</v>
      </c>
      <c r="D27" s="98">
        <f t="shared" si="0"/>
        <v>235.71666666666667</v>
      </c>
      <c r="E27" s="98">
        <f>ABS(K2-C27)</f>
        <v>30.799999999999955</v>
      </c>
      <c r="F27" s="98">
        <f>ABS(K2-D27)</f>
        <v>31.700000000000017</v>
      </c>
      <c r="G27" s="98">
        <f t="shared" si="1"/>
        <v>31.249999999999986</v>
      </c>
      <c r="H27" s="68">
        <f t="shared" si="2"/>
        <v>0.51877325816052122</v>
      </c>
      <c r="I27" s="56">
        <f>(K3/100)*H27/A25</f>
        <v>5.7641473128946797E-7</v>
      </c>
      <c r="J27" s="100">
        <f t="shared" si="3"/>
        <v>5764.14731289468</v>
      </c>
      <c r="K27" s="102">
        <f>ABS(J27-5770)/5770</f>
        <v>1.0143305208526864E-3</v>
      </c>
      <c r="L27" s="85"/>
    </row>
    <row r="28" spans="1:12" ht="15" thickTop="1" thickBot="1" x14ac:dyDescent="0.35">
      <c r="A28" s="107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87"/>
    </row>
  </sheetData>
  <mergeCells count="22">
    <mergeCell ref="C17:D17"/>
    <mergeCell ref="A19:A21"/>
    <mergeCell ref="A22:A24"/>
    <mergeCell ref="A25:A27"/>
    <mergeCell ref="A17:A18"/>
    <mergeCell ref="B17:B18"/>
    <mergeCell ref="E17:F17"/>
    <mergeCell ref="G17:G18"/>
    <mergeCell ref="K17:K18"/>
    <mergeCell ref="H17:H18"/>
    <mergeCell ref="I17:I18"/>
    <mergeCell ref="J17:J18"/>
    <mergeCell ref="G2:J2"/>
    <mergeCell ref="G3:J3"/>
    <mergeCell ref="A5:A6"/>
    <mergeCell ref="B5:B6"/>
    <mergeCell ref="C5:D5"/>
    <mergeCell ref="A7:A9"/>
    <mergeCell ref="A10:A12"/>
    <mergeCell ref="A13:A15"/>
    <mergeCell ref="A2:D2"/>
    <mergeCell ref="F7:F14"/>
  </mergeCells>
  <phoneticPr fontId="1" type="noConversion"/>
  <pageMargins left="0.7" right="0.7" top="0.75" bottom="0.75" header="0.3" footer="0.3"/>
  <pageSetup paperSize="9" orientation="portrait" r:id="rId1"/>
  <ignoredErrors>
    <ignoredError sqref="C7:D15 E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381D-4642-49B3-B01A-62FEB257ED42}">
  <dimension ref="A1:E17"/>
  <sheetViews>
    <sheetView workbookViewId="0"/>
  </sheetViews>
  <sheetFormatPr defaultRowHeight="14" x14ac:dyDescent="0.3"/>
  <cols>
    <col min="1" max="1" width="14.33203125" customWidth="1"/>
  </cols>
  <sheetData>
    <row r="1" spans="1:5" ht="14.5" thickBot="1" x14ac:dyDescent="0.35">
      <c r="A1" s="5"/>
      <c r="B1" s="6"/>
      <c r="C1" s="6"/>
      <c r="D1" s="6"/>
      <c r="E1" s="12"/>
    </row>
    <row r="2" spans="1:5" ht="14.5" thickTop="1" x14ac:dyDescent="0.3">
      <c r="A2" s="81" t="s">
        <v>54</v>
      </c>
      <c r="B2" s="2" t="s">
        <v>55</v>
      </c>
      <c r="C2" s="2" t="s">
        <v>56</v>
      </c>
      <c r="D2" s="13" t="s">
        <v>57</v>
      </c>
      <c r="E2" s="14"/>
    </row>
    <row r="3" spans="1:5" x14ac:dyDescent="0.3">
      <c r="A3" s="82" t="s">
        <v>58</v>
      </c>
      <c r="B3" s="58">
        <v>0.56000000000000005</v>
      </c>
      <c r="C3" s="58">
        <v>0.56000000000000005</v>
      </c>
      <c r="D3" s="59">
        <v>0.56000000000000005</v>
      </c>
      <c r="E3" s="14"/>
    </row>
    <row r="4" spans="1:5" x14ac:dyDescent="0.3">
      <c r="A4" s="82" t="s">
        <v>59</v>
      </c>
      <c r="B4" s="58">
        <f>26/5</f>
        <v>5.2</v>
      </c>
      <c r="C4" s="58">
        <f>25.6/5</f>
        <v>5.12</v>
      </c>
      <c r="D4" s="59">
        <f>25.8/5</f>
        <v>5.16</v>
      </c>
      <c r="E4" s="14"/>
    </row>
    <row r="5" spans="1:5" x14ac:dyDescent="0.3">
      <c r="A5" s="82" t="s">
        <v>60</v>
      </c>
      <c r="B5" s="38">
        <f>B3*B4</f>
        <v>2.9120000000000004</v>
      </c>
      <c r="C5" s="38">
        <f t="shared" ref="C5:D5" si="0">C3*C4</f>
        <v>2.8672000000000004</v>
      </c>
      <c r="D5" s="39">
        <f t="shared" si="0"/>
        <v>2.8896000000000002</v>
      </c>
      <c r="E5" s="14"/>
    </row>
    <row r="6" spans="1:5" x14ac:dyDescent="0.3">
      <c r="A6" s="82" t="s">
        <v>61</v>
      </c>
      <c r="B6" s="58">
        <v>0.05</v>
      </c>
      <c r="C6" s="58">
        <v>0.05</v>
      </c>
      <c r="D6" s="59">
        <v>0.05</v>
      </c>
      <c r="E6" s="14"/>
    </row>
    <row r="7" spans="1:5" x14ac:dyDescent="0.3">
      <c r="A7" s="82" t="s">
        <v>62</v>
      </c>
      <c r="B7" s="58">
        <f>31/5</f>
        <v>6.2</v>
      </c>
      <c r="C7" s="58">
        <f>31.4/5</f>
        <v>6.2799999999999994</v>
      </c>
      <c r="D7" s="59">
        <f>31.6/5</f>
        <v>6.32</v>
      </c>
      <c r="E7" s="14"/>
    </row>
    <row r="8" spans="1:5" ht="14.5" thickBot="1" x14ac:dyDescent="0.35">
      <c r="A8" s="83" t="s">
        <v>63</v>
      </c>
      <c r="B8" s="40">
        <f>B6*B7</f>
        <v>0.31000000000000005</v>
      </c>
      <c r="C8" s="40">
        <f t="shared" ref="C8:D8" si="1">C6*C7</f>
        <v>0.314</v>
      </c>
      <c r="D8" s="41">
        <f t="shared" si="1"/>
        <v>0.31600000000000006</v>
      </c>
      <c r="E8" s="14"/>
    </row>
    <row r="9" spans="1:5" ht="14.5" thickTop="1" x14ac:dyDescent="0.3">
      <c r="A9" s="7" t="s">
        <v>64</v>
      </c>
      <c r="B9" s="60">
        <v>341</v>
      </c>
      <c r="C9" s="60">
        <v>333</v>
      </c>
      <c r="D9" s="61">
        <v>335</v>
      </c>
      <c r="E9" s="14"/>
    </row>
    <row r="10" spans="1:5" x14ac:dyDescent="0.3">
      <c r="A10" s="8" t="s">
        <v>65</v>
      </c>
      <c r="B10" s="58">
        <v>2.9929999999999999</v>
      </c>
      <c r="C10" s="58">
        <v>3.0030000000000001</v>
      </c>
      <c r="D10" s="59">
        <v>2.9849999999999999</v>
      </c>
      <c r="E10" s="14"/>
    </row>
    <row r="11" spans="1:5" ht="14.5" thickBot="1" x14ac:dyDescent="0.35">
      <c r="A11" s="9" t="s">
        <v>66</v>
      </c>
      <c r="B11" s="46">
        <v>3.08</v>
      </c>
      <c r="C11" s="46">
        <v>3.08</v>
      </c>
      <c r="D11" s="47">
        <v>3.08</v>
      </c>
      <c r="E11" s="14"/>
    </row>
    <row r="12" spans="1:5" ht="15" thickTop="1" thickBot="1" x14ac:dyDescent="0.35">
      <c r="A12" s="10"/>
      <c r="B12" s="11"/>
      <c r="C12" s="11"/>
      <c r="D12" s="11"/>
      <c r="E12" s="14"/>
    </row>
    <row r="13" spans="1:5" ht="14.5" thickTop="1" x14ac:dyDescent="0.3">
      <c r="A13" s="7" t="s">
        <v>67</v>
      </c>
      <c r="B13" s="62" t="s">
        <v>71</v>
      </c>
      <c r="C13" s="62" t="s">
        <v>72</v>
      </c>
      <c r="D13" s="63" t="s">
        <v>73</v>
      </c>
      <c r="E13" s="14"/>
    </row>
    <row r="14" spans="1:5" x14ac:dyDescent="0.3">
      <c r="A14" s="8" t="s">
        <v>68</v>
      </c>
      <c r="B14" s="58">
        <v>1</v>
      </c>
      <c r="C14" s="58">
        <v>1</v>
      </c>
      <c r="D14" s="59">
        <v>1</v>
      </c>
      <c r="E14" s="14"/>
    </row>
    <row r="15" spans="1:5" x14ac:dyDescent="0.3">
      <c r="A15" s="8" t="s">
        <v>69</v>
      </c>
      <c r="B15" s="58">
        <v>1</v>
      </c>
      <c r="C15" s="58">
        <v>2</v>
      </c>
      <c r="D15" s="59">
        <v>3</v>
      </c>
      <c r="E15" s="14"/>
    </row>
    <row r="16" spans="1:5" ht="14.5" thickBot="1" x14ac:dyDescent="0.35">
      <c r="A16" s="9" t="s">
        <v>70</v>
      </c>
      <c r="B16" s="46">
        <v>1</v>
      </c>
      <c r="C16" s="46">
        <v>2</v>
      </c>
      <c r="D16" s="47">
        <v>3</v>
      </c>
      <c r="E16" s="14"/>
    </row>
    <row r="17" spans="1:5" ht="15" thickTop="1" thickBot="1" x14ac:dyDescent="0.35">
      <c r="A17" s="28"/>
      <c r="B17" s="29"/>
      <c r="C17" s="29"/>
      <c r="D17" s="29"/>
      <c r="E17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09D4-A6F8-4D2D-A2E2-FCDC6C3A4E9C}">
  <dimension ref="A1:G20"/>
  <sheetViews>
    <sheetView workbookViewId="0"/>
  </sheetViews>
  <sheetFormatPr defaultRowHeight="14" x14ac:dyDescent="0.3"/>
  <cols>
    <col min="1" max="1" width="13.9140625" bestFit="1" customWidth="1"/>
    <col min="2" max="2" width="10" bestFit="1" customWidth="1"/>
    <col min="3" max="3" width="12.58203125" bestFit="1" customWidth="1"/>
    <col min="4" max="4" width="12.25" bestFit="1" customWidth="1"/>
    <col min="5" max="5" width="10" bestFit="1" customWidth="1"/>
    <col min="6" max="6" width="7.4140625" bestFit="1" customWidth="1"/>
  </cols>
  <sheetData>
    <row r="1" spans="1:7" ht="14.5" thickBot="1" x14ac:dyDescent="0.35">
      <c r="A1" s="5"/>
      <c r="B1" s="6"/>
      <c r="C1" s="6"/>
      <c r="D1" s="6"/>
      <c r="E1" s="6"/>
      <c r="F1" s="6"/>
      <c r="G1" s="12"/>
    </row>
    <row r="2" spans="1:7" ht="14.5" thickTop="1" x14ac:dyDescent="0.3">
      <c r="A2" s="7" t="s">
        <v>122</v>
      </c>
      <c r="B2" s="2" t="s">
        <v>130</v>
      </c>
      <c r="C2" s="2" t="s">
        <v>131</v>
      </c>
      <c r="D2" s="2" t="s">
        <v>132</v>
      </c>
      <c r="E2" s="187" t="s">
        <v>133</v>
      </c>
      <c r="F2" s="188"/>
      <c r="G2" s="14"/>
    </row>
    <row r="3" spans="1:7" x14ac:dyDescent="0.3">
      <c r="A3" s="118">
        <v>30</v>
      </c>
      <c r="B3" s="33">
        <v>30.108000000000001</v>
      </c>
      <c r="C3" s="33">
        <v>19.695</v>
      </c>
      <c r="D3" s="48">
        <f>B3-C3</f>
        <v>10.413</v>
      </c>
      <c r="E3" s="189">
        <f>D3-D4</f>
        <v>1.0130000000000017</v>
      </c>
      <c r="F3" s="49"/>
      <c r="G3" s="14"/>
    </row>
    <row r="4" spans="1:7" x14ac:dyDescent="0.3">
      <c r="A4" s="118">
        <v>25</v>
      </c>
      <c r="B4" s="33">
        <v>29.715</v>
      </c>
      <c r="C4" s="33">
        <v>20.315000000000001</v>
      </c>
      <c r="D4" s="48">
        <f t="shared" ref="D4:D8" si="0">B4-C4</f>
        <v>9.3999999999999986</v>
      </c>
      <c r="E4" s="189"/>
      <c r="F4" s="190">
        <f>D4-D5</f>
        <v>0.74200000000000088</v>
      </c>
      <c r="G4" s="14"/>
    </row>
    <row r="5" spans="1:7" x14ac:dyDescent="0.3">
      <c r="A5" s="118">
        <v>20</v>
      </c>
      <c r="B5" s="33">
        <v>29.431999999999999</v>
      </c>
      <c r="C5" s="33">
        <v>20.774000000000001</v>
      </c>
      <c r="D5" s="48">
        <f t="shared" si="0"/>
        <v>8.6579999999999977</v>
      </c>
      <c r="E5" s="189">
        <f t="shared" ref="E5:E7" si="1">D5-D6</f>
        <v>1.0999999999999979</v>
      </c>
      <c r="F5" s="190"/>
      <c r="G5" s="14"/>
    </row>
    <row r="6" spans="1:7" x14ac:dyDescent="0.3">
      <c r="A6" s="118">
        <v>15</v>
      </c>
      <c r="B6" s="33">
        <v>28.763999999999999</v>
      </c>
      <c r="C6" s="33">
        <v>21.206</v>
      </c>
      <c r="D6" s="48">
        <f t="shared" si="0"/>
        <v>7.5579999999999998</v>
      </c>
      <c r="E6" s="189"/>
      <c r="F6" s="190">
        <f>D6-D7</f>
        <v>1.3090000000000011</v>
      </c>
      <c r="G6" s="14"/>
    </row>
    <row r="7" spans="1:7" x14ac:dyDescent="0.3">
      <c r="A7" s="118">
        <v>10</v>
      </c>
      <c r="B7" s="33">
        <v>28.084</v>
      </c>
      <c r="C7" s="33">
        <v>21.835000000000001</v>
      </c>
      <c r="D7" s="48">
        <f t="shared" si="0"/>
        <v>6.2489999999999988</v>
      </c>
      <c r="E7" s="189">
        <f t="shared" si="1"/>
        <v>1.4309999999999974</v>
      </c>
      <c r="F7" s="190"/>
      <c r="G7" s="14"/>
    </row>
    <row r="8" spans="1:7" ht="14.5" thickBot="1" x14ac:dyDescent="0.35">
      <c r="A8" s="119">
        <v>5</v>
      </c>
      <c r="B8" s="120">
        <v>27.359000000000002</v>
      </c>
      <c r="C8" s="120">
        <v>22.541</v>
      </c>
      <c r="D8" s="50">
        <f t="shared" si="0"/>
        <v>4.8180000000000014</v>
      </c>
      <c r="E8" s="191"/>
      <c r="F8" s="51"/>
      <c r="G8" s="14"/>
    </row>
    <row r="9" spans="1:7" ht="14.5" thickTop="1" x14ac:dyDescent="0.3">
      <c r="A9" s="10"/>
      <c r="B9" s="11"/>
      <c r="C9" s="11"/>
      <c r="D9" s="11"/>
      <c r="E9" s="11"/>
      <c r="F9" s="11"/>
      <c r="G9" s="14"/>
    </row>
    <row r="10" spans="1:7" ht="14.5" thickBot="1" x14ac:dyDescent="0.35">
      <c r="A10" s="10"/>
      <c r="B10" s="11"/>
      <c r="C10" s="11"/>
      <c r="D10" s="11"/>
      <c r="E10" s="11"/>
      <c r="F10" s="11"/>
      <c r="G10" s="14"/>
    </row>
    <row r="11" spans="1:7" ht="14.5" thickTop="1" x14ac:dyDescent="0.3">
      <c r="A11" s="7" t="s">
        <v>123</v>
      </c>
      <c r="B11" s="2" t="s">
        <v>137</v>
      </c>
      <c r="C11" s="2" t="s">
        <v>136</v>
      </c>
      <c r="D11" s="2" t="s">
        <v>135</v>
      </c>
      <c r="E11" s="2" t="s">
        <v>134</v>
      </c>
      <c r="F11" s="13" t="s">
        <v>138</v>
      </c>
      <c r="G11" s="14"/>
    </row>
    <row r="12" spans="1:7" x14ac:dyDescent="0.3">
      <c r="A12" s="121" t="s">
        <v>124</v>
      </c>
      <c r="B12" s="38">
        <v>15</v>
      </c>
      <c r="C12" s="48">
        <f>D3+D6</f>
        <v>17.971</v>
      </c>
      <c r="D12" s="48">
        <f>D3-D6</f>
        <v>2.8550000000000004</v>
      </c>
      <c r="E12" s="122">
        <f>5893*10^-10*10^3</f>
        <v>5.8930000000000007E-4</v>
      </c>
      <c r="F12" s="49">
        <f>(C12*D12)/(4*E12*B12)/10^3</f>
        <v>1.451077691045874</v>
      </c>
      <c r="G12" s="14"/>
    </row>
    <row r="13" spans="1:7" x14ac:dyDescent="0.3">
      <c r="A13" s="121" t="s">
        <v>125</v>
      </c>
      <c r="B13" s="38">
        <v>15</v>
      </c>
      <c r="C13" s="48">
        <f t="shared" ref="C13:C14" si="2">D4+D7</f>
        <v>15.648999999999997</v>
      </c>
      <c r="D13" s="48">
        <f t="shared" ref="D13:D14" si="3">D4-D7</f>
        <v>3.1509999999999998</v>
      </c>
      <c r="E13" s="122">
        <f t="shared" ref="E13:E14" si="4">5893*10^-10*10^3</f>
        <v>5.8930000000000007E-4</v>
      </c>
      <c r="F13" s="49">
        <f t="shared" ref="F13:F14" si="5">(C13*D13)/(4*E13*B13)/10^3</f>
        <v>1.3945924260421967</v>
      </c>
      <c r="G13" s="14"/>
    </row>
    <row r="14" spans="1:7" ht="14.5" thickBot="1" x14ac:dyDescent="0.35">
      <c r="A14" s="123" t="s">
        <v>126</v>
      </c>
      <c r="B14" s="40">
        <v>15</v>
      </c>
      <c r="C14" s="50">
        <f t="shared" si="2"/>
        <v>13.475999999999999</v>
      </c>
      <c r="D14" s="50">
        <f t="shared" si="3"/>
        <v>3.8399999999999963</v>
      </c>
      <c r="E14" s="124">
        <f t="shared" si="4"/>
        <v>5.8930000000000007E-4</v>
      </c>
      <c r="F14" s="51">
        <f t="shared" si="5"/>
        <v>1.463539792974714</v>
      </c>
      <c r="G14" s="14"/>
    </row>
    <row r="15" spans="1:7" ht="15" thickTop="1" thickBot="1" x14ac:dyDescent="0.35">
      <c r="A15" s="10"/>
      <c r="B15" s="11"/>
      <c r="C15" s="11"/>
      <c r="D15" s="11"/>
      <c r="E15" s="11"/>
      <c r="F15" s="11"/>
      <c r="G15" s="14"/>
    </row>
    <row r="16" spans="1:7" ht="15" thickTop="1" thickBot="1" x14ac:dyDescent="0.35">
      <c r="A16" s="125" t="s">
        <v>127</v>
      </c>
      <c r="B16" s="126">
        <f>AVERAGE(F12:F14)</f>
        <v>1.4364033033542618</v>
      </c>
      <c r="C16" s="11"/>
      <c r="D16" s="127" t="s">
        <v>129</v>
      </c>
      <c r="E16" s="75">
        <v>1.4430000000000001</v>
      </c>
      <c r="F16" s="11"/>
      <c r="G16" s="14"/>
    </row>
    <row r="17" spans="1:7" ht="15" thickTop="1" thickBot="1" x14ac:dyDescent="0.35">
      <c r="A17" s="10"/>
      <c r="B17" s="11"/>
      <c r="C17" s="11"/>
      <c r="D17" s="11"/>
      <c r="E17" s="11"/>
      <c r="F17" s="11"/>
      <c r="G17" s="14"/>
    </row>
    <row r="18" spans="1:7" ht="15" thickTop="1" thickBot="1" x14ac:dyDescent="0.35">
      <c r="A18" s="125" t="s">
        <v>128</v>
      </c>
      <c r="B18" s="128">
        <f>ABS(B16-E16)/E16</f>
        <v>4.5715153470119564E-3</v>
      </c>
      <c r="C18" s="11"/>
      <c r="D18" s="11"/>
      <c r="E18" s="11"/>
      <c r="F18" s="11"/>
      <c r="G18" s="14"/>
    </row>
    <row r="19" spans="1:7" ht="14.5" thickTop="1" x14ac:dyDescent="0.3">
      <c r="A19" s="10"/>
      <c r="B19" s="11"/>
      <c r="C19" s="11"/>
      <c r="D19" s="11"/>
      <c r="E19" s="11"/>
      <c r="F19" s="11"/>
      <c r="G19" s="14"/>
    </row>
    <row r="20" spans="1:7" ht="14.5" thickBot="1" x14ac:dyDescent="0.35">
      <c r="A20" s="28"/>
      <c r="B20" s="29"/>
      <c r="C20" s="29"/>
      <c r="D20" s="29"/>
      <c r="E20" s="29"/>
      <c r="F20" s="29"/>
      <c r="G20" s="30"/>
    </row>
  </sheetData>
  <mergeCells count="6">
    <mergeCell ref="E2:F2"/>
    <mergeCell ref="E3:E4"/>
    <mergeCell ref="F4:F5"/>
    <mergeCell ref="E5:E6"/>
    <mergeCell ref="F6:F7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B343-E990-4A51-893C-9F52BEB5FF97}">
  <dimension ref="A1:J23"/>
  <sheetViews>
    <sheetView topLeftCell="A9" workbookViewId="0">
      <selection activeCell="N7" sqref="N7"/>
    </sheetView>
  </sheetViews>
  <sheetFormatPr defaultRowHeight="14" x14ac:dyDescent="0.3"/>
  <cols>
    <col min="2" max="9" width="11.08203125" customWidth="1"/>
  </cols>
  <sheetData>
    <row r="1" spans="1:10" ht="14.5" thickBot="1" x14ac:dyDescent="0.35">
      <c r="A1" s="89"/>
      <c r="B1" s="88"/>
      <c r="C1" s="88"/>
      <c r="D1" s="88"/>
      <c r="E1" s="88"/>
      <c r="F1" s="88"/>
      <c r="G1" s="88"/>
      <c r="H1" s="88"/>
      <c r="I1" s="88"/>
      <c r="J1" s="84"/>
    </row>
    <row r="2" spans="1:10" ht="14.5" thickTop="1" x14ac:dyDescent="0.3">
      <c r="A2" s="86"/>
      <c r="B2" s="42" t="s">
        <v>140</v>
      </c>
      <c r="C2" s="43" t="s">
        <v>141</v>
      </c>
      <c r="D2" s="43" t="s">
        <v>142</v>
      </c>
      <c r="E2" s="43" t="s">
        <v>143</v>
      </c>
      <c r="F2" s="43" t="s">
        <v>144</v>
      </c>
      <c r="G2" s="44" t="s">
        <v>145</v>
      </c>
      <c r="H2" s="209"/>
      <c r="I2" s="209"/>
      <c r="J2" s="85"/>
    </row>
    <row r="3" spans="1:10" x14ac:dyDescent="0.3">
      <c r="A3" s="86"/>
      <c r="B3" s="132" t="s">
        <v>146</v>
      </c>
      <c r="C3" s="135" t="s">
        <v>148</v>
      </c>
      <c r="D3" s="135" t="s">
        <v>149</v>
      </c>
      <c r="E3" s="135" t="s">
        <v>149</v>
      </c>
      <c r="F3" s="135" t="s">
        <v>148</v>
      </c>
      <c r="G3" s="136" t="s">
        <v>149</v>
      </c>
      <c r="H3" s="209"/>
      <c r="I3" s="209"/>
      <c r="J3" s="85"/>
    </row>
    <row r="4" spans="1:10" ht="14.5" thickBot="1" x14ac:dyDescent="0.35">
      <c r="A4" s="86"/>
      <c r="B4" s="117" t="s">
        <v>147</v>
      </c>
      <c r="C4" s="137" t="s">
        <v>148</v>
      </c>
      <c r="D4" s="137" t="s">
        <v>149</v>
      </c>
      <c r="E4" s="137" t="s">
        <v>148</v>
      </c>
      <c r="F4" s="137" t="s">
        <v>148</v>
      </c>
      <c r="G4" s="90" t="s">
        <v>148</v>
      </c>
      <c r="H4" s="209"/>
      <c r="I4" s="209"/>
      <c r="J4" s="85"/>
    </row>
    <row r="5" spans="1:10" ht="15" thickTop="1" thickBot="1" x14ac:dyDescent="0.35">
      <c r="A5" s="86"/>
      <c r="B5" s="209"/>
      <c r="C5" s="209"/>
      <c r="D5" s="209"/>
      <c r="E5" s="209"/>
      <c r="F5" s="209"/>
      <c r="G5" s="209"/>
      <c r="H5" s="209"/>
      <c r="I5" s="209"/>
      <c r="J5" s="85"/>
    </row>
    <row r="6" spans="1:10" ht="14.5" thickTop="1" x14ac:dyDescent="0.3">
      <c r="A6" s="86"/>
      <c r="B6" s="192" t="s">
        <v>150</v>
      </c>
      <c r="C6" s="183"/>
      <c r="D6" s="183"/>
      <c r="E6" s="183" t="s">
        <v>151</v>
      </c>
      <c r="F6" s="183"/>
      <c r="G6" s="185"/>
      <c r="H6" s="209"/>
      <c r="I6" s="209"/>
      <c r="J6" s="85"/>
    </row>
    <row r="7" spans="1:10" ht="14.5" thickBot="1" x14ac:dyDescent="0.35">
      <c r="A7" s="86"/>
      <c r="B7" s="193" t="s">
        <v>152</v>
      </c>
      <c r="C7" s="194"/>
      <c r="D7" s="194"/>
      <c r="E7" s="194" t="s">
        <v>153</v>
      </c>
      <c r="F7" s="194"/>
      <c r="G7" s="195"/>
      <c r="H7" s="209"/>
      <c r="I7" s="209"/>
      <c r="J7" s="85"/>
    </row>
    <row r="8" spans="1:10" ht="15" thickTop="1" thickBot="1" x14ac:dyDescent="0.35">
      <c r="A8" s="86"/>
      <c r="B8" s="209"/>
      <c r="C8" s="209"/>
      <c r="D8" s="209"/>
      <c r="E8" s="209"/>
      <c r="F8" s="209"/>
      <c r="G8" s="209"/>
      <c r="H8" s="209"/>
      <c r="I8" s="209"/>
      <c r="J8" s="85"/>
    </row>
    <row r="9" spans="1:10" ht="28.5" thickTop="1" x14ac:dyDescent="0.3">
      <c r="A9" s="86"/>
      <c r="B9" s="42" t="s">
        <v>154</v>
      </c>
      <c r="C9" s="133">
        <v>0</v>
      </c>
      <c r="D9" s="133">
        <v>15</v>
      </c>
      <c r="E9" s="133">
        <v>30</v>
      </c>
      <c r="F9" s="133">
        <v>45</v>
      </c>
      <c r="G9" s="133">
        <v>60</v>
      </c>
      <c r="H9" s="133">
        <v>75</v>
      </c>
      <c r="I9" s="134">
        <v>90</v>
      </c>
      <c r="J9" s="85"/>
    </row>
    <row r="10" spans="1:10" ht="28" x14ac:dyDescent="0.3">
      <c r="A10" s="86"/>
      <c r="B10" s="132" t="s">
        <v>155</v>
      </c>
      <c r="C10" s="135" t="s">
        <v>157</v>
      </c>
      <c r="D10" s="135" t="s">
        <v>158</v>
      </c>
      <c r="E10" s="135" t="s">
        <v>158</v>
      </c>
      <c r="F10" s="135" t="s">
        <v>159</v>
      </c>
      <c r="G10" s="135" t="s">
        <v>158</v>
      </c>
      <c r="H10" s="135" t="s">
        <v>158</v>
      </c>
      <c r="I10" s="136" t="s">
        <v>157</v>
      </c>
      <c r="J10" s="85"/>
    </row>
    <row r="11" spans="1:10" ht="28.5" thickBot="1" x14ac:dyDescent="0.35">
      <c r="A11" s="86"/>
      <c r="B11" s="117" t="s">
        <v>156</v>
      </c>
      <c r="C11" s="137" t="s">
        <v>160</v>
      </c>
      <c r="D11" s="137" t="s">
        <v>2</v>
      </c>
      <c r="E11" s="137" t="s">
        <v>2</v>
      </c>
      <c r="F11" s="137" t="s">
        <v>161</v>
      </c>
      <c r="G11" s="137" t="s">
        <v>2</v>
      </c>
      <c r="H11" s="137" t="s">
        <v>2</v>
      </c>
      <c r="I11" s="90" t="s">
        <v>160</v>
      </c>
      <c r="J11" s="85"/>
    </row>
    <row r="12" spans="1:10" ht="15" thickTop="1" thickBot="1" x14ac:dyDescent="0.35">
      <c r="A12" s="86"/>
      <c r="B12" s="209"/>
      <c r="C12" s="209"/>
      <c r="D12" s="209"/>
      <c r="E12" s="209"/>
      <c r="F12" s="209"/>
      <c r="G12" s="209"/>
      <c r="H12" s="209"/>
      <c r="I12" s="209"/>
      <c r="J12" s="85"/>
    </row>
    <row r="13" spans="1:10" ht="42.5" thickTop="1" x14ac:dyDescent="0.3">
      <c r="A13" s="86"/>
      <c r="B13" s="42" t="s">
        <v>162</v>
      </c>
      <c r="C13" s="133">
        <v>15</v>
      </c>
      <c r="D13" s="133">
        <v>30</v>
      </c>
      <c r="E13" s="133">
        <v>45</v>
      </c>
      <c r="F13" s="133">
        <v>60</v>
      </c>
      <c r="G13" s="133">
        <v>75</v>
      </c>
      <c r="H13" s="133">
        <v>90</v>
      </c>
      <c r="I13" s="134">
        <v>120</v>
      </c>
      <c r="J13" s="85"/>
    </row>
    <row r="14" spans="1:10" ht="28" x14ac:dyDescent="0.3">
      <c r="A14" s="86"/>
      <c r="B14" s="132" t="s">
        <v>163</v>
      </c>
      <c r="C14" s="138">
        <v>120</v>
      </c>
      <c r="D14" s="138">
        <v>150</v>
      </c>
      <c r="E14" s="138">
        <v>0</v>
      </c>
      <c r="F14" s="138">
        <v>30</v>
      </c>
      <c r="G14" s="138">
        <v>60</v>
      </c>
      <c r="H14" s="138">
        <v>90</v>
      </c>
      <c r="I14" s="139">
        <v>150</v>
      </c>
      <c r="J14" s="85"/>
    </row>
    <row r="15" spans="1:10" ht="56.5" thickBot="1" x14ac:dyDescent="0.35">
      <c r="A15" s="86"/>
      <c r="B15" s="117" t="s">
        <v>164</v>
      </c>
      <c r="C15" s="140">
        <v>30</v>
      </c>
      <c r="D15" s="140">
        <v>60</v>
      </c>
      <c r="E15" s="140">
        <v>90</v>
      </c>
      <c r="F15" s="140">
        <v>120</v>
      </c>
      <c r="G15" s="140">
        <v>150</v>
      </c>
      <c r="H15" s="140">
        <v>0</v>
      </c>
      <c r="I15" s="141">
        <v>60</v>
      </c>
      <c r="J15" s="85"/>
    </row>
    <row r="16" spans="1:10" ht="14.5" thickTop="1" x14ac:dyDescent="0.3">
      <c r="A16" s="86"/>
      <c r="B16" s="209"/>
      <c r="C16" s="209"/>
      <c r="D16" s="209"/>
      <c r="E16" s="209"/>
      <c r="F16" s="209"/>
      <c r="G16" s="209"/>
      <c r="H16" s="209"/>
      <c r="I16" s="209"/>
      <c r="J16" s="85"/>
    </row>
    <row r="17" spans="1:10" ht="42" customHeight="1" x14ac:dyDescent="0.3">
      <c r="A17" s="86"/>
      <c r="B17" s="208" t="s">
        <v>199</v>
      </c>
      <c r="C17" s="208"/>
      <c r="D17" s="208"/>
      <c r="E17" s="208"/>
      <c r="F17" s="208"/>
      <c r="G17" s="208"/>
      <c r="H17" s="208"/>
      <c r="I17" s="208"/>
      <c r="J17" s="85"/>
    </row>
    <row r="18" spans="1:10" x14ac:dyDescent="0.3">
      <c r="A18" s="86"/>
      <c r="B18" s="208"/>
      <c r="C18" s="208"/>
      <c r="D18" s="208"/>
      <c r="E18" s="208"/>
      <c r="F18" s="208"/>
      <c r="G18" s="208"/>
      <c r="H18" s="208"/>
      <c r="I18" s="208"/>
      <c r="J18" s="85"/>
    </row>
    <row r="19" spans="1:10" x14ac:dyDescent="0.3">
      <c r="A19" s="86"/>
      <c r="B19" s="208"/>
      <c r="C19" s="208"/>
      <c r="D19" s="208"/>
      <c r="E19" s="208"/>
      <c r="F19" s="208"/>
      <c r="G19" s="208"/>
      <c r="H19" s="208"/>
      <c r="I19" s="208"/>
      <c r="J19" s="85"/>
    </row>
    <row r="20" spans="1:10" x14ac:dyDescent="0.3">
      <c r="A20" s="86"/>
      <c r="B20" s="208"/>
      <c r="C20" s="208"/>
      <c r="D20" s="208"/>
      <c r="E20" s="208"/>
      <c r="F20" s="208"/>
      <c r="G20" s="208"/>
      <c r="H20" s="208"/>
      <c r="I20" s="208"/>
      <c r="J20" s="85"/>
    </row>
    <row r="21" spans="1:10" x14ac:dyDescent="0.3">
      <c r="A21" s="86"/>
      <c r="B21" s="208"/>
      <c r="C21" s="208"/>
      <c r="D21" s="208"/>
      <c r="E21" s="208"/>
      <c r="F21" s="208"/>
      <c r="G21" s="208"/>
      <c r="H21" s="208"/>
      <c r="I21" s="208"/>
      <c r="J21" s="85"/>
    </row>
    <row r="22" spans="1:10" x14ac:dyDescent="0.3">
      <c r="A22" s="86"/>
      <c r="B22" s="208"/>
      <c r="C22" s="208"/>
      <c r="D22" s="208"/>
      <c r="E22" s="208"/>
      <c r="F22" s="208"/>
      <c r="G22" s="208"/>
      <c r="H22" s="208"/>
      <c r="I22" s="208"/>
      <c r="J22" s="85"/>
    </row>
    <row r="23" spans="1:10" ht="14.5" thickBot="1" x14ac:dyDescent="0.35">
      <c r="A23" s="107"/>
      <c r="B23" s="108"/>
      <c r="C23" s="108"/>
      <c r="D23" s="108"/>
      <c r="E23" s="108"/>
      <c r="F23" s="108"/>
      <c r="G23" s="108"/>
      <c r="H23" s="108"/>
      <c r="I23" s="108"/>
      <c r="J23" s="87"/>
    </row>
  </sheetData>
  <mergeCells count="5">
    <mergeCell ref="B6:D6"/>
    <mergeCell ref="E6:G6"/>
    <mergeCell ref="B7:D7"/>
    <mergeCell ref="E7:G7"/>
    <mergeCell ref="B17:I2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C71B-D05E-4940-B4F2-60D7C138B368}">
  <dimension ref="A1:AF58"/>
  <sheetViews>
    <sheetView zoomScale="85" zoomScaleNormal="85" workbookViewId="0"/>
  </sheetViews>
  <sheetFormatPr defaultRowHeight="14" x14ac:dyDescent="0.3"/>
  <cols>
    <col min="2" max="2" width="9.25" bestFit="1" customWidth="1"/>
    <col min="3" max="16" width="6.58203125" bestFit="1" customWidth="1"/>
  </cols>
  <sheetData>
    <row r="1" spans="1:32" ht="14.5" thickBot="1" x14ac:dyDescent="0.35">
      <c r="A1" s="89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4"/>
    </row>
    <row r="2" spans="1:32" ht="14.5" thickTop="1" x14ac:dyDescent="0.3">
      <c r="A2" s="86"/>
      <c r="B2" s="42" t="s">
        <v>165</v>
      </c>
      <c r="C2" s="43">
        <v>15</v>
      </c>
      <c r="D2" s="43">
        <v>20</v>
      </c>
      <c r="E2" s="43">
        <v>25</v>
      </c>
      <c r="F2" s="43">
        <v>30</v>
      </c>
      <c r="G2" s="43">
        <v>25</v>
      </c>
      <c r="H2" s="43">
        <v>40</v>
      </c>
      <c r="I2" s="43">
        <v>45</v>
      </c>
      <c r="J2" s="43">
        <v>50</v>
      </c>
      <c r="K2" s="44">
        <v>55</v>
      </c>
      <c r="Q2" s="85"/>
      <c r="S2" t="s">
        <v>172</v>
      </c>
    </row>
    <row r="3" spans="1:32" x14ac:dyDescent="0.3">
      <c r="A3" s="86"/>
      <c r="B3" s="132" t="s">
        <v>166</v>
      </c>
      <c r="C3" s="144">
        <v>2.238</v>
      </c>
      <c r="D3" s="144">
        <v>1.1859999999999999</v>
      </c>
      <c r="E3" s="144">
        <v>0.748</v>
      </c>
      <c r="F3" s="144">
        <v>0.35199999999999998</v>
      </c>
      <c r="G3" s="144">
        <v>0.4</v>
      </c>
      <c r="H3" s="144">
        <v>0.314</v>
      </c>
      <c r="I3" s="144">
        <v>0.254</v>
      </c>
      <c r="J3" s="144">
        <v>0.21199999999999999</v>
      </c>
      <c r="K3" s="145">
        <v>0.17899999999999999</v>
      </c>
      <c r="Q3" s="85"/>
      <c r="S3">
        <f t="shared" ref="S3:AF3" si="0">C8*C9</f>
        <v>1.9431999999999998E-2</v>
      </c>
      <c r="T3">
        <f t="shared" si="0"/>
        <v>2.0879999999999999E-2</v>
      </c>
      <c r="U3">
        <f t="shared" si="0"/>
        <v>2.2303999999999997E-2</v>
      </c>
      <c r="V3">
        <f t="shared" si="0"/>
        <v>2.9315999999999998E-2</v>
      </c>
      <c r="W3">
        <f t="shared" si="0"/>
        <v>0.39032</v>
      </c>
      <c r="X3">
        <f t="shared" si="0"/>
        <v>5.8506000000000002E-2</v>
      </c>
      <c r="Y3">
        <f t="shared" si="0"/>
        <v>7.7951999999999994E-2</v>
      </c>
      <c r="Z3">
        <f t="shared" si="0"/>
        <v>9.7439999999999999E-2</v>
      </c>
      <c r="AA3">
        <f t="shared" si="0"/>
        <v>0.114872</v>
      </c>
      <c r="AB3">
        <f t="shared" si="0"/>
        <v>0.135632</v>
      </c>
      <c r="AC3">
        <f t="shared" si="0"/>
        <v>0.13622399999999998</v>
      </c>
      <c r="AD3">
        <f t="shared" si="0"/>
        <v>0.16950799999999999</v>
      </c>
      <c r="AE3">
        <f t="shared" si="0"/>
        <v>0.18496000000000001</v>
      </c>
      <c r="AF3">
        <f t="shared" si="0"/>
        <v>0.20400000000000001</v>
      </c>
    </row>
    <row r="4" spans="1:32" x14ac:dyDescent="0.3">
      <c r="A4" s="86"/>
      <c r="B4" s="132" t="s">
        <v>167</v>
      </c>
      <c r="C4" s="144">
        <v>0.46700000000000003</v>
      </c>
      <c r="D4" s="144">
        <v>0.438</v>
      </c>
      <c r="E4" s="144">
        <v>0.41899999999999998</v>
      </c>
      <c r="F4" s="144">
        <v>0.40400000000000003</v>
      </c>
      <c r="G4" s="144">
        <v>0.34200000000000003</v>
      </c>
      <c r="H4" s="144">
        <v>0.38</v>
      </c>
      <c r="I4" s="144">
        <v>0.374</v>
      </c>
      <c r="J4" s="144">
        <v>0.36799999999999999</v>
      </c>
      <c r="K4" s="145">
        <v>0.36299999999999999</v>
      </c>
      <c r="Q4" s="85"/>
      <c r="S4">
        <f t="shared" ref="S4:AF4" si="1">C11*C12</f>
        <v>0.27619899999999997</v>
      </c>
      <c r="T4">
        <f t="shared" si="1"/>
        <v>0.31928000000000001</v>
      </c>
      <c r="U4">
        <f t="shared" si="1"/>
        <v>0.33882600000000002</v>
      </c>
      <c r="V4">
        <f t="shared" si="1"/>
        <v>0.33269000000000004</v>
      </c>
      <c r="W4">
        <f t="shared" si="1"/>
        <v>0.32088100000000003</v>
      </c>
      <c r="X4">
        <f t="shared" si="1"/>
        <v>0.30110899999999996</v>
      </c>
      <c r="Y4">
        <f t="shared" si="1"/>
        <v>0.28537600000000002</v>
      </c>
      <c r="Z4">
        <f t="shared" si="1"/>
        <v>0.26494200000000001</v>
      </c>
      <c r="AA4">
        <f t="shared" si="1"/>
        <v>0.25108200000000003</v>
      </c>
      <c r="AB4">
        <f t="shared" si="1"/>
        <v>0.23808000000000001</v>
      </c>
      <c r="AC4">
        <f t="shared" si="1"/>
        <v>0.22388</v>
      </c>
      <c r="AD4">
        <f t="shared" si="1"/>
        <v>0.20990800000000001</v>
      </c>
      <c r="AE4">
        <f t="shared" si="1"/>
        <v>0.20109600000000002</v>
      </c>
      <c r="AF4">
        <f t="shared" si="1"/>
        <v>0.190302</v>
      </c>
    </row>
    <row r="5" spans="1:32" ht="14.5" thickBot="1" x14ac:dyDescent="0.35">
      <c r="A5" s="86"/>
      <c r="B5" s="117" t="s">
        <v>168</v>
      </c>
      <c r="C5" s="146">
        <v>1.3859999999999999</v>
      </c>
      <c r="D5" s="146">
        <v>0.73699999999999999</v>
      </c>
      <c r="E5" s="146">
        <v>0.46400000000000002</v>
      </c>
      <c r="F5" s="146">
        <v>0.32800000000000001</v>
      </c>
      <c r="G5" s="146">
        <v>0.247</v>
      </c>
      <c r="H5" s="146">
        <v>0.19400000000000001</v>
      </c>
      <c r="I5" s="146">
        <v>0.157</v>
      </c>
      <c r="J5" s="146">
        <v>0.13100000000000001</v>
      </c>
      <c r="K5" s="147">
        <v>0.113</v>
      </c>
      <c r="Q5" s="85"/>
      <c r="S5">
        <f t="shared" ref="S5:AF5" si="2">C14*C15</f>
        <v>0.18097200000000002</v>
      </c>
      <c r="T5">
        <f t="shared" si="2"/>
        <v>0.171901</v>
      </c>
      <c r="U5">
        <f t="shared" si="2"/>
        <v>0.16520000000000001</v>
      </c>
      <c r="V5">
        <f t="shared" si="2"/>
        <v>0.13754300000000003</v>
      </c>
      <c r="W5">
        <f t="shared" si="2"/>
        <v>9.9600000000000001E-3</v>
      </c>
      <c r="X5">
        <f t="shared" si="2"/>
        <v>5.7822000000000005E-2</v>
      </c>
      <c r="Y5">
        <f t="shared" si="2"/>
        <v>4.3679999999999997E-2</v>
      </c>
      <c r="Z5">
        <f t="shared" si="2"/>
        <v>3.5364E-2</v>
      </c>
      <c r="AA5">
        <f t="shared" si="2"/>
        <v>2.9961999999999996E-2</v>
      </c>
      <c r="AB5">
        <f t="shared" si="2"/>
        <v>2.6225999999999999E-2</v>
      </c>
      <c r="AC5">
        <f t="shared" si="2"/>
        <v>2.1572999999999998E-2</v>
      </c>
      <c r="AD5">
        <f t="shared" si="2"/>
        <v>1.9927999999999998E-2</v>
      </c>
      <c r="AE5">
        <f t="shared" si="2"/>
        <v>1.7808000000000001E-2</v>
      </c>
      <c r="AF5">
        <f t="shared" si="2"/>
        <v>2.1299999999999999E-3</v>
      </c>
    </row>
    <row r="6" spans="1:32" ht="15" thickTop="1" thickBot="1" x14ac:dyDescent="0.35">
      <c r="A6" s="86"/>
      <c r="Q6" s="85"/>
    </row>
    <row r="7" spans="1:32" ht="14.5" thickTop="1" x14ac:dyDescent="0.3">
      <c r="A7" s="86"/>
      <c r="B7" s="42" t="s">
        <v>169</v>
      </c>
      <c r="C7" s="43">
        <v>0.1</v>
      </c>
      <c r="D7" s="43">
        <v>0.5</v>
      </c>
      <c r="E7" s="43">
        <v>1</v>
      </c>
      <c r="F7" s="43">
        <v>5</v>
      </c>
      <c r="G7" s="43">
        <v>10</v>
      </c>
      <c r="H7" s="43">
        <v>20</v>
      </c>
      <c r="I7" s="43">
        <v>30</v>
      </c>
      <c r="J7" s="43">
        <v>40</v>
      </c>
      <c r="K7" s="43">
        <v>50</v>
      </c>
      <c r="L7" s="43">
        <v>60</v>
      </c>
      <c r="M7" s="43">
        <v>70</v>
      </c>
      <c r="N7" s="43">
        <v>80</v>
      </c>
      <c r="O7" s="43">
        <v>90</v>
      </c>
      <c r="P7" s="44">
        <v>100</v>
      </c>
      <c r="Q7" s="85"/>
    </row>
    <row r="8" spans="1:32" x14ac:dyDescent="0.3">
      <c r="A8" s="86"/>
      <c r="B8" s="132" t="s">
        <v>170</v>
      </c>
      <c r="C8" s="144">
        <v>1.4E-2</v>
      </c>
      <c r="D8" s="144">
        <v>1.4999999999999999E-2</v>
      </c>
      <c r="E8" s="144">
        <v>1.6E-2</v>
      </c>
      <c r="F8" s="144">
        <v>2.1000000000000001E-2</v>
      </c>
      <c r="G8" s="144">
        <v>0.28000000000000003</v>
      </c>
      <c r="H8" s="144">
        <v>4.2000000000000003E-2</v>
      </c>
      <c r="I8" s="144">
        <v>5.6000000000000001E-2</v>
      </c>
      <c r="J8" s="144">
        <v>7.0000000000000007E-2</v>
      </c>
      <c r="K8" s="144">
        <v>8.3000000000000004E-2</v>
      </c>
      <c r="L8" s="144">
        <v>9.8000000000000004E-2</v>
      </c>
      <c r="M8" s="144">
        <v>9.9000000000000005E-2</v>
      </c>
      <c r="N8" s="144">
        <v>0.124</v>
      </c>
      <c r="O8" s="144">
        <v>0.13600000000000001</v>
      </c>
      <c r="P8" s="145">
        <v>0.15</v>
      </c>
      <c r="Q8" s="85"/>
    </row>
    <row r="9" spans="1:32" x14ac:dyDescent="0.3">
      <c r="A9" s="86"/>
      <c r="B9" s="132" t="s">
        <v>171</v>
      </c>
      <c r="C9" s="144">
        <v>1.3879999999999999</v>
      </c>
      <c r="D9" s="144">
        <v>1.3919999999999999</v>
      </c>
      <c r="E9" s="144">
        <v>1.3939999999999999</v>
      </c>
      <c r="F9" s="144">
        <v>1.3959999999999999</v>
      </c>
      <c r="G9" s="144">
        <v>1.3939999999999999</v>
      </c>
      <c r="H9" s="144">
        <v>1.393</v>
      </c>
      <c r="I9" s="144">
        <v>1.3919999999999999</v>
      </c>
      <c r="J9" s="144">
        <v>1.3919999999999999</v>
      </c>
      <c r="K9" s="144">
        <v>1.3839999999999999</v>
      </c>
      <c r="L9" s="144">
        <v>1.3839999999999999</v>
      </c>
      <c r="M9" s="144">
        <v>1.3759999999999999</v>
      </c>
      <c r="N9" s="144">
        <v>1.367</v>
      </c>
      <c r="O9" s="144">
        <v>1.36</v>
      </c>
      <c r="P9" s="145">
        <v>1.36</v>
      </c>
      <c r="Q9" s="85"/>
    </row>
    <row r="10" spans="1:32" x14ac:dyDescent="0.3">
      <c r="A10" s="86"/>
      <c r="B10" s="132" t="s">
        <v>169</v>
      </c>
      <c r="C10" s="91">
        <v>150</v>
      </c>
      <c r="D10" s="91">
        <v>200</v>
      </c>
      <c r="E10" s="91">
        <v>250</v>
      </c>
      <c r="F10" s="91">
        <v>300</v>
      </c>
      <c r="G10" s="91">
        <v>350</v>
      </c>
      <c r="H10" s="91">
        <v>400</v>
      </c>
      <c r="I10" s="91">
        <v>450</v>
      </c>
      <c r="J10" s="91">
        <v>500</v>
      </c>
      <c r="K10" s="91">
        <v>550</v>
      </c>
      <c r="L10" s="91">
        <v>600</v>
      </c>
      <c r="M10" s="91">
        <v>650</v>
      </c>
      <c r="N10" s="91">
        <v>700</v>
      </c>
      <c r="O10" s="91">
        <v>750</v>
      </c>
      <c r="P10" s="92">
        <v>800</v>
      </c>
      <c r="Q10" s="85"/>
    </row>
    <row r="11" spans="1:32" x14ac:dyDescent="0.3">
      <c r="A11" s="86"/>
      <c r="B11" s="132" t="s">
        <v>170</v>
      </c>
      <c r="C11" s="144">
        <v>0.21099999999999999</v>
      </c>
      <c r="D11" s="144">
        <v>0.26</v>
      </c>
      <c r="E11" s="144">
        <v>0.29799999999999999</v>
      </c>
      <c r="F11" s="144">
        <v>0.32300000000000001</v>
      </c>
      <c r="G11" s="144">
        <v>0.34100000000000003</v>
      </c>
      <c r="H11" s="144">
        <v>0.35299999999999998</v>
      </c>
      <c r="I11" s="144">
        <v>0.36399999999999999</v>
      </c>
      <c r="J11" s="144">
        <v>0.36899999999999999</v>
      </c>
      <c r="K11" s="144">
        <v>0.377</v>
      </c>
      <c r="L11" s="144">
        <v>0.38400000000000001</v>
      </c>
      <c r="M11" s="144">
        <v>0.38600000000000001</v>
      </c>
      <c r="N11" s="144">
        <v>0.38800000000000001</v>
      </c>
      <c r="O11" s="144">
        <v>0.39200000000000002</v>
      </c>
      <c r="P11" s="145">
        <v>0.39400000000000002</v>
      </c>
      <c r="Q11" s="85"/>
    </row>
    <row r="12" spans="1:32" x14ac:dyDescent="0.3">
      <c r="A12" s="86"/>
      <c r="B12" s="132" t="s">
        <v>171</v>
      </c>
      <c r="C12" s="144">
        <v>1.3089999999999999</v>
      </c>
      <c r="D12" s="144">
        <v>1.228</v>
      </c>
      <c r="E12" s="144">
        <v>1.137</v>
      </c>
      <c r="F12" s="144">
        <v>1.03</v>
      </c>
      <c r="G12" s="144">
        <v>0.94099999999999995</v>
      </c>
      <c r="H12" s="144">
        <v>0.85299999999999998</v>
      </c>
      <c r="I12" s="144">
        <v>0.78400000000000003</v>
      </c>
      <c r="J12" s="144">
        <v>0.71799999999999997</v>
      </c>
      <c r="K12" s="144">
        <v>0.66600000000000004</v>
      </c>
      <c r="L12" s="144">
        <v>0.62</v>
      </c>
      <c r="M12" s="144">
        <v>0.57999999999999996</v>
      </c>
      <c r="N12" s="144">
        <v>0.54100000000000004</v>
      </c>
      <c r="O12" s="144">
        <v>0.51300000000000001</v>
      </c>
      <c r="P12" s="145">
        <v>0.48299999999999998</v>
      </c>
      <c r="Q12" s="85"/>
    </row>
    <row r="13" spans="1:32" x14ac:dyDescent="0.3">
      <c r="A13" s="86"/>
      <c r="B13" s="132" t="s">
        <v>169</v>
      </c>
      <c r="C13" s="91">
        <v>850</v>
      </c>
      <c r="D13" s="91">
        <v>900</v>
      </c>
      <c r="E13" s="91">
        <v>950</v>
      </c>
      <c r="F13" s="142">
        <v>1000</v>
      </c>
      <c r="G13" s="142">
        <v>2000</v>
      </c>
      <c r="H13" s="142">
        <v>3000</v>
      </c>
      <c r="I13" s="142">
        <v>4000</v>
      </c>
      <c r="J13" s="142">
        <v>5000</v>
      </c>
      <c r="K13" s="142">
        <v>6000</v>
      </c>
      <c r="L13" s="142">
        <v>7000</v>
      </c>
      <c r="M13" s="142">
        <v>8000</v>
      </c>
      <c r="N13" s="142">
        <v>9000</v>
      </c>
      <c r="O13" s="142">
        <v>10000</v>
      </c>
      <c r="P13" s="143">
        <v>90000</v>
      </c>
      <c r="Q13" s="85"/>
    </row>
    <row r="14" spans="1:32" x14ac:dyDescent="0.3">
      <c r="A14" s="86"/>
      <c r="B14" s="132" t="s">
        <v>170</v>
      </c>
      <c r="C14" s="144">
        <v>0.39600000000000002</v>
      </c>
      <c r="D14" s="144">
        <v>0.39700000000000002</v>
      </c>
      <c r="E14" s="144">
        <v>0.4</v>
      </c>
      <c r="F14" s="144">
        <v>0.40100000000000002</v>
      </c>
      <c r="G14" s="144">
        <v>0.41499999999999998</v>
      </c>
      <c r="H14" s="144">
        <v>0.41899999999999998</v>
      </c>
      <c r="I14" s="144">
        <v>0.42</v>
      </c>
      <c r="J14" s="144">
        <v>0.42099999999999999</v>
      </c>
      <c r="K14" s="144">
        <v>0.42199999999999999</v>
      </c>
      <c r="L14" s="144">
        <v>0.42299999999999999</v>
      </c>
      <c r="M14" s="144">
        <v>0.42299999999999999</v>
      </c>
      <c r="N14" s="144">
        <v>0.42399999999999999</v>
      </c>
      <c r="O14" s="144">
        <v>0.42399999999999999</v>
      </c>
      <c r="P14" s="145">
        <v>0.42599999999999999</v>
      </c>
      <c r="Q14" s="85"/>
    </row>
    <row r="15" spans="1:32" ht="14.5" thickBot="1" x14ac:dyDescent="0.35">
      <c r="A15" s="86"/>
      <c r="B15" s="117" t="s">
        <v>171</v>
      </c>
      <c r="C15" s="146">
        <v>0.45700000000000002</v>
      </c>
      <c r="D15" s="146">
        <v>0.433</v>
      </c>
      <c r="E15" s="146">
        <v>0.41299999999999998</v>
      </c>
      <c r="F15" s="146">
        <v>0.34300000000000003</v>
      </c>
      <c r="G15" s="146">
        <v>2.4E-2</v>
      </c>
      <c r="H15" s="146">
        <v>0.13800000000000001</v>
      </c>
      <c r="I15" s="146">
        <v>0.104</v>
      </c>
      <c r="J15" s="146">
        <v>8.4000000000000005E-2</v>
      </c>
      <c r="K15" s="146">
        <v>7.0999999999999994E-2</v>
      </c>
      <c r="L15" s="146">
        <v>6.2E-2</v>
      </c>
      <c r="M15" s="146">
        <v>5.0999999999999997E-2</v>
      </c>
      <c r="N15" s="146">
        <v>4.7E-2</v>
      </c>
      <c r="O15" s="146">
        <v>4.2000000000000003E-2</v>
      </c>
      <c r="P15" s="147">
        <v>5.0000000000000001E-3</v>
      </c>
      <c r="Q15" s="85"/>
    </row>
    <row r="16" spans="1:32" ht="14.5" thickTop="1" x14ac:dyDescent="0.3">
      <c r="A16" s="86"/>
      <c r="Q16" s="85"/>
    </row>
    <row r="17" spans="1:17" x14ac:dyDescent="0.3">
      <c r="A17" s="86"/>
      <c r="Q17" s="85"/>
    </row>
    <row r="18" spans="1:17" ht="14.5" thickBot="1" x14ac:dyDescent="0.35">
      <c r="A18" s="86"/>
      <c r="Q18" s="85"/>
    </row>
    <row r="19" spans="1:17" ht="15" thickTop="1" thickBot="1" x14ac:dyDescent="0.35">
      <c r="A19" s="86"/>
      <c r="B19" s="196" t="s">
        <v>173</v>
      </c>
      <c r="C19" s="197"/>
      <c r="D19" s="197"/>
      <c r="E19" s="197"/>
      <c r="F19" s="198">
        <f>MAX(S3:AF5)</f>
        <v>0.39032</v>
      </c>
      <c r="G19" s="198"/>
      <c r="H19" s="199"/>
      <c r="Q19" s="85"/>
    </row>
    <row r="20" spans="1:17" ht="15" thickTop="1" thickBot="1" x14ac:dyDescent="0.35">
      <c r="A20" s="86"/>
      <c r="Q20" s="85"/>
    </row>
    <row r="21" spans="1:17" ht="15" thickTop="1" thickBot="1" x14ac:dyDescent="0.35">
      <c r="A21" s="86"/>
      <c r="B21" s="196" t="s">
        <v>174</v>
      </c>
      <c r="C21" s="197"/>
      <c r="D21" s="197"/>
      <c r="E21" s="197"/>
      <c r="F21" s="200">
        <f>F19/C3</f>
        <v>0.17440571939231456</v>
      </c>
      <c r="G21" s="200"/>
      <c r="H21" s="201"/>
      <c r="Q21" s="85"/>
    </row>
    <row r="22" spans="1:17" ht="14.5" thickTop="1" x14ac:dyDescent="0.3">
      <c r="A22" s="86"/>
      <c r="Q22" s="85"/>
    </row>
    <row r="23" spans="1:17" x14ac:dyDescent="0.3">
      <c r="A23" s="86"/>
      <c r="Q23" s="85"/>
    </row>
    <row r="24" spans="1:17" x14ac:dyDescent="0.3">
      <c r="A24" s="86"/>
      <c r="Q24" s="85"/>
    </row>
    <row r="25" spans="1:17" x14ac:dyDescent="0.3">
      <c r="A25" s="86"/>
      <c r="Q25" s="85"/>
    </row>
    <row r="26" spans="1:17" x14ac:dyDescent="0.3">
      <c r="A26" s="86"/>
      <c r="Q26" s="85"/>
    </row>
    <row r="27" spans="1:17" x14ac:dyDescent="0.3">
      <c r="A27" s="86"/>
      <c r="Q27" s="85"/>
    </row>
    <row r="28" spans="1:17" x14ac:dyDescent="0.3">
      <c r="A28" s="86"/>
      <c r="Q28" s="85"/>
    </row>
    <row r="29" spans="1:17" x14ac:dyDescent="0.3">
      <c r="A29" s="86"/>
      <c r="Q29" s="85"/>
    </row>
    <row r="30" spans="1:17" x14ac:dyDescent="0.3">
      <c r="A30" s="86"/>
      <c r="Q30" s="85"/>
    </row>
    <row r="31" spans="1:17" x14ac:dyDescent="0.3">
      <c r="A31" s="86"/>
      <c r="Q31" s="85"/>
    </row>
    <row r="32" spans="1:17" x14ac:dyDescent="0.3">
      <c r="A32" s="86"/>
      <c r="Q32" s="85"/>
    </row>
    <row r="33" spans="1:17" x14ac:dyDescent="0.3">
      <c r="A33" s="86"/>
      <c r="Q33" s="85"/>
    </row>
    <row r="34" spans="1:17" x14ac:dyDescent="0.3">
      <c r="A34" s="86"/>
      <c r="Q34" s="85"/>
    </row>
    <row r="35" spans="1:17" x14ac:dyDescent="0.3">
      <c r="A35" s="86"/>
      <c r="Q35" s="85"/>
    </row>
    <row r="36" spans="1:17" x14ac:dyDescent="0.3">
      <c r="A36" s="86"/>
      <c r="Q36" s="85"/>
    </row>
    <row r="37" spans="1:17" x14ac:dyDescent="0.3">
      <c r="A37" s="86"/>
      <c r="Q37" s="85"/>
    </row>
    <row r="38" spans="1:17" x14ac:dyDescent="0.3">
      <c r="A38" s="86"/>
      <c r="Q38" s="85"/>
    </row>
    <row r="39" spans="1:17" x14ac:dyDescent="0.3">
      <c r="A39" s="86"/>
      <c r="Q39" s="85"/>
    </row>
    <row r="40" spans="1:17" x14ac:dyDescent="0.3">
      <c r="A40" s="86"/>
      <c r="Q40" s="85"/>
    </row>
    <row r="41" spans="1:17" x14ac:dyDescent="0.3">
      <c r="A41" s="86"/>
      <c r="Q41" s="85"/>
    </row>
    <row r="42" spans="1:17" x14ac:dyDescent="0.3">
      <c r="A42" s="86"/>
      <c r="Q42" s="85"/>
    </row>
    <row r="43" spans="1:17" x14ac:dyDescent="0.3">
      <c r="A43" s="86"/>
      <c r="Q43" s="85"/>
    </row>
    <row r="44" spans="1:17" x14ac:dyDescent="0.3">
      <c r="A44" s="86"/>
      <c r="Q44" s="85"/>
    </row>
    <row r="45" spans="1:17" x14ac:dyDescent="0.3">
      <c r="A45" s="86"/>
      <c r="Q45" s="85"/>
    </row>
    <row r="46" spans="1:17" x14ac:dyDescent="0.3">
      <c r="A46" s="86"/>
      <c r="Q46" s="85"/>
    </row>
    <row r="47" spans="1:17" x14ac:dyDescent="0.3">
      <c r="A47" s="86"/>
      <c r="Q47" s="85"/>
    </row>
    <row r="48" spans="1:17" x14ac:dyDescent="0.3">
      <c r="A48" s="86"/>
      <c r="Q48" s="85"/>
    </row>
    <row r="49" spans="1:17" x14ac:dyDescent="0.3">
      <c r="A49" s="86"/>
      <c r="Q49" s="85"/>
    </row>
    <row r="50" spans="1:17" x14ac:dyDescent="0.3">
      <c r="A50" s="86"/>
      <c r="Q50" s="85"/>
    </row>
    <row r="51" spans="1:17" x14ac:dyDescent="0.3">
      <c r="A51" s="86"/>
      <c r="Q51" s="85"/>
    </row>
    <row r="52" spans="1:17" x14ac:dyDescent="0.3">
      <c r="A52" s="86"/>
      <c r="Q52" s="85"/>
    </row>
    <row r="53" spans="1:17" x14ac:dyDescent="0.3">
      <c r="A53" s="86"/>
      <c r="Q53" s="85"/>
    </row>
    <row r="54" spans="1:17" x14ac:dyDescent="0.3">
      <c r="A54" s="86"/>
      <c r="Q54" s="85"/>
    </row>
    <row r="55" spans="1:17" x14ac:dyDescent="0.3">
      <c r="A55" s="86"/>
      <c r="Q55" s="85"/>
    </row>
    <row r="56" spans="1:17" x14ac:dyDescent="0.3">
      <c r="A56" s="86"/>
      <c r="Q56" s="85"/>
    </row>
    <row r="57" spans="1:17" x14ac:dyDescent="0.3">
      <c r="A57" s="86"/>
      <c r="Q57" s="85"/>
    </row>
    <row r="58" spans="1:17" ht="14.5" thickBot="1" x14ac:dyDescent="0.35">
      <c r="A58" s="107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87"/>
    </row>
  </sheetData>
  <mergeCells count="4">
    <mergeCell ref="B19:E19"/>
    <mergeCell ref="F19:H19"/>
    <mergeCell ref="B21:E21"/>
    <mergeCell ref="F21:H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279F-6EED-4D27-ACC8-9A3CC350B554}">
  <dimension ref="A1:M51"/>
  <sheetViews>
    <sheetView topLeftCell="A15" zoomScale="70" zoomScaleNormal="70" workbookViewId="0"/>
  </sheetViews>
  <sheetFormatPr defaultRowHeight="14" x14ac:dyDescent="0.3"/>
  <cols>
    <col min="1" max="1" width="5.33203125" customWidth="1"/>
    <col min="2" max="13" width="16.6640625" customWidth="1"/>
  </cols>
  <sheetData>
    <row r="1" spans="1:13" ht="14.5" thickBot="1" x14ac:dyDescent="0.35">
      <c r="A1" s="89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4"/>
    </row>
    <row r="2" spans="1:13" ht="14.5" thickTop="1" x14ac:dyDescent="0.3">
      <c r="A2" s="86"/>
      <c r="B2" s="207" t="s">
        <v>185</v>
      </c>
      <c r="C2" s="152">
        <v>50</v>
      </c>
      <c r="D2" s="153">
        <v>12.6</v>
      </c>
      <c r="E2" s="154">
        <v>0.05</v>
      </c>
      <c r="F2" s="155">
        <v>1</v>
      </c>
      <c r="M2" s="85"/>
    </row>
    <row r="3" spans="1:13" ht="16" x14ac:dyDescent="0.3">
      <c r="A3" s="86"/>
      <c r="B3" s="205"/>
      <c r="C3" s="156" t="s">
        <v>183</v>
      </c>
      <c r="D3" s="157">
        <v>100</v>
      </c>
      <c r="E3" s="156" t="s">
        <v>183</v>
      </c>
      <c r="F3" s="158">
        <v>300</v>
      </c>
      <c r="M3" s="85"/>
    </row>
    <row r="4" spans="1:13" ht="16" x14ac:dyDescent="0.3">
      <c r="A4" s="86"/>
      <c r="B4" s="205"/>
      <c r="C4" s="91" t="s">
        <v>182</v>
      </c>
      <c r="D4" s="91" t="s">
        <v>175</v>
      </c>
      <c r="E4" s="91" t="s">
        <v>182</v>
      </c>
      <c r="F4" s="92" t="s">
        <v>175</v>
      </c>
      <c r="M4" s="85"/>
    </row>
    <row r="5" spans="1:13" x14ac:dyDescent="0.3">
      <c r="A5" s="86"/>
      <c r="B5" s="132">
        <v>1000</v>
      </c>
      <c r="C5" s="135">
        <v>37</v>
      </c>
      <c r="D5" s="159">
        <f t="shared" ref="D5:D44" si="0">C5/$D$3</f>
        <v>0.37</v>
      </c>
      <c r="E5" s="135">
        <v>108</v>
      </c>
      <c r="F5" s="161">
        <f t="shared" ref="F5:F44" si="1">E5/$F$3</f>
        <v>0.36</v>
      </c>
      <c r="M5" s="85"/>
    </row>
    <row r="6" spans="1:13" x14ac:dyDescent="0.3">
      <c r="A6" s="86"/>
      <c r="B6" s="132">
        <v>1200</v>
      </c>
      <c r="C6" s="135">
        <v>44</v>
      </c>
      <c r="D6" s="159">
        <f t="shared" si="0"/>
        <v>0.44</v>
      </c>
      <c r="E6" s="135">
        <v>132</v>
      </c>
      <c r="F6" s="161">
        <f t="shared" si="1"/>
        <v>0.44</v>
      </c>
      <c r="M6" s="85"/>
    </row>
    <row r="7" spans="1:13" x14ac:dyDescent="0.3">
      <c r="A7" s="86"/>
      <c r="B7" s="132">
        <v>1400</v>
      </c>
      <c r="C7" s="135">
        <v>55</v>
      </c>
      <c r="D7" s="159">
        <f t="shared" si="0"/>
        <v>0.55000000000000004</v>
      </c>
      <c r="E7" s="135">
        <v>163</v>
      </c>
      <c r="F7" s="161">
        <f t="shared" si="1"/>
        <v>0.54333333333333333</v>
      </c>
      <c r="M7" s="85"/>
    </row>
    <row r="8" spans="1:13" x14ac:dyDescent="0.3">
      <c r="A8" s="86"/>
      <c r="B8" s="132">
        <v>1600</v>
      </c>
      <c r="C8" s="135">
        <v>68</v>
      </c>
      <c r="D8" s="159">
        <f t="shared" si="0"/>
        <v>0.68</v>
      </c>
      <c r="E8" s="135">
        <v>200</v>
      </c>
      <c r="F8" s="161">
        <f t="shared" si="1"/>
        <v>0.66666666666666663</v>
      </c>
      <c r="M8" s="85"/>
    </row>
    <row r="9" spans="1:13" x14ac:dyDescent="0.3">
      <c r="A9" s="86"/>
      <c r="B9" s="132">
        <v>1800</v>
      </c>
      <c r="C9" s="135">
        <v>84</v>
      </c>
      <c r="D9" s="159">
        <f t="shared" si="0"/>
        <v>0.84</v>
      </c>
      <c r="E9" s="135">
        <v>243</v>
      </c>
      <c r="F9" s="161">
        <f t="shared" si="1"/>
        <v>0.81</v>
      </c>
      <c r="M9" s="85"/>
    </row>
    <row r="10" spans="1:13" x14ac:dyDescent="0.3">
      <c r="A10" s="86"/>
      <c r="B10" s="132">
        <v>2000</v>
      </c>
      <c r="C10" s="135">
        <v>105</v>
      </c>
      <c r="D10" s="159">
        <f t="shared" si="0"/>
        <v>1.05</v>
      </c>
      <c r="E10" s="135">
        <v>298</v>
      </c>
      <c r="F10" s="161">
        <f t="shared" si="1"/>
        <v>0.99333333333333329</v>
      </c>
      <c r="M10" s="85"/>
    </row>
    <row r="11" spans="1:13" x14ac:dyDescent="0.3">
      <c r="A11" s="86"/>
      <c r="B11" s="132">
        <v>2100</v>
      </c>
      <c r="C11" s="135">
        <v>117</v>
      </c>
      <c r="D11" s="159">
        <f t="shared" si="0"/>
        <v>1.17</v>
      </c>
      <c r="E11" s="135">
        <v>330</v>
      </c>
      <c r="F11" s="161">
        <f t="shared" si="1"/>
        <v>1.1000000000000001</v>
      </c>
      <c r="M11" s="85"/>
    </row>
    <row r="12" spans="1:13" x14ac:dyDescent="0.3">
      <c r="A12" s="86"/>
      <c r="B12" s="132">
        <v>2200</v>
      </c>
      <c r="C12" s="135">
        <v>132</v>
      </c>
      <c r="D12" s="159">
        <f t="shared" si="0"/>
        <v>1.32</v>
      </c>
      <c r="E12" s="135">
        <v>368</v>
      </c>
      <c r="F12" s="161">
        <f t="shared" si="1"/>
        <v>1.2266666666666666</v>
      </c>
      <c r="M12" s="85"/>
    </row>
    <row r="13" spans="1:13" x14ac:dyDescent="0.3">
      <c r="A13" s="86"/>
      <c r="B13" s="132">
        <v>2300</v>
      </c>
      <c r="C13" s="135">
        <v>152</v>
      </c>
      <c r="D13" s="159">
        <f t="shared" si="0"/>
        <v>1.52</v>
      </c>
      <c r="E13" s="135">
        <v>411</v>
      </c>
      <c r="F13" s="161">
        <f t="shared" si="1"/>
        <v>1.37</v>
      </c>
      <c r="M13" s="85"/>
    </row>
    <row r="14" spans="1:13" x14ac:dyDescent="0.3">
      <c r="A14" s="86"/>
      <c r="B14" s="132">
        <v>2400</v>
      </c>
      <c r="C14" s="135">
        <v>176</v>
      </c>
      <c r="D14" s="159">
        <f t="shared" si="0"/>
        <v>1.76</v>
      </c>
      <c r="E14" s="135">
        <v>459</v>
      </c>
      <c r="F14" s="161">
        <f t="shared" si="1"/>
        <v>1.53</v>
      </c>
      <c r="M14" s="85"/>
    </row>
    <row r="15" spans="1:13" x14ac:dyDescent="0.3">
      <c r="A15" s="86"/>
      <c r="B15" s="132">
        <v>2500</v>
      </c>
      <c r="C15" s="135">
        <v>200</v>
      </c>
      <c r="D15" s="159">
        <f t="shared" si="0"/>
        <v>2</v>
      </c>
      <c r="E15" s="135">
        <v>521</v>
      </c>
      <c r="F15" s="161">
        <f t="shared" si="1"/>
        <v>1.7366666666666666</v>
      </c>
      <c r="M15" s="85"/>
    </row>
    <row r="16" spans="1:13" x14ac:dyDescent="0.3">
      <c r="A16" s="86"/>
      <c r="B16" s="132">
        <v>2600</v>
      </c>
      <c r="C16" s="135">
        <v>236</v>
      </c>
      <c r="D16" s="159">
        <f t="shared" si="0"/>
        <v>2.36</v>
      </c>
      <c r="E16" s="135">
        <v>586</v>
      </c>
      <c r="F16" s="161">
        <f t="shared" si="1"/>
        <v>1.9533333333333334</v>
      </c>
      <c r="M16" s="85"/>
    </row>
    <row r="17" spans="1:13" x14ac:dyDescent="0.3">
      <c r="A17" s="86"/>
      <c r="B17" s="132">
        <v>2700</v>
      </c>
      <c r="C17" s="135">
        <v>286</v>
      </c>
      <c r="D17" s="159">
        <f t="shared" si="0"/>
        <v>2.86</v>
      </c>
      <c r="E17" s="135">
        <v>644</v>
      </c>
      <c r="F17" s="161">
        <f t="shared" si="1"/>
        <v>2.1466666666666665</v>
      </c>
      <c r="M17" s="85"/>
    </row>
    <row r="18" spans="1:13" x14ac:dyDescent="0.3">
      <c r="A18" s="86"/>
      <c r="B18" s="132">
        <v>2800</v>
      </c>
      <c r="C18" s="135">
        <v>360</v>
      </c>
      <c r="D18" s="159">
        <f t="shared" si="0"/>
        <v>3.6</v>
      </c>
      <c r="E18" s="135">
        <v>736</v>
      </c>
      <c r="F18" s="161">
        <f t="shared" si="1"/>
        <v>2.4533333333333331</v>
      </c>
      <c r="M18" s="85"/>
    </row>
    <row r="19" spans="1:13" x14ac:dyDescent="0.3">
      <c r="A19" s="86"/>
      <c r="B19" s="132">
        <v>2900</v>
      </c>
      <c r="C19" s="135">
        <v>456</v>
      </c>
      <c r="D19" s="159">
        <f t="shared" si="0"/>
        <v>4.5599999999999996</v>
      </c>
      <c r="E19" s="135">
        <v>811</v>
      </c>
      <c r="F19" s="161">
        <f t="shared" si="1"/>
        <v>2.7033333333333331</v>
      </c>
      <c r="M19" s="85"/>
    </row>
    <row r="20" spans="1:13" x14ac:dyDescent="0.3">
      <c r="A20" s="86"/>
      <c r="B20" s="132">
        <v>3000</v>
      </c>
      <c r="C20" s="135">
        <v>614</v>
      </c>
      <c r="D20" s="159">
        <f t="shared" si="0"/>
        <v>6.14</v>
      </c>
      <c r="E20" s="135">
        <v>896</v>
      </c>
      <c r="F20" s="161">
        <f t="shared" si="1"/>
        <v>2.9866666666666668</v>
      </c>
      <c r="M20" s="85"/>
    </row>
    <row r="21" spans="1:13" x14ac:dyDescent="0.3">
      <c r="A21" s="86"/>
      <c r="B21" s="132">
        <v>3100</v>
      </c>
      <c r="C21" s="135">
        <v>807</v>
      </c>
      <c r="D21" s="159">
        <f t="shared" si="0"/>
        <v>8.07</v>
      </c>
      <c r="E21" s="135">
        <v>926</v>
      </c>
      <c r="F21" s="161">
        <f t="shared" si="1"/>
        <v>3.0866666666666664</v>
      </c>
      <c r="M21" s="85"/>
    </row>
    <row r="22" spans="1:13" x14ac:dyDescent="0.3">
      <c r="A22" s="86"/>
      <c r="B22" s="132">
        <v>3125</v>
      </c>
      <c r="C22" s="135">
        <v>841</v>
      </c>
      <c r="D22" s="159">
        <f t="shared" si="0"/>
        <v>8.41</v>
      </c>
      <c r="E22" s="135">
        <v>924</v>
      </c>
      <c r="F22" s="161">
        <f t="shared" si="1"/>
        <v>3.08</v>
      </c>
      <c r="M22" s="85"/>
    </row>
    <row r="23" spans="1:13" x14ac:dyDescent="0.3">
      <c r="A23" s="86"/>
      <c r="B23" s="132">
        <v>3150</v>
      </c>
      <c r="C23" s="135">
        <v>857</v>
      </c>
      <c r="D23" s="159">
        <f t="shared" si="0"/>
        <v>8.57</v>
      </c>
      <c r="E23" s="135">
        <v>934</v>
      </c>
      <c r="F23" s="161">
        <f t="shared" si="1"/>
        <v>3.1133333333333333</v>
      </c>
      <c r="M23" s="85"/>
    </row>
    <row r="24" spans="1:13" x14ac:dyDescent="0.3">
      <c r="A24" s="86"/>
      <c r="B24" s="132">
        <v>3175</v>
      </c>
      <c r="C24" s="135">
        <v>862</v>
      </c>
      <c r="D24" s="159">
        <f t="shared" si="0"/>
        <v>8.6199999999999992</v>
      </c>
      <c r="E24" s="135">
        <v>940</v>
      </c>
      <c r="F24" s="161">
        <f t="shared" si="1"/>
        <v>3.1333333333333333</v>
      </c>
      <c r="M24" s="85"/>
    </row>
    <row r="25" spans="1:13" x14ac:dyDescent="0.3">
      <c r="A25" s="86"/>
      <c r="B25" s="132">
        <v>3200</v>
      </c>
      <c r="C25" s="135">
        <v>818</v>
      </c>
      <c r="D25" s="159">
        <f t="shared" si="0"/>
        <v>8.18</v>
      </c>
      <c r="E25" s="135">
        <v>945</v>
      </c>
      <c r="F25" s="161">
        <f t="shared" si="1"/>
        <v>3.15</v>
      </c>
      <c r="M25" s="85"/>
    </row>
    <row r="26" spans="1:13" x14ac:dyDescent="0.3">
      <c r="A26" s="86"/>
      <c r="B26" s="132">
        <v>3225</v>
      </c>
      <c r="C26" s="135">
        <v>794</v>
      </c>
      <c r="D26" s="159">
        <f t="shared" si="0"/>
        <v>7.94</v>
      </c>
      <c r="E26" s="135">
        <v>941</v>
      </c>
      <c r="F26" s="161">
        <f t="shared" si="1"/>
        <v>3.1366666666666667</v>
      </c>
      <c r="M26" s="85"/>
    </row>
    <row r="27" spans="1:13" x14ac:dyDescent="0.3">
      <c r="A27" s="86"/>
      <c r="B27" s="132">
        <v>3250</v>
      </c>
      <c r="C27" s="135">
        <v>769</v>
      </c>
      <c r="D27" s="159">
        <f t="shared" si="0"/>
        <v>7.69</v>
      </c>
      <c r="E27" s="135">
        <v>932</v>
      </c>
      <c r="F27" s="161">
        <f t="shared" si="1"/>
        <v>3.1066666666666665</v>
      </c>
      <c r="M27" s="85"/>
    </row>
    <row r="28" spans="1:13" x14ac:dyDescent="0.3">
      <c r="A28" s="86"/>
      <c r="B28" s="132">
        <v>3300</v>
      </c>
      <c r="C28" s="135">
        <v>734</v>
      </c>
      <c r="D28" s="159">
        <f t="shared" si="0"/>
        <v>7.34</v>
      </c>
      <c r="E28" s="135">
        <v>930</v>
      </c>
      <c r="F28" s="161">
        <f t="shared" si="1"/>
        <v>3.1</v>
      </c>
      <c r="M28" s="85"/>
    </row>
    <row r="29" spans="1:13" x14ac:dyDescent="0.3">
      <c r="A29" s="86"/>
      <c r="B29" s="132">
        <v>3400</v>
      </c>
      <c r="C29" s="135">
        <v>545</v>
      </c>
      <c r="D29" s="159">
        <f t="shared" si="0"/>
        <v>5.45</v>
      </c>
      <c r="E29" s="135">
        <v>870</v>
      </c>
      <c r="F29" s="161">
        <f t="shared" si="1"/>
        <v>2.9</v>
      </c>
      <c r="M29" s="85"/>
    </row>
    <row r="30" spans="1:13" x14ac:dyDescent="0.3">
      <c r="A30" s="86"/>
      <c r="B30" s="132">
        <v>3500</v>
      </c>
      <c r="C30" s="135">
        <v>439</v>
      </c>
      <c r="D30" s="159">
        <f t="shared" si="0"/>
        <v>4.3899999999999997</v>
      </c>
      <c r="E30" s="135">
        <v>809</v>
      </c>
      <c r="F30" s="161">
        <f t="shared" si="1"/>
        <v>2.6966666666666668</v>
      </c>
      <c r="M30" s="85"/>
    </row>
    <row r="31" spans="1:13" x14ac:dyDescent="0.3">
      <c r="A31" s="86"/>
      <c r="B31" s="132">
        <v>3600</v>
      </c>
      <c r="C31" s="135">
        <v>367</v>
      </c>
      <c r="D31" s="159">
        <f t="shared" si="0"/>
        <v>3.67</v>
      </c>
      <c r="E31" s="135">
        <v>751</v>
      </c>
      <c r="F31" s="161">
        <f t="shared" si="1"/>
        <v>2.5033333333333334</v>
      </c>
      <c r="M31" s="85"/>
    </row>
    <row r="32" spans="1:13" x14ac:dyDescent="0.3">
      <c r="A32" s="86"/>
      <c r="B32" s="132">
        <v>3700</v>
      </c>
      <c r="C32" s="135">
        <v>317</v>
      </c>
      <c r="D32" s="159">
        <f t="shared" si="0"/>
        <v>3.17</v>
      </c>
      <c r="E32" s="135">
        <v>646</v>
      </c>
      <c r="F32" s="161">
        <f t="shared" si="1"/>
        <v>2.1533333333333333</v>
      </c>
      <c r="M32" s="85"/>
    </row>
    <row r="33" spans="1:13" x14ac:dyDescent="0.3">
      <c r="A33" s="86"/>
      <c r="B33" s="132">
        <v>3800</v>
      </c>
      <c r="C33" s="135">
        <v>272</v>
      </c>
      <c r="D33" s="159">
        <f t="shared" si="0"/>
        <v>2.72</v>
      </c>
      <c r="E33" s="135">
        <v>635</v>
      </c>
      <c r="F33" s="161">
        <f t="shared" si="1"/>
        <v>2.1166666666666667</v>
      </c>
      <c r="M33" s="85"/>
    </row>
    <row r="34" spans="1:13" x14ac:dyDescent="0.3">
      <c r="A34" s="86"/>
      <c r="B34" s="132">
        <v>3900</v>
      </c>
      <c r="C34" s="135">
        <v>240</v>
      </c>
      <c r="D34" s="159">
        <f t="shared" si="0"/>
        <v>2.4</v>
      </c>
      <c r="E34" s="135">
        <v>588</v>
      </c>
      <c r="F34" s="161">
        <f t="shared" si="1"/>
        <v>1.96</v>
      </c>
      <c r="M34" s="85"/>
    </row>
    <row r="35" spans="1:13" x14ac:dyDescent="0.3">
      <c r="A35" s="86"/>
      <c r="B35" s="132">
        <v>4000</v>
      </c>
      <c r="C35" s="135">
        <v>219</v>
      </c>
      <c r="D35" s="159">
        <f t="shared" si="0"/>
        <v>2.19</v>
      </c>
      <c r="E35" s="135">
        <v>546</v>
      </c>
      <c r="F35" s="161">
        <f t="shared" si="1"/>
        <v>1.82</v>
      </c>
      <c r="M35" s="85"/>
    </row>
    <row r="36" spans="1:13" x14ac:dyDescent="0.3">
      <c r="A36" s="86"/>
      <c r="B36" s="132">
        <v>4200</v>
      </c>
      <c r="C36" s="135">
        <v>176</v>
      </c>
      <c r="D36" s="159">
        <f t="shared" si="0"/>
        <v>1.76</v>
      </c>
      <c r="E36" s="135">
        <v>476</v>
      </c>
      <c r="F36" s="161">
        <f t="shared" si="1"/>
        <v>1.5866666666666667</v>
      </c>
      <c r="M36" s="85"/>
    </row>
    <row r="37" spans="1:13" x14ac:dyDescent="0.3">
      <c r="A37" s="86"/>
      <c r="B37" s="132">
        <v>4400</v>
      </c>
      <c r="C37" s="135">
        <v>155</v>
      </c>
      <c r="D37" s="159">
        <f t="shared" si="0"/>
        <v>1.55</v>
      </c>
      <c r="E37" s="135">
        <v>437</v>
      </c>
      <c r="F37" s="161">
        <f t="shared" si="1"/>
        <v>1.4566666666666668</v>
      </c>
      <c r="M37" s="85"/>
    </row>
    <row r="38" spans="1:13" x14ac:dyDescent="0.3">
      <c r="A38" s="86"/>
      <c r="B38" s="132">
        <v>4600</v>
      </c>
      <c r="C38" s="135">
        <v>150</v>
      </c>
      <c r="D38" s="159">
        <f t="shared" si="0"/>
        <v>1.5</v>
      </c>
      <c r="E38" s="135">
        <v>406</v>
      </c>
      <c r="F38" s="161">
        <f t="shared" si="1"/>
        <v>1.3533333333333333</v>
      </c>
      <c r="M38" s="85"/>
    </row>
    <row r="39" spans="1:13" x14ac:dyDescent="0.3">
      <c r="A39" s="86"/>
      <c r="B39" s="132">
        <v>4800</v>
      </c>
      <c r="C39" s="135">
        <v>144</v>
      </c>
      <c r="D39" s="159">
        <f t="shared" si="0"/>
        <v>1.44</v>
      </c>
      <c r="E39" s="135">
        <v>382</v>
      </c>
      <c r="F39" s="161">
        <f t="shared" si="1"/>
        <v>1.2733333333333334</v>
      </c>
      <c r="M39" s="85"/>
    </row>
    <row r="40" spans="1:13" x14ac:dyDescent="0.3">
      <c r="A40" s="86"/>
      <c r="B40" s="132">
        <v>5000</v>
      </c>
      <c r="C40" s="135">
        <v>110</v>
      </c>
      <c r="D40" s="159">
        <f t="shared" si="0"/>
        <v>1.1000000000000001</v>
      </c>
      <c r="E40" s="135">
        <v>308</v>
      </c>
      <c r="F40" s="161">
        <f t="shared" si="1"/>
        <v>1.0266666666666666</v>
      </c>
      <c r="M40" s="85"/>
    </row>
    <row r="41" spans="1:13" x14ac:dyDescent="0.3">
      <c r="A41" s="86"/>
      <c r="B41" s="132">
        <v>5200</v>
      </c>
      <c r="C41" s="135">
        <v>99</v>
      </c>
      <c r="D41" s="159">
        <f t="shared" si="0"/>
        <v>0.99</v>
      </c>
      <c r="E41" s="135">
        <v>282</v>
      </c>
      <c r="F41" s="161">
        <f t="shared" si="1"/>
        <v>0.94</v>
      </c>
      <c r="M41" s="85"/>
    </row>
    <row r="42" spans="1:13" x14ac:dyDescent="0.3">
      <c r="A42" s="86"/>
      <c r="B42" s="132">
        <v>5400</v>
      </c>
      <c r="C42" s="135">
        <v>91</v>
      </c>
      <c r="D42" s="159">
        <f t="shared" si="0"/>
        <v>0.91</v>
      </c>
      <c r="E42" s="135">
        <v>266</v>
      </c>
      <c r="F42" s="161">
        <f t="shared" si="1"/>
        <v>0.88666666666666671</v>
      </c>
      <c r="M42" s="85"/>
    </row>
    <row r="43" spans="1:13" x14ac:dyDescent="0.3">
      <c r="A43" s="86"/>
      <c r="B43" s="132">
        <v>5600</v>
      </c>
      <c r="C43" s="135">
        <v>85</v>
      </c>
      <c r="D43" s="159">
        <f t="shared" si="0"/>
        <v>0.85</v>
      </c>
      <c r="E43" s="135">
        <v>252</v>
      </c>
      <c r="F43" s="161">
        <f t="shared" si="1"/>
        <v>0.84</v>
      </c>
      <c r="M43" s="85"/>
    </row>
    <row r="44" spans="1:13" ht="14.5" thickBot="1" x14ac:dyDescent="0.35">
      <c r="A44" s="86"/>
      <c r="B44" s="117">
        <v>5800</v>
      </c>
      <c r="C44" s="137">
        <v>79</v>
      </c>
      <c r="D44" s="160">
        <f t="shared" si="0"/>
        <v>0.79</v>
      </c>
      <c r="E44" s="137">
        <v>231</v>
      </c>
      <c r="F44" s="162">
        <f t="shared" si="1"/>
        <v>0.77</v>
      </c>
      <c r="M44" s="85"/>
    </row>
    <row r="45" spans="1:13" ht="15" thickTop="1" thickBot="1" x14ac:dyDescent="0.35">
      <c r="A45" s="86"/>
      <c r="M45" s="85"/>
    </row>
    <row r="46" spans="1:13" ht="14.5" thickTop="1" x14ac:dyDescent="0.3">
      <c r="A46" s="86"/>
      <c r="B46" s="203" t="s">
        <v>184</v>
      </c>
      <c r="C46" s="204"/>
      <c r="D46" s="183" t="s">
        <v>179</v>
      </c>
      <c r="E46" s="183"/>
      <c r="F46" s="183"/>
      <c r="G46" s="183"/>
      <c r="H46" s="183" t="s">
        <v>177</v>
      </c>
      <c r="I46" s="183"/>
      <c r="J46" s="183"/>
      <c r="K46" s="183" t="s">
        <v>178</v>
      </c>
      <c r="L46" s="185"/>
      <c r="M46" s="85"/>
    </row>
    <row r="47" spans="1:13" x14ac:dyDescent="0.3">
      <c r="A47" s="86"/>
      <c r="B47" s="205"/>
      <c r="C47" s="206"/>
      <c r="D47" s="184" t="s">
        <v>176</v>
      </c>
      <c r="E47" s="184"/>
      <c r="F47" s="184"/>
      <c r="G47" s="184" t="s">
        <v>181</v>
      </c>
      <c r="H47" s="184" t="s">
        <v>187</v>
      </c>
      <c r="I47" s="184" t="s">
        <v>193</v>
      </c>
      <c r="J47" s="184" t="s">
        <v>190</v>
      </c>
      <c r="K47" s="184" t="s">
        <v>192</v>
      </c>
      <c r="L47" s="186" t="s">
        <v>191</v>
      </c>
      <c r="M47" s="85"/>
    </row>
    <row r="48" spans="1:13" ht="16" x14ac:dyDescent="0.3">
      <c r="A48" s="86"/>
      <c r="B48" s="205"/>
      <c r="C48" s="206"/>
      <c r="D48" s="91" t="s">
        <v>188</v>
      </c>
      <c r="E48" s="91" t="s">
        <v>189</v>
      </c>
      <c r="F48" s="91" t="s">
        <v>180</v>
      </c>
      <c r="G48" s="184"/>
      <c r="H48" s="184"/>
      <c r="I48" s="184"/>
      <c r="J48" s="184"/>
      <c r="K48" s="184"/>
      <c r="L48" s="186"/>
      <c r="M48" s="85"/>
    </row>
    <row r="49" spans="1:13" ht="19.5" customHeight="1" x14ac:dyDescent="0.3">
      <c r="A49" s="86"/>
      <c r="B49" s="202" t="s">
        <v>186</v>
      </c>
      <c r="C49" s="148">
        <f>D2+D3</f>
        <v>112.6</v>
      </c>
      <c r="D49" s="149" cm="1">
        <f t="array" ref="D49">INDEX(B5:B44,MATCH(SMALL(ABS(D5:D44-0.707*MAX(D5:D44)),1),ABS(D5:D44-0.707*MAX(D5:D44)),0),1)</f>
        <v>3000</v>
      </c>
      <c r="E49" s="149" cm="1">
        <f t="array" ref="E49">INDEX(B5:B44,MATCH(SMALL(ABS(D5:D44-0.707*MAX(D5:D44)),2),ABS(D5:D44-0.707*MAX(D5:D44)),0),1)</f>
        <v>3400</v>
      </c>
      <c r="F49" s="149">
        <f>ABS(E49-D49)</f>
        <v>400</v>
      </c>
      <c r="G49" s="159">
        <f>C49/(2*C2*0.001*3.14)</f>
        <v>358.59872611464959</v>
      </c>
      <c r="H49" s="149">
        <f>INDEX(B5:B44,MATCH(MAX(D5:D44),D5:D44,0),1)</f>
        <v>3175</v>
      </c>
      <c r="I49" s="159">
        <f>SQRT(D49*E49)</f>
        <v>3193.7438845342622</v>
      </c>
      <c r="J49" s="159">
        <f>1/(6.28*SQRT(0.001*C2*(E2/1000000)))</f>
        <v>3184.7133757961778</v>
      </c>
      <c r="K49" s="159">
        <f>I49/F49</f>
        <v>7.9843597113356557</v>
      </c>
      <c r="L49" s="161">
        <f>(1/C49)*SQRT(0.001*C2/(E2/1000000))</f>
        <v>8.8809946714031991</v>
      </c>
      <c r="M49" s="85"/>
    </row>
    <row r="50" spans="1:13" ht="32.5" customHeight="1" thickBot="1" x14ac:dyDescent="0.35">
      <c r="A50" s="86"/>
      <c r="B50" s="180"/>
      <c r="C50" s="150">
        <f>D2+F3</f>
        <v>312.60000000000002</v>
      </c>
      <c r="D50" s="151" cm="1">
        <f t="array" ref="D50">INDEX(B5:B44,MATCH(SMALL(ABS(F5:F44-0.707*MAX(F5:F44)),1),ABS(F5:F44-0.707*MAX(F5:F44)),0),1)</f>
        <v>3700</v>
      </c>
      <c r="E50" s="151" cm="1">
        <f t="array" ref="E50">INDEX(B5:B44,MATCH(SMALL(ABS(F5:F44-0.707*MAX(F5:F44)),2),ABS(F5:F44-0.707*MAX(F5:F44)),0),1)</f>
        <v>2700</v>
      </c>
      <c r="F50" s="151">
        <f>ABS(E50-D50)</f>
        <v>1000</v>
      </c>
      <c r="G50" s="160">
        <f>C50/(2*C2*0.001*3.14)</f>
        <v>995.5414012738853</v>
      </c>
      <c r="H50" s="151">
        <f>INDEX(B5:B44,MATCH(MAX(F5:F44),F5:F44,0),1)</f>
        <v>3200</v>
      </c>
      <c r="I50" s="160">
        <f>SQRT(D50*E50)</f>
        <v>3160.6961258558217</v>
      </c>
      <c r="J50" s="160">
        <f>1/(6.28*SQRT(0.001*C2*(E2/1000000)))</f>
        <v>3184.7133757961778</v>
      </c>
      <c r="K50" s="160">
        <f>I50/F50</f>
        <v>3.1606961258558219</v>
      </c>
      <c r="L50" s="162">
        <f>(1/C50)*SQRT(0.001*C2/(E2/1000000))</f>
        <v>3.1989763275751759</v>
      </c>
      <c r="M50" s="85"/>
    </row>
    <row r="51" spans="1:13" ht="15" thickTop="1" thickBot="1" x14ac:dyDescent="0.35">
      <c r="A51" s="107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87"/>
    </row>
  </sheetData>
  <mergeCells count="13">
    <mergeCell ref="B2:B4"/>
    <mergeCell ref="D46:G46"/>
    <mergeCell ref="D47:F47"/>
    <mergeCell ref="G47:G48"/>
    <mergeCell ref="H46:J46"/>
    <mergeCell ref="K46:L46"/>
    <mergeCell ref="B49:B50"/>
    <mergeCell ref="B46:C48"/>
    <mergeCell ref="H47:H48"/>
    <mergeCell ref="I47:I48"/>
    <mergeCell ref="J47:J48"/>
    <mergeCell ref="K47:K48"/>
    <mergeCell ref="L47:L4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使用方法介绍</vt:lpstr>
      <vt:lpstr>长度的测量</vt:lpstr>
      <vt:lpstr>单摆测重力加速度</vt:lpstr>
      <vt:lpstr>三线摆测物体的转动惯量</vt:lpstr>
      <vt:lpstr>光栅测定光波波长</vt:lpstr>
      <vt:lpstr>数字示波器的使用</vt:lpstr>
      <vt:lpstr>等厚干涉</vt:lpstr>
      <vt:lpstr>仿真</vt:lpstr>
      <vt:lpstr>光伏电池</vt:lpstr>
      <vt:lpstr>RLC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家铭 章</dc:creator>
  <cp:lastModifiedBy>家铭 章</cp:lastModifiedBy>
  <dcterms:created xsi:type="dcterms:W3CDTF">2024-10-20T15:46:55Z</dcterms:created>
  <dcterms:modified xsi:type="dcterms:W3CDTF">2024-11-27T03:46:25Z</dcterms:modified>
</cp:coreProperties>
</file>