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zk1357\Desktop\paper3 review of bank erosion\Reject comments\"/>
    </mc:Choice>
  </mc:AlternateContent>
  <xr:revisionPtr revIDLastSave="0" documentId="13_ncr:1_{34C51871-FB87-4218-8031-F3FE263175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b correlation" sheetId="1" r:id="rId1"/>
    <sheet name="Field correlation" sheetId="2" r:id="rId2"/>
    <sheet name="Comparison" sheetId="5" r:id="rId3"/>
    <sheet name="Spatial and temporal scal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B5" i="1" l="1"/>
  <c r="B6" i="1"/>
  <c r="B4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" i="1"/>
  <c r="Q35" i="1" l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4" i="1"/>
  <c r="D74" i="3" l="1"/>
  <c r="F74" i="3" s="1"/>
  <c r="D26" i="2"/>
  <c r="K26" i="2" l="1"/>
  <c r="K27" i="2"/>
  <c r="K28" i="2"/>
  <c r="K29" i="2"/>
  <c r="K33" i="2"/>
  <c r="K37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74" i="2"/>
  <c r="K84" i="2"/>
  <c r="K93" i="2"/>
  <c r="K101" i="2"/>
  <c r="K107" i="2"/>
  <c r="K115" i="2"/>
  <c r="K116" i="2"/>
  <c r="K117" i="2"/>
  <c r="K118" i="2"/>
  <c r="K119" i="2"/>
  <c r="K120" i="2"/>
  <c r="K17" i="2"/>
  <c r="K18" i="2"/>
  <c r="K19" i="2"/>
  <c r="K20" i="2"/>
  <c r="K21" i="2"/>
  <c r="K22" i="2"/>
  <c r="K23" i="2"/>
  <c r="K24" i="2"/>
  <c r="K16" i="2"/>
  <c r="K12" i="2"/>
  <c r="K13" i="2"/>
  <c r="K14" i="2"/>
  <c r="K11" i="2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3" i="3"/>
  <c r="E95" i="3"/>
  <c r="F95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6" i="3"/>
  <c r="F66" i="3" s="1"/>
  <c r="D65" i="3"/>
  <c r="F65" i="3" s="1"/>
  <c r="D64" i="3"/>
  <c r="F64" i="3" s="1"/>
  <c r="D63" i="3"/>
  <c r="F63" i="3" s="1"/>
  <c r="B56" i="3"/>
  <c r="B55" i="3"/>
  <c r="B54" i="3"/>
  <c r="B53" i="3"/>
  <c r="B52" i="3"/>
  <c r="B51" i="3"/>
  <c r="B50" i="3"/>
  <c r="B49" i="3"/>
  <c r="B48" i="3"/>
  <c r="B47" i="3"/>
  <c r="B46" i="3"/>
  <c r="D67" i="3" l="1"/>
  <c r="F67" i="3" s="1"/>
  <c r="L12" i="2"/>
  <c r="L13" i="2"/>
  <c r="L14" i="2"/>
  <c r="L33" i="2"/>
  <c r="L37" i="2"/>
  <c r="E37" i="2"/>
  <c r="F37" i="2"/>
  <c r="G37" i="2"/>
  <c r="H37" i="2"/>
  <c r="I37" i="2"/>
  <c r="J37" i="2"/>
  <c r="C37" i="2"/>
  <c r="E41" i="2"/>
  <c r="F41" i="2"/>
  <c r="G41" i="2"/>
  <c r="H41" i="2"/>
  <c r="I41" i="2"/>
  <c r="J41" i="2"/>
  <c r="C41" i="2"/>
  <c r="F33" i="2"/>
  <c r="G33" i="2"/>
  <c r="H33" i="2"/>
  <c r="I33" i="2"/>
  <c r="J33" i="2"/>
  <c r="C33" i="2"/>
  <c r="L16" i="2"/>
  <c r="L17" i="2"/>
  <c r="L18" i="2"/>
  <c r="L19" i="2"/>
  <c r="L20" i="2"/>
  <c r="L21" i="2"/>
  <c r="L22" i="2"/>
  <c r="L23" i="2"/>
  <c r="L24" i="2"/>
  <c r="L27" i="2"/>
  <c r="L42" i="2"/>
  <c r="L44" i="2"/>
  <c r="L56" i="2"/>
  <c r="L116" i="2"/>
  <c r="L117" i="2"/>
  <c r="L118" i="2"/>
  <c r="L119" i="2"/>
  <c r="L120" i="2"/>
  <c r="E120" i="2"/>
  <c r="C120" i="2"/>
  <c r="E117" i="2"/>
  <c r="E118" i="2"/>
  <c r="E119" i="2"/>
  <c r="E116" i="2"/>
  <c r="E75" i="2"/>
  <c r="E76" i="2"/>
  <c r="E77" i="2"/>
  <c r="E78" i="2"/>
  <c r="E79" i="2"/>
  <c r="E80" i="2"/>
  <c r="E81" i="2"/>
  <c r="E82" i="2"/>
  <c r="E83" i="2"/>
  <c r="E85" i="2"/>
  <c r="E93" i="2" s="1"/>
  <c r="L93" i="2" s="1"/>
  <c r="E86" i="2"/>
  <c r="E87" i="2"/>
  <c r="E88" i="2"/>
  <c r="E89" i="2"/>
  <c r="E90" i="2"/>
  <c r="E91" i="2"/>
  <c r="E92" i="2"/>
  <c r="E94" i="2"/>
  <c r="E95" i="2"/>
  <c r="E96" i="2"/>
  <c r="E97" i="2"/>
  <c r="E98" i="2"/>
  <c r="E99" i="2"/>
  <c r="E100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67" i="2"/>
  <c r="E68" i="2"/>
  <c r="E69" i="2"/>
  <c r="E70" i="2"/>
  <c r="E71" i="2"/>
  <c r="E72" i="2"/>
  <c r="E73" i="2"/>
  <c r="F66" i="2"/>
  <c r="F65" i="2"/>
  <c r="F64" i="2"/>
  <c r="F63" i="2"/>
  <c r="F62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D63" i="2"/>
  <c r="E63" i="2" s="1"/>
  <c r="L63" i="2" s="1"/>
  <c r="D64" i="2"/>
  <c r="E64" i="2" s="1"/>
  <c r="L64" i="2" s="1"/>
  <c r="D65" i="2"/>
  <c r="E65" i="2" s="1"/>
  <c r="L65" i="2" s="1"/>
  <c r="D66" i="2"/>
  <c r="E66" i="2" s="1"/>
  <c r="L66" i="2" s="1"/>
  <c r="D62" i="2"/>
  <c r="E62" i="2" s="1"/>
  <c r="L62" i="2" s="1"/>
  <c r="D58" i="2"/>
  <c r="E58" i="2" s="1"/>
  <c r="L58" i="2" s="1"/>
  <c r="D59" i="2"/>
  <c r="E59" i="2" s="1"/>
  <c r="L59" i="2" s="1"/>
  <c r="D60" i="2"/>
  <c r="E60" i="2" s="1"/>
  <c r="L60" i="2" s="1"/>
  <c r="D61" i="2"/>
  <c r="E61" i="2" s="1"/>
  <c r="L61" i="2" s="1"/>
  <c r="D57" i="2"/>
  <c r="E57" i="2" s="1"/>
  <c r="L57" i="2" s="1"/>
  <c r="D53" i="2"/>
  <c r="E53" i="2" s="1"/>
  <c r="L53" i="2" s="1"/>
  <c r="D54" i="2"/>
  <c r="E54" i="2" s="1"/>
  <c r="L54" i="2" s="1"/>
  <c r="D55" i="2"/>
  <c r="E55" i="2" s="1"/>
  <c r="L55" i="2" s="1"/>
  <c r="D56" i="2"/>
  <c r="E56" i="2" s="1"/>
  <c r="D52" i="2"/>
  <c r="E52" i="2" s="1"/>
  <c r="L52" i="2" s="1"/>
  <c r="D48" i="2"/>
  <c r="E48" i="2" s="1"/>
  <c r="L48" i="2" s="1"/>
  <c r="D49" i="2"/>
  <c r="E49" i="2" s="1"/>
  <c r="L49" i="2" s="1"/>
  <c r="D50" i="2"/>
  <c r="E50" i="2" s="1"/>
  <c r="L50" i="2" s="1"/>
  <c r="D51" i="2"/>
  <c r="E51" i="2" s="1"/>
  <c r="L51" i="2" s="1"/>
  <c r="D47" i="2"/>
  <c r="E47" i="2" s="1"/>
  <c r="L47" i="2" s="1"/>
  <c r="D43" i="2"/>
  <c r="E43" i="2" s="1"/>
  <c r="L43" i="2" s="1"/>
  <c r="D44" i="2"/>
  <c r="E44" i="2" s="1"/>
  <c r="D45" i="2"/>
  <c r="E45" i="2" s="1"/>
  <c r="L45" i="2" s="1"/>
  <c r="D46" i="2"/>
  <c r="E46" i="2" s="1"/>
  <c r="L46" i="2" s="1"/>
  <c r="D42" i="2"/>
  <c r="E42" i="2" s="1"/>
  <c r="E30" i="2"/>
  <c r="E33" i="2" s="1"/>
  <c r="E31" i="2"/>
  <c r="E32" i="2"/>
  <c r="E34" i="2"/>
  <c r="E35" i="2"/>
  <c r="E36" i="2"/>
  <c r="E38" i="2"/>
  <c r="E39" i="2"/>
  <c r="E40" i="2"/>
  <c r="E28" i="2"/>
  <c r="L28" i="2" s="1"/>
  <c r="E29" i="2"/>
  <c r="L29" i="2" s="1"/>
  <c r="D27" i="2"/>
  <c r="E27" i="2" s="1"/>
  <c r="E26" i="2"/>
  <c r="L26" i="2" s="1"/>
  <c r="E25" i="2"/>
  <c r="F25" i="2"/>
  <c r="G25" i="2"/>
  <c r="H25" i="2"/>
  <c r="I25" i="2"/>
  <c r="J25" i="2"/>
  <c r="D25" i="2"/>
  <c r="F15" i="2"/>
  <c r="G15" i="2"/>
  <c r="H15" i="2"/>
  <c r="I15" i="2"/>
  <c r="J15" i="2"/>
  <c r="C15" i="2"/>
  <c r="D13" i="2"/>
  <c r="E13" i="2" s="1"/>
  <c r="D14" i="2"/>
  <c r="E14" i="2" s="1"/>
  <c r="D12" i="2"/>
  <c r="F11" i="2"/>
  <c r="G11" i="2"/>
  <c r="H11" i="2"/>
  <c r="I11" i="2"/>
  <c r="J11" i="2"/>
  <c r="C11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3" i="2"/>
  <c r="E3" i="2" s="1"/>
  <c r="E115" i="2" l="1"/>
  <c r="L115" i="2" s="1"/>
  <c r="E84" i="2"/>
  <c r="L84" i="2" s="1"/>
  <c r="E74" i="2"/>
  <c r="L74" i="2" s="1"/>
  <c r="E107" i="2"/>
  <c r="L107" i="2" s="1"/>
  <c r="E101" i="2"/>
  <c r="L101" i="2" s="1"/>
  <c r="D15" i="2"/>
  <c r="E11" i="2"/>
  <c r="L11" i="2" s="1"/>
  <c r="E12" i="2"/>
  <c r="L41" i="2"/>
  <c r="E15" i="2"/>
  <c r="D11" i="2"/>
  <c r="Q4" i="1" l="1"/>
  <c r="Q5" i="1"/>
  <c r="Q6" i="1"/>
  <c r="Q15" i="1"/>
  <c r="Q21" i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D23" i="1"/>
  <c r="D24" i="1"/>
  <c r="D25" i="1"/>
  <c r="D26" i="1"/>
  <c r="D27" i="1"/>
  <c r="D28" i="1"/>
  <c r="D29" i="1"/>
  <c r="D30" i="1"/>
  <c r="D31" i="1"/>
  <c r="D32" i="1"/>
  <c r="D33" i="1"/>
  <c r="D22" i="1"/>
  <c r="B33" i="1"/>
  <c r="B32" i="1"/>
  <c r="B31" i="1"/>
  <c r="B30" i="1"/>
  <c r="B29" i="1"/>
  <c r="B28" i="1"/>
  <c r="B27" i="1"/>
  <c r="N27" i="1" s="1"/>
  <c r="Q27" i="1" s="1"/>
  <c r="B26" i="1"/>
  <c r="N26" i="1" s="1"/>
  <c r="Q26" i="1" s="1"/>
  <c r="B25" i="1"/>
  <c r="N25" i="1" s="1"/>
  <c r="Q25" i="1" s="1"/>
  <c r="B24" i="1"/>
  <c r="N24" i="1" s="1"/>
  <c r="Q24" i="1" s="1"/>
  <c r="B23" i="1"/>
  <c r="N23" i="1" s="1"/>
  <c r="Q23" i="1" s="1"/>
  <c r="B22" i="1"/>
  <c r="N22" i="1" s="1"/>
  <c r="Q22" i="1" s="1"/>
  <c r="N18" i="1"/>
  <c r="Q18" i="1" s="1"/>
  <c r="N19" i="1"/>
  <c r="Q19" i="1" s="1"/>
  <c r="N20" i="1"/>
  <c r="Q20" i="1" s="1"/>
  <c r="N21" i="1"/>
  <c r="B17" i="1"/>
  <c r="N17" i="1" s="1"/>
  <c r="Q17" i="1" s="1"/>
  <c r="B16" i="1"/>
  <c r="N16" i="1" s="1"/>
  <c r="Q16" i="1" s="1"/>
  <c r="B15" i="1"/>
  <c r="N15" i="1" s="1"/>
  <c r="N10" i="1"/>
  <c r="Q10" i="1" s="1"/>
  <c r="N11" i="1"/>
  <c r="Q11" i="1" s="1"/>
  <c r="N12" i="1"/>
  <c r="Q12" i="1" s="1"/>
  <c r="N13" i="1"/>
  <c r="Q13" i="1" s="1"/>
  <c r="N14" i="1"/>
  <c r="F10" i="1"/>
  <c r="F11" i="1"/>
  <c r="F12" i="1"/>
  <c r="F13" i="1"/>
  <c r="F14" i="1"/>
  <c r="Q14" i="1" s="1"/>
  <c r="N8" i="1"/>
  <c r="Q8" i="1" s="1"/>
  <c r="N9" i="1"/>
  <c r="Q9" i="1" s="1"/>
  <c r="N7" i="1"/>
  <c r="Q7" i="1" s="1"/>
  <c r="F8" i="1"/>
  <c r="F9" i="1"/>
  <c r="F7" i="1"/>
  <c r="F3" i="1"/>
  <c r="B3" i="1"/>
  <c r="N3" i="1" s="1"/>
  <c r="Q3" i="1" l="1"/>
</calcChain>
</file>

<file path=xl/sharedStrings.xml><?xml version="1.0" encoding="utf-8"?>
<sst xmlns="http://schemas.openxmlformats.org/spreadsheetml/2006/main" count="169" uniqueCount="104">
  <si>
    <t>widening rate</t>
    <phoneticPr fontId="2" type="noConversion"/>
  </si>
  <si>
    <t>bank height</t>
    <phoneticPr fontId="2" type="noConversion"/>
  </si>
  <si>
    <t>water depth</t>
    <phoneticPr fontId="2" type="noConversion"/>
  </si>
  <si>
    <t>initial channel width</t>
    <phoneticPr fontId="2" type="noConversion"/>
  </si>
  <si>
    <t>flow velocity</t>
    <phoneticPr fontId="2" type="noConversion"/>
  </si>
  <si>
    <t>flow discharge</t>
    <phoneticPr fontId="2" type="noConversion"/>
  </si>
  <si>
    <t>soil density</t>
    <phoneticPr fontId="2" type="noConversion"/>
  </si>
  <si>
    <t>cohesion</t>
    <phoneticPr fontId="2" type="noConversion"/>
  </si>
  <si>
    <t>Internal friction angle</t>
    <phoneticPr fontId="2" type="noConversion"/>
  </si>
  <si>
    <t>widening divided by initial channel width</t>
  </si>
  <si>
    <t>crack width</t>
    <phoneticPr fontId="2" type="noConversion"/>
  </si>
  <si>
    <t>Reference</t>
    <phoneticPr fontId="2" type="noConversion"/>
  </si>
  <si>
    <t>Braudrick et al. (2009)</t>
    <phoneticPr fontId="2" type="noConversion"/>
  </si>
  <si>
    <t>(m/s)</t>
  </si>
  <si>
    <t>(m/s)</t>
    <phoneticPr fontId="2" type="noConversion"/>
  </si>
  <si>
    <t>(m)</t>
    <phoneticPr fontId="2" type="noConversion"/>
  </si>
  <si>
    <r>
      <t>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/s)</t>
    </r>
    <phoneticPr fontId="2" type="noConversion"/>
  </si>
  <si>
    <r>
      <t>(g/cm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phoneticPr fontId="2" type="noConversion"/>
  </si>
  <si>
    <t>(mm)</t>
    <phoneticPr fontId="2" type="noConversion"/>
  </si>
  <si>
    <t>(kPa)</t>
    <phoneticPr fontId="2" type="noConversion"/>
  </si>
  <si>
    <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)</t>
    </r>
    <phoneticPr fontId="2" type="noConversion"/>
  </si>
  <si>
    <t>Wells et al. (2013)</t>
    <phoneticPr fontId="2" type="noConversion"/>
  </si>
  <si>
    <t>van Dijk et al. (2012)</t>
    <phoneticPr fontId="2" type="noConversion"/>
  </si>
  <si>
    <t>Patsinghasanee et al. (2017)</t>
    <phoneticPr fontId="2" type="noConversion"/>
  </si>
  <si>
    <t>Water content</t>
    <phoneticPr fontId="2" type="noConversion"/>
  </si>
  <si>
    <t>(%)</t>
    <phoneticPr fontId="2" type="noConversion"/>
  </si>
  <si>
    <t>0.23/0.028</t>
  </si>
  <si>
    <t>0.23/0.028</t>
    <phoneticPr fontId="2" type="noConversion"/>
  </si>
  <si>
    <t>Qin et al. (2018)</t>
    <phoneticPr fontId="2" type="noConversion"/>
  </si>
  <si>
    <t>Shu et al. (2019)</t>
    <phoneticPr fontId="2" type="noConversion"/>
  </si>
  <si>
    <t>Vargas Luna et al. (2019)</t>
    <phoneticPr fontId="2" type="noConversion"/>
  </si>
  <si>
    <t>Zhao et al. (2020)</t>
    <phoneticPr fontId="2" type="noConversion"/>
  </si>
  <si>
    <r>
      <t>D</t>
    </r>
    <r>
      <rPr>
        <i/>
        <vertAlign val="subscript"/>
        <sz val="12"/>
        <color theme="1"/>
        <rFont val="Times New Roman"/>
        <family val="1"/>
      </rPr>
      <t>50</t>
    </r>
    <phoneticPr fontId="2" type="noConversion"/>
  </si>
  <si>
    <t>r</t>
    <phoneticPr fontId="2" type="noConversion"/>
  </si>
  <si>
    <t>(-)</t>
    <phoneticPr fontId="2" type="noConversion"/>
  </si>
  <si>
    <r>
      <t>(s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</si>
  <si>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t>Murgatroyd (1983)</t>
  </si>
  <si>
    <t>Murgatroyd (1983)</t>
    <phoneticPr fontId="2" type="noConversion"/>
  </si>
  <si>
    <t>Retreat distance</t>
    <phoneticPr fontId="2" type="noConversion"/>
  </si>
  <si>
    <t>Period</t>
    <phoneticPr fontId="2" type="noConversion"/>
  </si>
  <si>
    <t>(year)</t>
    <phoneticPr fontId="2" type="noConversion"/>
  </si>
  <si>
    <t>Retreat rate</t>
    <phoneticPr fontId="2" type="noConversion"/>
  </si>
  <si>
    <t>Annual mean discharge</t>
    <phoneticPr fontId="2" type="noConversion"/>
  </si>
  <si>
    <t>Bank height</t>
    <phoneticPr fontId="2" type="noConversion"/>
  </si>
  <si>
    <t>Channel width</t>
    <phoneticPr fontId="2" type="noConversion"/>
  </si>
  <si>
    <t>Slope</t>
    <phoneticPr fontId="2" type="noConversion"/>
  </si>
  <si>
    <t>Average</t>
    <phoneticPr fontId="2" type="noConversion"/>
  </si>
  <si>
    <t>Gardiner (1983)</t>
  </si>
  <si>
    <t>Pizzuto et al. (1989)</t>
  </si>
  <si>
    <t>Casagli et al. (1999)</t>
    <phoneticPr fontId="2" type="noConversion"/>
  </si>
  <si>
    <t>Casagli et al. (1999)</t>
  </si>
  <si>
    <t>Simon et al. (2000)</t>
    <phoneticPr fontId="2" type="noConversion"/>
  </si>
  <si>
    <t>De Rose et al. (2011)</t>
  </si>
  <si>
    <t>Kiss et al. (2013)</t>
  </si>
  <si>
    <t>Duan et al. (2018)</t>
  </si>
  <si>
    <t>Reach A up</t>
  </si>
  <si>
    <t>Duro et al. (2019)</t>
  </si>
  <si>
    <t>Reach A down 1</t>
  </si>
  <si>
    <t>Reach A down 2</t>
  </si>
  <si>
    <t>Reach B up 1</t>
  </si>
  <si>
    <t>Reach B up 2</t>
  </si>
  <si>
    <t>Reach B down</t>
  </si>
  <si>
    <t>Deng et al. (2019)</t>
  </si>
  <si>
    <t>Zhang et al. (2019)</t>
  </si>
  <si>
    <r>
      <rPr>
        <i/>
        <sz val="12"/>
        <color theme="1"/>
        <rFont val="Times New Roman"/>
        <family val="1"/>
      </rPr>
      <t>Q*S*D</t>
    </r>
    <r>
      <rPr>
        <i/>
        <vertAlign val="subscript"/>
        <sz val="12"/>
        <color theme="1"/>
        <rFont val="Times New Roman"/>
        <family val="1"/>
      </rPr>
      <t>50</t>
    </r>
    <r>
      <rPr>
        <sz val="12"/>
        <color theme="1"/>
        <rFont val="Times New Roman"/>
        <family val="1"/>
      </rPr>
      <t>/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b</t>
    </r>
    <phoneticPr fontId="2" type="noConversion"/>
  </si>
  <si>
    <t>Deng et al. (2019)</t>
    <phoneticPr fontId="2" type="noConversion"/>
  </si>
  <si>
    <t>Nanson et al. (1986)</t>
    <phoneticPr fontId="2" type="noConversion"/>
  </si>
  <si>
    <t>Hughes (1977)</t>
    <phoneticPr fontId="2" type="noConversion"/>
  </si>
  <si>
    <t>Mosley (1975)</t>
    <phoneticPr fontId="2" type="noConversion"/>
  </si>
  <si>
    <t>Sundborg (1956)</t>
    <phoneticPr fontId="2" type="noConversion"/>
  </si>
  <si>
    <t>Simon et al 2000</t>
    <phoneticPr fontId="2" type="noConversion"/>
  </si>
  <si>
    <t>Midgley et al. 2012</t>
  </si>
  <si>
    <r>
      <t xml:space="preserve">Hooke (1979,1980) </t>
    </r>
    <r>
      <rPr>
        <vertAlign val="superscript"/>
        <sz val="12"/>
        <color theme="1"/>
        <rFont val="Times New Roman"/>
        <family val="1"/>
      </rPr>
      <t>a</t>
    </r>
    <phoneticPr fontId="2" type="noConversion"/>
  </si>
  <si>
    <t>E/Q</t>
    <phoneticPr fontId="2" type="noConversion"/>
  </si>
  <si>
    <r>
      <t>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2" type="noConversion"/>
  </si>
  <si>
    <t>Stecca et al. (2017)</t>
    <phoneticPr fontId="2" type="noConversion"/>
  </si>
  <si>
    <t>No.</t>
    <phoneticPr fontId="2" type="noConversion"/>
  </si>
  <si>
    <t>River Lagan (Ireland)</t>
  </si>
  <si>
    <t>Narrator brook (UK)</t>
    <phoneticPr fontId="2" type="noConversion"/>
  </si>
  <si>
    <t>Brandywine Creek (USA)</t>
  </si>
  <si>
    <t>Goodwin Creek (USA)</t>
  </si>
  <si>
    <t xml:space="preserve">Waipaoa River (NZ): Gorge </t>
    <phoneticPr fontId="2" type="noConversion"/>
  </si>
  <si>
    <t>Waipaoa River (NZ):Lower</t>
    <phoneticPr fontId="2" type="noConversion"/>
  </si>
  <si>
    <t>Hernad A</t>
  </si>
  <si>
    <t>Hernad B</t>
    <phoneticPr fontId="2" type="noConversion"/>
  </si>
  <si>
    <t>Hernad C</t>
    <phoneticPr fontId="2" type="noConversion"/>
  </si>
  <si>
    <t>Yangtze River (China)</t>
    <phoneticPr fontId="2" type="noConversion"/>
  </si>
  <si>
    <t>Yellow (China)</t>
    <phoneticPr fontId="2" type="noConversion"/>
  </si>
  <si>
    <t xml:space="preserve">Meuse River </t>
    <phoneticPr fontId="2" type="noConversion"/>
  </si>
  <si>
    <t>Fox et al. [2006]</t>
  </si>
  <si>
    <t>Chu-Agor et al. [2008]</t>
  </si>
  <si>
    <t>Lindow et al. [2009]</t>
  </si>
  <si>
    <t>Karmaker and Dutta [2013]</t>
  </si>
  <si>
    <t>seepage gradient</t>
    <phoneticPr fontId="2" type="noConversion"/>
  </si>
  <si>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/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w</t>
    </r>
    <phoneticPr fontId="2" type="noConversion"/>
  </si>
  <si>
    <t>observed retreat rate</t>
    <phoneticPr fontId="2" type="noConversion"/>
  </si>
  <si>
    <t>Retreat rate calculated by bank height</t>
    <phoneticPr fontId="2" type="noConversion"/>
  </si>
  <si>
    <t>Retreat rate calculated by seepage gradient</t>
    <phoneticPr fontId="2" type="noConversion"/>
  </si>
  <si>
    <t>Retreat rate calculated by flow velocity</t>
    <phoneticPr fontId="2" type="noConversion"/>
  </si>
  <si>
    <t>Retreat rate calculated by discharge</t>
    <phoneticPr fontId="2" type="noConversion"/>
  </si>
  <si>
    <t>Retreat rate calculated by shear stress</t>
    <phoneticPr fontId="2" type="noConversion"/>
  </si>
  <si>
    <t>E/B</t>
  </si>
  <si>
    <t>Retreat rate calculated by proposed function (Lab)</t>
    <phoneticPr fontId="2" type="noConversion"/>
  </si>
  <si>
    <t>Retreat rate calculated by proposed function (Field)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</si>
</sst>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3963254593173"/>
                  <c:y val="-0.11043452901720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'Lab correlation'!$P$3:$P$21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2.5</c:v>
                </c:pt>
                <c:pt idx="11">
                  <c:v>2.5</c:v>
                </c:pt>
                <c:pt idx="12">
                  <c:v>1.8199999999999998</c:v>
                </c:pt>
                <c:pt idx="13">
                  <c:v>1.54</c:v>
                </c:pt>
                <c:pt idx="14">
                  <c:v>1.3599999999999999</c:v>
                </c:pt>
                <c:pt idx="15">
                  <c:v>2</c:v>
                </c:pt>
                <c:pt idx="16">
                  <c:v>4</c:v>
                </c:pt>
                <c:pt idx="17">
                  <c:v>2.67</c:v>
                </c:pt>
                <c:pt idx="18">
                  <c:v>1.33</c:v>
                </c:pt>
              </c:numCache>
            </c:numRef>
          </c:xVal>
          <c:yVal>
            <c:numRef>
              <c:f>'Lab correlation'!$Q$3:$Q$21</c:f>
              <c:numCache>
                <c:formatCode>General</c:formatCode>
                <c:ptCount val="19"/>
                <c:pt idx="0">
                  <c:v>4.9999999999999998E-7</c:v>
                </c:pt>
                <c:pt idx="1">
                  <c:v>2.7999999999999999E-6</c:v>
                </c:pt>
                <c:pt idx="2">
                  <c:v>3.4999999999999999E-6</c:v>
                </c:pt>
                <c:pt idx="3">
                  <c:v>4.0999999999999997E-6</c:v>
                </c:pt>
                <c:pt idx="4">
                  <c:v>6.3999999999999997E-5</c:v>
                </c:pt>
                <c:pt idx="5">
                  <c:v>5.9700000000000001E-5</c:v>
                </c:pt>
                <c:pt idx="6">
                  <c:v>7.4099999999999999E-5</c:v>
                </c:pt>
                <c:pt idx="7">
                  <c:v>1.048E-4</c:v>
                </c:pt>
                <c:pt idx="8">
                  <c:v>1.4119999999999999E-4</c:v>
                </c:pt>
                <c:pt idx="9">
                  <c:v>5.2899999999999998E-5</c:v>
                </c:pt>
                <c:pt idx="10">
                  <c:v>6.4900000000000005E-5</c:v>
                </c:pt>
                <c:pt idx="11">
                  <c:v>4.7299999999999998E-5</c:v>
                </c:pt>
                <c:pt idx="12">
                  <c:v>5.4E-6</c:v>
                </c:pt>
                <c:pt idx="13">
                  <c:v>4.5000000000000001E-6</c:v>
                </c:pt>
                <c:pt idx="14">
                  <c:v>3.5999999999999998E-6</c:v>
                </c:pt>
                <c:pt idx="15">
                  <c:v>2.72E-5</c:v>
                </c:pt>
                <c:pt idx="16">
                  <c:v>6.1099999999999994E-5</c:v>
                </c:pt>
                <c:pt idx="17">
                  <c:v>1.2E-5</c:v>
                </c:pt>
                <c:pt idx="18">
                  <c:v>3.7000000000000002E-6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E-4BB1-8BDC-9BAF7E67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50576"/>
        <c:axId val="530746968"/>
      </c:scatterChart>
      <c:valAx>
        <c:axId val="530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46968"/>
        <c:crosses val="autoZero"/>
        <c:crossBetween val="midCat"/>
      </c:valAx>
      <c:valAx>
        <c:axId val="5307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86964129483814E-2"/>
                  <c:y val="-6.786198600174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Comparison!$K$3:$K$21</c:f>
              <c:numCache>
                <c:formatCode>0.00E+00</c:formatCode>
                <c:ptCount val="19"/>
                <c:pt idx="0">
                  <c:v>4.4026039493051301E-5</c:v>
                </c:pt>
                <c:pt idx="1">
                  <c:v>4.6735905325443802E-5</c:v>
                </c:pt>
                <c:pt idx="2">
                  <c:v>4.6735905325443802E-5</c:v>
                </c:pt>
                <c:pt idx="3">
                  <c:v>4.6735905325443802E-5</c:v>
                </c:pt>
                <c:pt idx="4">
                  <c:v>4.8698224852070997E-5</c:v>
                </c:pt>
                <c:pt idx="5" formatCode="General">
                  <c:v>1.02474130177515E-4</c:v>
                </c:pt>
                <c:pt idx="6" formatCode="General">
                  <c:v>2.0232975147928999E-4</c:v>
                </c:pt>
                <c:pt idx="7">
                  <c:v>7.9586587771203203E-5</c:v>
                </c:pt>
                <c:pt idx="8">
                  <c:v>7.9586587771203203E-5</c:v>
                </c:pt>
                <c:pt idx="9">
                  <c:v>7.9586587771203203E-5</c:v>
                </c:pt>
                <c:pt idx="10">
                  <c:v>9.7799167214551901E-5</c:v>
                </c:pt>
                <c:pt idx="11" formatCode="General">
                  <c:v>1.10376156037695E-4</c:v>
                </c:pt>
                <c:pt idx="12">
                  <c:v>9.8800000000000003E-5</c:v>
                </c:pt>
                <c:pt idx="13" formatCode="General">
                  <c:v>1.22514840236686E-4</c:v>
                </c:pt>
                <c:pt idx="14">
                  <c:v>5.7048520710059198E-5</c:v>
                </c:pt>
                <c:pt idx="15">
                  <c:v>5.7048520710059198E-5</c:v>
                </c:pt>
                <c:pt idx="16">
                  <c:v>5.7048520710059198E-5</c:v>
                </c:pt>
                <c:pt idx="17">
                  <c:v>5.7048520710059198E-5</c:v>
                </c:pt>
                <c:pt idx="18">
                  <c:v>5.7048520710059198E-5</c:v>
                </c:pt>
              </c:numCache>
            </c:numRef>
          </c:xVal>
          <c:yVal>
            <c:numRef>
              <c:f>Comparison!$L$3:$L$21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4D4A-9E71-19F15781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20328"/>
        <c:axId val="699219016"/>
      </c:scatterChart>
      <c:valAx>
        <c:axId val="69922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19016"/>
        <c:crosses val="autoZero"/>
        <c:crossBetween val="midCat"/>
      </c:valAx>
      <c:valAx>
        <c:axId val="6992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2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Comparison!$N$1:$N$2</c:f>
              <c:strCache>
                <c:ptCount val="2"/>
                <c:pt idx="0">
                  <c:v>observed retreat rate</c:v>
                </c:pt>
                <c:pt idx="1">
                  <c:v>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36570428696414E-2"/>
                  <c:y val="-0.15445720326625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Comparison!$M$3:$M$120</c:f>
              <c:numCache>
                <c:formatCode>General</c:formatCode>
                <c:ptCount val="118"/>
                <c:pt idx="8" formatCode="0.00E+00">
                  <c:v>2.5338300000000001E-8</c:v>
                </c:pt>
                <c:pt idx="9" formatCode="0.00E+00">
                  <c:v>2.1146400000000001E-8</c:v>
                </c:pt>
                <c:pt idx="10" formatCode="0.00E+00">
                  <c:v>2.1085680000000002E-8</c:v>
                </c:pt>
                <c:pt idx="11" formatCode="0.00E+00">
                  <c:v>2.3293080000000001E-8</c:v>
                </c:pt>
                <c:pt idx="13" formatCode="0.00E+00">
                  <c:v>7.9200000000000008E-9</c:v>
                </c:pt>
                <c:pt idx="14" formatCode="0.00E+00">
                  <c:v>8.4323076923076896E-9</c:v>
                </c:pt>
                <c:pt idx="15" formatCode="0.00E+00">
                  <c:v>7.6903448275862108E-9</c:v>
                </c:pt>
                <c:pt idx="16" formatCode="0.00E+00">
                  <c:v>8.1666666666666703E-9</c:v>
                </c:pt>
                <c:pt idx="17" formatCode="0.00E+00">
                  <c:v>8.1666666666666703E-9</c:v>
                </c:pt>
                <c:pt idx="18" formatCode="0.00E+00">
                  <c:v>8.4323076923076896E-9</c:v>
                </c:pt>
                <c:pt idx="19" formatCode="0.00E+00">
                  <c:v>8.4323076923076896E-9</c:v>
                </c:pt>
                <c:pt idx="20" formatCode="0.00E+00">
                  <c:v>8.1666666666666703E-9</c:v>
                </c:pt>
                <c:pt idx="21" formatCode="0.00E+00">
                  <c:v>9.0300000000000005E-9</c:v>
                </c:pt>
                <c:pt idx="23" formatCode="0.00E+00">
                  <c:v>1.82784E-7</c:v>
                </c:pt>
                <c:pt idx="24" formatCode="0.00E+00">
                  <c:v>5.3352E-8</c:v>
                </c:pt>
                <c:pt idx="25" formatCode="0.00E+00">
                  <c:v>6.9675882352941202E-8</c:v>
                </c:pt>
                <c:pt idx="26" formatCode="0.00E+00">
                  <c:v>1.64503450171821E-7</c:v>
                </c:pt>
                <c:pt idx="30" formatCode="0.00E+00">
                  <c:v>3.4774800000000001E-8</c:v>
                </c:pt>
                <c:pt idx="34" formatCode="0.00E+00">
                  <c:v>1.117272E-8</c:v>
                </c:pt>
                <c:pt idx="38" formatCode="0.00E+00">
                  <c:v>4.172976E-8</c:v>
                </c:pt>
                <c:pt idx="39" formatCode="0.00E+00">
                  <c:v>1.19977348584554E-6</c:v>
                </c:pt>
                <c:pt idx="40" formatCode="0.00E+00">
                  <c:v>1.15191490145543E-6</c:v>
                </c:pt>
                <c:pt idx="41" formatCode="0.00E+00">
                  <c:v>9.6412197792470206E-7</c:v>
                </c:pt>
                <c:pt idx="42" formatCode="0.00E+00">
                  <c:v>1.4995934409953001E-6</c:v>
                </c:pt>
                <c:pt idx="43" formatCode="0.00E+00">
                  <c:v>1.2939950738635499E-6</c:v>
                </c:pt>
                <c:pt idx="44" formatCode="0.00E+00">
                  <c:v>1.2378622015364601E-6</c:v>
                </c:pt>
                <c:pt idx="45" formatCode="0.00E+00">
                  <c:v>1.1884081454393801E-6</c:v>
                </c:pt>
                <c:pt idx="46" formatCode="0.00E+00">
                  <c:v>9.9435472966713009E-7</c:v>
                </c:pt>
                <c:pt idx="47" formatCode="0.00E+00">
                  <c:v>1.5476773176740701E-6</c:v>
                </c:pt>
                <c:pt idx="48" formatCode="0.00E+00">
                  <c:v>1.33522487447759E-6</c:v>
                </c:pt>
                <c:pt idx="49" formatCode="0.00E+00">
                  <c:v>1.67949540879853E-6</c:v>
                </c:pt>
                <c:pt idx="50" formatCode="0.00E+00">
                  <c:v>1.6121456698276001E-6</c:v>
                </c:pt>
                <c:pt idx="51" formatCode="0.00E+00">
                  <c:v>1.34787115060475E-6</c:v>
                </c:pt>
                <c:pt idx="52" formatCode="0.00E+00">
                  <c:v>2.1014217147045998E-6</c:v>
                </c:pt>
                <c:pt idx="53" formatCode="0.00E+00">
                  <c:v>1.8120902073975301E-6</c:v>
                </c:pt>
                <c:pt idx="54" formatCode="0.00E+00">
                  <c:v>1.9965354584877698E-6</c:v>
                </c:pt>
                <c:pt idx="55" formatCode="0.00E+00">
                  <c:v>1.9163656824279001E-6</c:v>
                </c:pt>
                <c:pt idx="56" formatCode="0.00E+00">
                  <c:v>1.60178645245385E-6</c:v>
                </c:pt>
                <c:pt idx="57" formatCode="0.00E+00">
                  <c:v>2.49877552615694E-6</c:v>
                </c:pt>
                <c:pt idx="58" formatCode="0.00E+00">
                  <c:v>2.1543697051056299E-6</c:v>
                </c:pt>
                <c:pt idx="59" formatCode="0.00E+00">
                  <c:v>1.4206693654445701E-6</c:v>
                </c:pt>
                <c:pt idx="60" formatCode="0.00E+00">
                  <c:v>1.3638397700645799E-6</c:v>
                </c:pt>
                <c:pt idx="61" formatCode="0.00E+00">
                  <c:v>1.14084537949742E-6</c:v>
                </c:pt>
                <c:pt idx="62" formatCode="0.00E+00">
                  <c:v>1.77669006591337E-6</c:v>
                </c:pt>
                <c:pt idx="63" formatCode="0.00E+00">
                  <c:v>1.5325526313489401E-6</c:v>
                </c:pt>
                <c:pt idx="71" formatCode="0.00E+00">
                  <c:v>1.7387027027027001E-7</c:v>
                </c:pt>
                <c:pt idx="81" formatCode="0.00E+00">
                  <c:v>1.7387027027027001E-7</c:v>
                </c:pt>
                <c:pt idx="90" formatCode="0.00E+00">
                  <c:v>1.7387027027027001E-7</c:v>
                </c:pt>
                <c:pt idx="98" formatCode="0.00E+00">
                  <c:v>1.7387027027027001E-7</c:v>
                </c:pt>
                <c:pt idx="104" formatCode="0.00E+00">
                  <c:v>1.7387027027027001E-7</c:v>
                </c:pt>
                <c:pt idx="112" formatCode="0.00E+00">
                  <c:v>1.7387027027027001E-7</c:v>
                </c:pt>
                <c:pt idx="113" formatCode="0.00E+00">
                  <c:v>7.6309526400000002E-7</c:v>
                </c:pt>
                <c:pt idx="114" formatCode="0.00E+00">
                  <c:v>9.5475838399999997E-7</c:v>
                </c:pt>
                <c:pt idx="115" formatCode="0.00E+00">
                  <c:v>9.4943543680000004E-7</c:v>
                </c:pt>
                <c:pt idx="116" formatCode="0.00E+00">
                  <c:v>8.6602918400000004E-7</c:v>
                </c:pt>
                <c:pt idx="117" formatCode="0.00E+00">
                  <c:v>1.0375E-6</c:v>
                </c:pt>
              </c:numCache>
            </c:numRef>
          </c:xVal>
          <c:yVal>
            <c:numRef>
              <c:f>Comparison!$N$3:$N$120</c:f>
              <c:numCache>
                <c:formatCode>General</c:formatCode>
                <c:ptCount val="118"/>
                <c:pt idx="8" formatCode="0.00E+00">
                  <c:v>2.37823439878234E-8</c:v>
                </c:pt>
                <c:pt idx="9" formatCode="0.00E+00">
                  <c:v>3.30778430093499E-9</c:v>
                </c:pt>
                <c:pt idx="10" formatCode="0.00E+00">
                  <c:v>2.9544466188301802E-9</c:v>
                </c:pt>
                <c:pt idx="11" formatCode="0.00E+00">
                  <c:v>2.1743857360295699E-9</c:v>
                </c:pt>
                <c:pt idx="13" formatCode="0.00E+00">
                  <c:v>8.9999999999999999E-10</c:v>
                </c:pt>
                <c:pt idx="14" formatCode="0.00E+00">
                  <c:v>1.8E-9</c:v>
                </c:pt>
                <c:pt idx="15" formatCode="0.00E+00">
                  <c:v>9.1000000000000004E-9</c:v>
                </c:pt>
                <c:pt idx="16" formatCode="0.00E+00">
                  <c:v>1.7199999999999999E-8</c:v>
                </c:pt>
                <c:pt idx="17" formatCode="0.00E+00">
                  <c:v>7.6000000000000002E-9</c:v>
                </c:pt>
                <c:pt idx="18" formatCode="0.00E+00">
                  <c:v>7.6999999999999995E-9</c:v>
                </c:pt>
                <c:pt idx="19" formatCode="0.00E+00">
                  <c:v>5.7999999999999998E-9</c:v>
                </c:pt>
                <c:pt idx="20" formatCode="0.00E+00">
                  <c:v>7.4000000000000001E-9</c:v>
                </c:pt>
                <c:pt idx="21" formatCode="0.00E+00">
                  <c:v>2.8999999999999999E-9</c:v>
                </c:pt>
                <c:pt idx="23" formatCode="0.00E+00">
                  <c:v>7.0466204408365701E-9</c:v>
                </c:pt>
                <c:pt idx="24" formatCode="0.00E+00">
                  <c:v>6.1942541856925396E-8</c:v>
                </c:pt>
                <c:pt idx="25" formatCode="0.00E+00">
                  <c:v>1.9342973110096401E-7</c:v>
                </c:pt>
                <c:pt idx="26" formatCode="0.00E+00">
                  <c:v>1.078132927448E-7</c:v>
                </c:pt>
                <c:pt idx="30" formatCode="0.00E+00">
                  <c:v>2.2196854388635201E-7</c:v>
                </c:pt>
                <c:pt idx="34" formatCode="0.00E+00">
                  <c:v>3.2766785049890101E-8</c:v>
                </c:pt>
                <c:pt idx="38" formatCode="0.00E+00">
                  <c:v>5.6020632504650799E-8</c:v>
                </c:pt>
                <c:pt idx="39" formatCode="0.00E+00">
                  <c:v>1.00454227812718E-6</c:v>
                </c:pt>
                <c:pt idx="40" formatCode="0.00E+00">
                  <c:v>9.8270440251572301E-7</c:v>
                </c:pt>
                <c:pt idx="41" formatCode="0.00E+00">
                  <c:v>1.26659678546471E-6</c:v>
                </c:pt>
                <c:pt idx="42" formatCode="0.00E+00">
                  <c:v>1.1574074074074099E-6</c:v>
                </c:pt>
                <c:pt idx="43" formatCode="0.00E+00">
                  <c:v>1.22292103424179E-6</c:v>
                </c:pt>
                <c:pt idx="44" formatCode="0.00E+00">
                  <c:v>1.3074417009602201E-6</c:v>
                </c:pt>
                <c:pt idx="45" formatCode="0.00E+00">
                  <c:v>1.2002743484224999E-6</c:v>
                </c:pt>
                <c:pt idx="46" formatCode="0.00E+00">
                  <c:v>1.3288751714677599E-6</c:v>
                </c:pt>
                <c:pt idx="47" formatCode="0.00E+00">
                  <c:v>1.6932441700960199E-6</c:v>
                </c:pt>
                <c:pt idx="48" formatCode="0.00E+00">
                  <c:v>1.54320987654321E-6</c:v>
                </c:pt>
                <c:pt idx="49" formatCode="0.00E+00">
                  <c:v>1.3503086419753101E-6</c:v>
                </c:pt>
                <c:pt idx="50" formatCode="0.00E+00">
                  <c:v>1.30658436213992E-6</c:v>
                </c:pt>
                <c:pt idx="51" formatCode="0.00E+00">
                  <c:v>1.74897119341564E-6</c:v>
                </c:pt>
                <c:pt idx="52" formatCode="0.00E+00">
                  <c:v>1.59465020576132E-6</c:v>
                </c:pt>
                <c:pt idx="53" formatCode="0.00E+00">
                  <c:v>1.6718106995884799E-6</c:v>
                </c:pt>
                <c:pt idx="54" formatCode="0.00E+00">
                  <c:v>2.77777777777778E-6</c:v>
                </c:pt>
                <c:pt idx="55" formatCode="0.00E+00">
                  <c:v>2.3974867724867701E-6</c:v>
                </c:pt>
                <c:pt idx="56" formatCode="0.00E+00">
                  <c:v>1.8187830687830699E-6</c:v>
                </c:pt>
                <c:pt idx="57" formatCode="0.00E+00">
                  <c:v>3.9682539682539698E-6</c:v>
                </c:pt>
                <c:pt idx="58" formatCode="0.00E+00">
                  <c:v>2.3974867724867701E-6</c:v>
                </c:pt>
                <c:pt idx="59" formatCode="0.00E+00">
                  <c:v>1.27840909090909E-6</c:v>
                </c:pt>
                <c:pt idx="60" formatCode="0.00E+00">
                  <c:v>1.2108936588103299E-6</c:v>
                </c:pt>
                <c:pt idx="61" formatCode="0.00E+00">
                  <c:v>1.47306397306397E-6</c:v>
                </c:pt>
                <c:pt idx="62" formatCode="0.00E+00">
                  <c:v>1.56513047138047E-6</c:v>
                </c:pt>
                <c:pt idx="63" formatCode="0.00E+00">
                  <c:v>1.50375280583614E-6</c:v>
                </c:pt>
                <c:pt idx="71" formatCode="0.00E+00">
                  <c:v>2.0593487272017699E-7</c:v>
                </c:pt>
                <c:pt idx="81" formatCode="0.00E+00">
                  <c:v>1.70800952522475E-7</c:v>
                </c:pt>
                <c:pt idx="90" formatCode="0.00E+00">
                  <c:v>1.4693796528405699E-7</c:v>
                </c:pt>
                <c:pt idx="98" formatCode="0.00E+00">
                  <c:v>1.71935439877411E-7</c:v>
                </c:pt>
                <c:pt idx="104" formatCode="0.00E+00">
                  <c:v>2.4425927149117598E-7</c:v>
                </c:pt>
                <c:pt idx="112" formatCode="0.00E+00">
                  <c:v>1.9319193536857599E-7</c:v>
                </c:pt>
                <c:pt idx="113" formatCode="0.00E+00">
                  <c:v>7.01103500761035E-7</c:v>
                </c:pt>
                <c:pt idx="114" formatCode="0.00E+00">
                  <c:v>7.5659563673262297E-7</c:v>
                </c:pt>
                <c:pt idx="115" formatCode="0.00E+00">
                  <c:v>7.1220192795535304E-7</c:v>
                </c:pt>
                <c:pt idx="116" formatCode="0.00E+00">
                  <c:v>7.4549720953830599E-7</c:v>
                </c:pt>
                <c:pt idx="117" formatCode="0.00E+00">
                  <c:v>1.91632842888551E-7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A1E-B120-86F56868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02080"/>
        <c:axId val="1021909296"/>
      </c:scatterChart>
      <c:valAx>
        <c:axId val="1021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909296"/>
        <c:crosses val="autoZero"/>
        <c:crossBetween val="midCat"/>
      </c:valAx>
      <c:valAx>
        <c:axId val="102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9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090682414698163"/>
                  <c:y val="-0.52366797900262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'Lab correlation'!$P$22:$P$33</c:f>
              <c:numCache>
                <c:formatCode>General</c:formatCode>
                <c:ptCount val="12"/>
                <c:pt idx="0">
                  <c:v>50.77</c:v>
                </c:pt>
                <c:pt idx="1">
                  <c:v>34.9</c:v>
                </c:pt>
                <c:pt idx="2">
                  <c:v>25.16</c:v>
                </c:pt>
                <c:pt idx="3">
                  <c:v>19.100000000000001</c:v>
                </c:pt>
                <c:pt idx="4">
                  <c:v>57.22</c:v>
                </c:pt>
                <c:pt idx="5">
                  <c:v>36.799999999999997</c:v>
                </c:pt>
                <c:pt idx="6">
                  <c:v>24.71</c:v>
                </c:pt>
                <c:pt idx="7">
                  <c:v>20.34</c:v>
                </c:pt>
                <c:pt idx="8">
                  <c:v>100.03</c:v>
                </c:pt>
                <c:pt idx="9">
                  <c:v>65.510000000000005</c:v>
                </c:pt>
                <c:pt idx="10">
                  <c:v>48.51</c:v>
                </c:pt>
                <c:pt idx="11">
                  <c:v>37.25</c:v>
                </c:pt>
              </c:numCache>
            </c:numRef>
          </c:xVal>
          <c:yVal>
            <c:numRef>
              <c:f>'Lab correlation'!$Q$22:$Q$33</c:f>
              <c:numCache>
                <c:formatCode>General</c:formatCode>
                <c:ptCount val="12"/>
                <c:pt idx="0">
                  <c:v>1.5E-6</c:v>
                </c:pt>
                <c:pt idx="1">
                  <c:v>4.8999999999999997E-6</c:v>
                </c:pt>
                <c:pt idx="2">
                  <c:v>1.19E-5</c:v>
                </c:pt>
                <c:pt idx="3">
                  <c:v>2.1999999999999999E-5</c:v>
                </c:pt>
                <c:pt idx="4">
                  <c:v>2.0999999999999998E-6</c:v>
                </c:pt>
                <c:pt idx="5">
                  <c:v>4.8999999999999997E-6</c:v>
                </c:pt>
                <c:pt idx="6">
                  <c:v>1.4600000000000001E-5</c:v>
                </c:pt>
                <c:pt idx="7">
                  <c:v>2.1299999999999999E-5</c:v>
                </c:pt>
                <c:pt idx="8">
                  <c:v>7.9999999999999996E-7</c:v>
                </c:pt>
                <c:pt idx="9">
                  <c:v>2.0999999999999998E-6</c:v>
                </c:pt>
                <c:pt idx="10">
                  <c:v>5.8000000000000004E-6</c:v>
                </c:pt>
                <c:pt idx="11">
                  <c:v>1.0499999999999999E-5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6-415D-AA40-064DFE78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46496"/>
        <c:axId val="415243544"/>
      </c:scatterChart>
      <c:valAx>
        <c:axId val="4152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243544"/>
        <c:crosses val="autoZero"/>
        <c:crossBetween val="midCat"/>
      </c:valAx>
      <c:valAx>
        <c:axId val="4152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2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98425196850391"/>
                  <c:y val="-0.10892534266550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'Lab correlation'!$P$34:$P$49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3.4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</c:numCache>
            </c:numRef>
          </c:xVal>
          <c:yVal>
            <c:numRef>
              <c:f>'Lab correlation'!$Q$34:$Q$49</c:f>
              <c:numCache>
                <c:formatCode>General</c:formatCode>
                <c:ptCount val="16"/>
                <c:pt idx="0">
                  <c:v>3.9398929925063234E-2</c:v>
                </c:pt>
                <c:pt idx="1">
                  <c:v>2.4403116024377444E-2</c:v>
                </c:pt>
                <c:pt idx="2">
                  <c:v>3.2817910591163693E-2</c:v>
                </c:pt>
                <c:pt idx="3">
                  <c:v>5.0537993065327145E-3</c:v>
                </c:pt>
                <c:pt idx="4">
                  <c:v>1.3973582652064332E-3</c:v>
                </c:pt>
                <c:pt idx="5">
                  <c:v>9.9696304773603346E-4</c:v>
                </c:pt>
                <c:pt idx="6">
                  <c:v>4.7560953760002867E-4</c:v>
                </c:pt>
                <c:pt idx="7">
                  <c:v>4.8968472944918703E-4</c:v>
                </c:pt>
                <c:pt idx="8">
                  <c:v>8.3825106742421924E-4</c:v>
                </c:pt>
                <c:pt idx="9">
                  <c:v>1.3946004268993505E-3</c:v>
                </c:pt>
                <c:pt idx="10">
                  <c:v>5.1717587530123832E-4</c:v>
                </c:pt>
                <c:pt idx="11">
                  <c:v>8.9757922579476509E-3</c:v>
                </c:pt>
                <c:pt idx="12">
                  <c:v>1.2687606279890896E-2</c:v>
                </c:pt>
                <c:pt idx="13">
                  <c:v>2.0804594055500961E-2</c:v>
                </c:pt>
                <c:pt idx="14">
                  <c:v>1.940393991214813E-2</c:v>
                </c:pt>
                <c:pt idx="15">
                  <c:v>1.5614630133463984E-2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2-43E5-9AB4-1A85CE52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9824"/>
        <c:axId val="555477200"/>
      </c:scatterChart>
      <c:valAx>
        <c:axId val="5554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77200"/>
        <c:crosses val="autoZero"/>
        <c:crossBetween val="midCat"/>
      </c:valAx>
      <c:valAx>
        <c:axId val="555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correlation'!$L$1:$L$2</c:f>
              <c:strCache>
                <c:ptCount val="2"/>
                <c:pt idx="0">
                  <c:v>E/B</c:v>
                </c:pt>
                <c:pt idx="1">
                  <c:v>(s-1)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33858267716533"/>
                  <c:y val="-0.16195683872849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'Field correlation'!$K$3:$K$120</c:f>
              <c:numCache>
                <c:formatCode>General</c:formatCode>
                <c:ptCount val="118"/>
                <c:pt idx="8">
                  <c:v>3.4559999999999992E-6</c:v>
                </c:pt>
                <c:pt idx="9">
                  <c:v>7.8600000000000018E-7</c:v>
                </c:pt>
                <c:pt idx="10">
                  <c:v>5.2400000000000009E-7</c:v>
                </c:pt>
                <c:pt idx="11">
                  <c:v>7.8600000000000018E-7</c:v>
                </c:pt>
                <c:pt idx="13">
                  <c:v>7.9285714285714292E-8</c:v>
                </c:pt>
                <c:pt idx="14">
                  <c:v>8.5384615384615387E-8</c:v>
                </c:pt>
                <c:pt idx="15">
                  <c:v>7.6551724137931031E-8</c:v>
                </c:pt>
                <c:pt idx="16">
                  <c:v>8.2222222222222222E-8</c:v>
                </c:pt>
                <c:pt idx="17">
                  <c:v>8.2222222222222222E-8</c:v>
                </c:pt>
                <c:pt idx="18">
                  <c:v>8.5384615384615387E-8</c:v>
                </c:pt>
                <c:pt idx="19">
                  <c:v>8.5384615384615387E-8</c:v>
                </c:pt>
                <c:pt idx="20">
                  <c:v>8.2222222222222222E-8</c:v>
                </c:pt>
                <c:pt idx="21">
                  <c:v>9.2500000000000001E-8</c:v>
                </c:pt>
                <c:pt idx="23">
                  <c:v>1.4129999999999999E-6</c:v>
                </c:pt>
                <c:pt idx="24">
                  <c:v>8.4000000000000011E-7</c:v>
                </c:pt>
                <c:pt idx="25">
                  <c:v>5.2764705882352944E-7</c:v>
                </c:pt>
                <c:pt idx="26">
                  <c:v>8.3470790378006886E-7</c:v>
                </c:pt>
                <c:pt idx="30">
                  <c:v>3.3274799999999996E-7</c:v>
                </c:pt>
                <c:pt idx="34">
                  <c:v>9.2429999999999988E-8</c:v>
                </c:pt>
                <c:pt idx="38">
                  <c:v>3.3274799999999996E-7</c:v>
                </c:pt>
                <c:pt idx="39">
                  <c:v>1.1632876315789475E-6</c:v>
                </c:pt>
                <c:pt idx="40">
                  <c:v>1.1162861111111112E-6</c:v>
                </c:pt>
                <c:pt idx="41">
                  <c:v>9.31856231884058E-7</c:v>
                </c:pt>
                <c:pt idx="42">
                  <c:v>1.4577383333333334E-6</c:v>
                </c:pt>
                <c:pt idx="43">
                  <c:v>1.255821875E-6</c:v>
                </c:pt>
                <c:pt idx="44">
                  <c:v>1.3232956578947369E-6</c:v>
                </c:pt>
                <c:pt idx="45">
                  <c:v>1.2698291666666668E-6</c:v>
                </c:pt>
                <c:pt idx="46">
                  <c:v>1.0600313043478261E-6</c:v>
                </c:pt>
                <c:pt idx="47">
                  <c:v>1.6582474999999998E-6</c:v>
                </c:pt>
                <c:pt idx="48">
                  <c:v>1.4285578124999998E-6</c:v>
                </c:pt>
                <c:pt idx="49">
                  <c:v>1.9860876315789479E-6</c:v>
                </c:pt>
                <c:pt idx="50">
                  <c:v>1.905841666666667E-6</c:v>
                </c:pt>
                <c:pt idx="51">
                  <c:v>1.5909634782608698E-6</c:v>
                </c:pt>
                <c:pt idx="52">
                  <c:v>2.4888050000000001E-6</c:v>
                </c:pt>
                <c:pt idx="53">
                  <c:v>2.1440718750000001E-6</c:v>
                </c:pt>
                <c:pt idx="54">
                  <c:v>2.4131857894736846E-6</c:v>
                </c:pt>
                <c:pt idx="55">
                  <c:v>2.3156833333333334E-6</c:v>
                </c:pt>
                <c:pt idx="56">
                  <c:v>1.9330921739130436E-6</c:v>
                </c:pt>
                <c:pt idx="57">
                  <c:v>3.02401E-6</c:v>
                </c:pt>
                <c:pt idx="58">
                  <c:v>2.6051437500000004E-6</c:v>
                </c:pt>
                <c:pt idx="59">
                  <c:v>1.4924076315789476E-6</c:v>
                </c:pt>
                <c:pt idx="60">
                  <c:v>1.4321083333333334E-6</c:v>
                </c:pt>
                <c:pt idx="61">
                  <c:v>1.1954991304347827E-6</c:v>
                </c:pt>
                <c:pt idx="62">
                  <c:v>1.870165E-6</c:v>
                </c:pt>
                <c:pt idx="63">
                  <c:v>1.6111218749999998E-6</c:v>
                </c:pt>
                <c:pt idx="71">
                  <c:v>7.0945945945945952E-7</c:v>
                </c:pt>
                <c:pt idx="81">
                  <c:v>7.0945945945945952E-7</c:v>
                </c:pt>
                <c:pt idx="90">
                  <c:v>7.0945945945945952E-7</c:v>
                </c:pt>
                <c:pt idx="98">
                  <c:v>7.0945945945945952E-7</c:v>
                </c:pt>
                <c:pt idx="104">
                  <c:v>7.0945945945945952E-7</c:v>
                </c:pt>
                <c:pt idx="112">
                  <c:v>7.0945945945945952E-7</c:v>
                </c:pt>
                <c:pt idx="113">
                  <c:v>3.8740000000000004E-7</c:v>
                </c:pt>
                <c:pt idx="114">
                  <c:v>3.8740000000000004E-7</c:v>
                </c:pt>
                <c:pt idx="115">
                  <c:v>3.8740000000000004E-7</c:v>
                </c:pt>
                <c:pt idx="116">
                  <c:v>3.8740000000000004E-7</c:v>
                </c:pt>
                <c:pt idx="117">
                  <c:v>2.0600000000000002E-6</c:v>
                </c:pt>
              </c:numCache>
            </c:numRef>
          </c:xVal>
          <c:yVal>
            <c:numRef>
              <c:f>'Field correlation'!$L$3:$L$120</c:f>
              <c:numCache>
                <c:formatCode>General</c:formatCode>
                <c:ptCount val="118"/>
                <c:pt idx="8">
                  <c:v>6.5157106815954628E-9</c:v>
                </c:pt>
                <c:pt idx="9">
                  <c:v>2.5058971976780193E-10</c:v>
                </c:pt>
                <c:pt idx="10">
                  <c:v>1.5104532816105217E-10</c:v>
                </c:pt>
                <c:pt idx="11">
                  <c:v>1.4954509876406962E-10</c:v>
                </c:pt>
                <c:pt idx="13">
                  <c:v>2.1428571428571429E-11</c:v>
                </c:pt>
                <c:pt idx="14">
                  <c:v>4.2857142857142858E-11</c:v>
                </c:pt>
                <c:pt idx="15">
                  <c:v>2.1666666666666667E-10</c:v>
                </c:pt>
                <c:pt idx="16">
                  <c:v>4.0952380952380951E-10</c:v>
                </c:pt>
                <c:pt idx="17">
                  <c:v>1.8095238095238095E-10</c:v>
                </c:pt>
                <c:pt idx="18">
                  <c:v>1.8333333333333332E-10</c:v>
                </c:pt>
                <c:pt idx="19">
                  <c:v>1.3809523809523808E-10</c:v>
                </c:pt>
                <c:pt idx="20">
                  <c:v>1.761904761904762E-10</c:v>
                </c:pt>
                <c:pt idx="21">
                  <c:v>6.9047619047619042E-11</c:v>
                </c:pt>
                <c:pt idx="23">
                  <c:v>1.1010344438807146E-10</c:v>
                </c:pt>
                <c:pt idx="24">
                  <c:v>1.9853378800296616E-9</c:v>
                </c:pt>
                <c:pt idx="25">
                  <c:v>3.0129241604511521E-9</c:v>
                </c:pt>
                <c:pt idx="26">
                  <c:v>1.1137736853801612E-9</c:v>
                </c:pt>
                <c:pt idx="30">
                  <c:v>4.439370877727042E-9</c:v>
                </c:pt>
                <c:pt idx="34">
                  <c:v>6.3013048172865543E-10</c:v>
                </c:pt>
                <c:pt idx="38">
                  <c:v>9.3367720841084626E-10</c:v>
                </c:pt>
                <c:pt idx="39">
                  <c:v>1.9731053497673052E-9</c:v>
                </c:pt>
                <c:pt idx="40">
                  <c:v>1.9302117552071465E-9</c:v>
                </c:pt>
                <c:pt idx="41">
                  <c:v>2.4878284844892104E-9</c:v>
                </c:pt>
                <c:pt idx="42">
                  <c:v>2.2733605116884163E-9</c:v>
                </c:pt>
                <c:pt idx="43">
                  <c:v>2.402041295368893E-9</c:v>
                </c:pt>
                <c:pt idx="44">
                  <c:v>2.8270409245451546E-9</c:v>
                </c:pt>
                <c:pt idx="45">
                  <c:v>2.59531625859883E-9</c:v>
                </c:pt>
                <c:pt idx="46">
                  <c:v>2.8733858577344196E-9</c:v>
                </c:pt>
                <c:pt idx="47">
                  <c:v>3.6612497219519224E-9</c:v>
                </c:pt>
                <c:pt idx="48">
                  <c:v>3.3368351896270682E-9</c:v>
                </c:pt>
                <c:pt idx="49">
                  <c:v>3.2177354080461197E-9</c:v>
                </c:pt>
                <c:pt idx="50">
                  <c:v>3.1135420710236744E-9</c:v>
                </c:pt>
                <c:pt idx="51">
                  <c:v>4.1677334808978312E-9</c:v>
                </c:pt>
                <c:pt idx="52">
                  <c:v>3.7999922914068459E-9</c:v>
                </c:pt>
                <c:pt idx="53">
                  <c:v>3.9838628861523402E-9</c:v>
                </c:pt>
                <c:pt idx="54">
                  <c:v>6.7566648993297707E-9</c:v>
                </c:pt>
                <c:pt idx="55">
                  <c:v>5.8316453000167661E-9</c:v>
                </c:pt>
                <c:pt idx="56">
                  <c:v>4.4240067793230648E-9</c:v>
                </c:pt>
                <c:pt idx="57">
                  <c:v>9.6523784276139582E-9</c:v>
                </c:pt>
                <c:pt idx="58">
                  <c:v>5.8316453000167661E-9</c:v>
                </c:pt>
                <c:pt idx="59">
                  <c:v>2.7129234525490332E-9</c:v>
                </c:pt>
                <c:pt idx="60">
                  <c:v>2.5696483456585847E-9</c:v>
                </c:pt>
                <c:pt idx="61">
                  <c:v>3.126002332155265E-9</c:v>
                </c:pt>
                <c:pt idx="62">
                  <c:v>3.3213774779149692E-9</c:v>
                </c:pt>
                <c:pt idx="63">
                  <c:v>3.1911273807418336E-9</c:v>
                </c:pt>
                <c:pt idx="71">
                  <c:v>1.7161239393348114E-9</c:v>
                </c:pt>
                <c:pt idx="81">
                  <c:v>1.4233412710206286E-9</c:v>
                </c:pt>
                <c:pt idx="90">
                  <c:v>1.2244830440338114E-9</c:v>
                </c:pt>
                <c:pt idx="98">
                  <c:v>1.4327953323117576E-9</c:v>
                </c:pt>
                <c:pt idx="104">
                  <c:v>2.0354939290931345E-9</c:v>
                </c:pt>
                <c:pt idx="112">
                  <c:v>1.6099327947381363E-9</c:v>
                </c:pt>
                <c:pt idx="113">
                  <c:v>7.3942025855959311E-10</c:v>
                </c:pt>
                <c:pt idx="114">
                  <c:v>6.3776153071457617E-10</c:v>
                </c:pt>
                <c:pt idx="115">
                  <c:v>6.0370625468786768E-10</c:v>
                </c:pt>
                <c:pt idx="116">
                  <c:v>6.9278976427245694E-10</c:v>
                </c:pt>
                <c:pt idx="117">
                  <c:v>7.6653137155420272E-10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B-4F53-B368-F298922A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61520"/>
        <c:axId val="685861848"/>
      </c:scatterChart>
      <c:valAx>
        <c:axId val="6858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61848"/>
        <c:crosses val="autoZero"/>
        <c:crossBetween val="midCat"/>
      </c:valAx>
      <c:valAx>
        <c:axId val="685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70122484689414E-2"/>
                  <c:y val="-6.4075532225138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Comparison!$A$3:$A$37</c:f>
              <c:numCache>
                <c:formatCode>General</c:formatCode>
                <c:ptCount val="35"/>
                <c:pt idx="0">
                  <c:v>1.5736799999999999E-4</c:v>
                </c:pt>
                <c:pt idx="1">
                  <c:v>2.7965999999999999E-4</c:v>
                </c:pt>
                <c:pt idx="2">
                  <c:v>4.0195200000000002E-4</c:v>
                </c:pt>
                <c:pt idx="3">
                  <c:v>1.5222E-4</c:v>
                </c:pt>
                <c:pt idx="4" formatCode="0.00E+00">
                  <c:v>4.3139999999999904E-6</c:v>
                </c:pt>
                <c:pt idx="5" formatCode="0.00E+00">
                  <c:v>4.3139999999999904E-6</c:v>
                </c:pt>
                <c:pt idx="6" formatCode="0.00E+00">
                  <c:v>6.8939999999999902E-6</c:v>
                </c:pt>
                <c:pt idx="7" formatCode="0.00E+00">
                  <c:v>6.8939999999999902E-6</c:v>
                </c:pt>
                <c:pt idx="8" formatCode="0.00E+00">
                  <c:v>9.4739999999999808E-6</c:v>
                </c:pt>
                <c:pt idx="9" formatCode="0.00E+00">
                  <c:v>9.4739999999999808E-6</c:v>
                </c:pt>
                <c:pt idx="10" formatCode="0.00E+00">
                  <c:v>2.5332240000000001E-5</c:v>
                </c:pt>
                <c:pt idx="11">
                  <c:v>1.8433008E-4</c:v>
                </c:pt>
                <c:pt idx="12">
                  <c:v>1.5764256E-4</c:v>
                </c:pt>
                <c:pt idx="13">
                  <c:v>1.2205920000000001E-4</c:v>
                </c:pt>
                <c:pt idx="14">
                  <c:v>1.0426752000000001E-4</c:v>
                </c:pt>
                <c:pt idx="15" formatCode="0.00E+00">
                  <c:v>8.6475840000000006E-5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5.6249999999999998E-5</c:v>
                </c:pt>
                <c:pt idx="21">
                  <c:v>1.5075000000000001E-4</c:v>
                </c:pt>
                <c:pt idx="22">
                  <c:v>2.43E-4</c:v>
                </c:pt>
                <c:pt idx="23">
                  <c:v>1.0285714285714299E-4</c:v>
                </c:pt>
                <c:pt idx="24">
                  <c:v>1.6000000000000001E-4</c:v>
                </c:pt>
                <c:pt idx="25" formatCode="0.00E+00">
                  <c:v>9.6000000000000002E-5</c:v>
                </c:pt>
                <c:pt idx="26" formatCode="0.00E+00">
                  <c:v>8.7000000000000001E-5</c:v>
                </c:pt>
                <c:pt idx="27" formatCode="0.00E+00">
                  <c:v>8.0000000000000007E-5</c:v>
                </c:pt>
                <c:pt idx="28">
                  <c:v>1.7589E-4</c:v>
                </c:pt>
                <c:pt idx="29">
                  <c:v>1.37214E-4</c:v>
                </c:pt>
                <c:pt idx="30" formatCode="0.00E+00">
                  <c:v>2.016E-5</c:v>
                </c:pt>
                <c:pt idx="31">
                  <c:v>1.26E-4</c:v>
                </c:pt>
                <c:pt idx="32">
                  <c:v>1.8900000000000001E-4</c:v>
                </c:pt>
                <c:pt idx="33">
                  <c:v>2.1042000000000001E-4</c:v>
                </c:pt>
                <c:pt idx="34" formatCode="0.00E+00">
                  <c:v>8.3159999999999997E-5</c:v>
                </c:pt>
              </c:numCache>
            </c:numRef>
          </c:xVal>
          <c:yVal>
            <c:numRef>
              <c:f>Comparison!$B$3:$B$37</c:f>
              <c:numCache>
                <c:formatCode>General</c:formatCode>
                <c:ptCount val="35"/>
                <c:pt idx="0">
                  <c:v>1.9620667102681499E-4</c:v>
                </c:pt>
                <c:pt idx="1">
                  <c:v>2.1596757681573999E-4</c:v>
                </c:pt>
                <c:pt idx="2">
                  <c:v>4.1744382271960201E-4</c:v>
                </c:pt>
                <c:pt idx="3" formatCode="0.00E+00">
                  <c:v>4.4726123862814501E-5</c:v>
                </c:pt>
                <c:pt idx="4" formatCode="0.00E+00">
                  <c:v>1.50705088902514E-5</c:v>
                </c:pt>
                <c:pt idx="5" formatCode="0.00E+00">
                  <c:v>1.07522464698331E-5</c:v>
                </c:pt>
                <c:pt idx="6" formatCode="0.00E+00">
                  <c:v>8.1971303805364907E-6</c:v>
                </c:pt>
                <c:pt idx="7" formatCode="0.00E+00">
                  <c:v>8.4397163120567399E-6</c:v>
                </c:pt>
                <c:pt idx="8" formatCode="0.00E+00">
                  <c:v>1.9853976531942601E-5</c:v>
                </c:pt>
                <c:pt idx="9" formatCode="0.00E+00">
                  <c:v>3.3031111111111098E-5</c:v>
                </c:pt>
                <c:pt idx="10" formatCode="0.00E+00">
                  <c:v>2.7756829227417502E-6</c:v>
                </c:pt>
                <c:pt idx="11">
                  <c:v>1.1996146352747E-4</c:v>
                </c:pt>
                <c:pt idx="12">
                  <c:v>1.45019339779153E-4</c:v>
                </c:pt>
                <c:pt idx="13">
                  <c:v>1.8412065739118399E-4</c:v>
                </c:pt>
                <c:pt idx="14">
                  <c:v>1.4669378573584001E-4</c:v>
                </c:pt>
                <c:pt idx="15" formatCode="0.00E+00">
                  <c:v>9.7903730936819196E-5</c:v>
                </c:pt>
                <c:pt idx="16" formatCode="0.00E+00">
                  <c:v>2.7181057146810599E-6</c:v>
                </c:pt>
                <c:pt idx="17" formatCode="0.00E+00">
                  <c:v>1.23792270531401E-5</c:v>
                </c:pt>
                <c:pt idx="18" formatCode="0.00E+00">
                  <c:v>1.5398550724637701E-5</c:v>
                </c:pt>
                <c:pt idx="19" formatCode="0.00E+00">
                  <c:v>1.81159420289855E-5</c:v>
                </c:pt>
                <c:pt idx="20" formatCode="0.00E+00">
                  <c:v>4.0000000000000003E-5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1.19756034291465E-4</c:v>
                </c:pt>
                <c:pt idx="24">
                  <c:v>1.88276489580276E-4</c:v>
                </c:pt>
                <c:pt idx="25" formatCode="0.00E+00">
                  <c:v>8.4621559719064894E-5</c:v>
                </c:pt>
                <c:pt idx="26">
                  <c:v>1.25454533333333E-4</c:v>
                </c:pt>
                <c:pt idx="27" formatCode="0.00E+00">
                  <c:v>8.4134030237190496E-5</c:v>
                </c:pt>
                <c:pt idx="28" formatCode="0.00E+00">
                  <c:v>3.83022774327122E-5</c:v>
                </c:pt>
                <c:pt idx="29" formatCode="0.00E+00">
                  <c:v>3.83022774327122E-5</c:v>
                </c:pt>
                <c:pt idx="30" formatCode="0.00E+00">
                  <c:v>6.6308243727598597E-6</c:v>
                </c:pt>
                <c:pt idx="31">
                  <c:v>1.1412E-4</c:v>
                </c:pt>
                <c:pt idx="32">
                  <c:v>1.284E-4</c:v>
                </c:pt>
                <c:pt idx="33" formatCode="0.00E+00">
                  <c:v>5.0519999999999997E-5</c:v>
                </c:pt>
                <c:pt idx="34" formatCode="0.00E+00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0-4FFE-ADBC-EE0D169D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46408"/>
        <c:axId val="625244440"/>
      </c:scatterChart>
      <c:valAx>
        <c:axId val="6252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4440"/>
        <c:crosses val="autoZero"/>
        <c:crossBetween val="midCat"/>
      </c:valAx>
      <c:valAx>
        <c:axId val="6252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87926509186356E-3"/>
                  <c:y val="-0.25298629337999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Comparison!$C$3:$C$37</c:f>
              <c:numCache>
                <c:formatCode>General</c:formatCode>
                <c:ptCount val="35"/>
                <c:pt idx="0">
                  <c:v>2.1000000000000001E-4</c:v>
                </c:pt>
                <c:pt idx="1">
                  <c:v>2.1000000000000001E-4</c:v>
                </c:pt>
                <c:pt idx="2">
                  <c:v>2.1000000000000001E-4</c:v>
                </c:pt>
                <c:pt idx="3">
                  <c:v>1.2E-4</c:v>
                </c:pt>
                <c:pt idx="4" formatCode="0.00E+00">
                  <c:v>1.5E-5</c:v>
                </c:pt>
                <c:pt idx="5" formatCode="0.00E+00">
                  <c:v>1.5E-5</c:v>
                </c:pt>
                <c:pt idx="6" formatCode="0.00E+00">
                  <c:v>1.5E-5</c:v>
                </c:pt>
                <c:pt idx="7" formatCode="0.00E+00">
                  <c:v>1.5E-5</c:v>
                </c:pt>
                <c:pt idx="8" formatCode="0.00E+00">
                  <c:v>1.5E-5</c:v>
                </c:pt>
                <c:pt idx="9" formatCode="0.00E+00">
                  <c:v>1.5E-5</c:v>
                </c:pt>
                <c:pt idx="10" formatCode="0.00E+00">
                  <c:v>4.1999999999999998E-5</c:v>
                </c:pt>
                <c:pt idx="11">
                  <c:v>2.1000000000000001E-4</c:v>
                </c:pt>
                <c:pt idx="12">
                  <c:v>2.1000000000000001E-4</c:v>
                </c:pt>
                <c:pt idx="13">
                  <c:v>2.1000000000000001E-4</c:v>
                </c:pt>
                <c:pt idx="14">
                  <c:v>2.1000000000000001E-4</c:v>
                </c:pt>
                <c:pt idx="15">
                  <c:v>2.1000000000000001E-4</c:v>
                </c:pt>
                <c:pt idx="16" formatCode="0.00E+00">
                  <c:v>6.1710000000000004E-5</c:v>
                </c:pt>
                <c:pt idx="17" formatCode="0.00E+00">
                  <c:v>6.135E-5</c:v>
                </c:pt>
                <c:pt idx="18" formatCode="0.00E+00">
                  <c:v>6.135E-5</c:v>
                </c:pt>
                <c:pt idx="19" formatCode="0.00E+00">
                  <c:v>6.135E-5</c:v>
                </c:pt>
                <c:pt idx="20" formatCode="0.00E+00">
                  <c:v>6.3600000000000001E-5</c:v>
                </c:pt>
                <c:pt idx="21" formatCode="0.00E+00">
                  <c:v>6.3600000000000001E-5</c:v>
                </c:pt>
                <c:pt idx="22" formatCode="0.00E+00">
                  <c:v>6.3600000000000001E-5</c:v>
                </c:pt>
                <c:pt idx="23" formatCode="0.00E+00">
                  <c:v>7.7999999999999999E-5</c:v>
                </c:pt>
                <c:pt idx="24" formatCode="0.00E+00">
                  <c:v>7.3499999999999998E-5</c:v>
                </c:pt>
                <c:pt idx="25" formatCode="0.00E+00">
                  <c:v>7.3499999999999998E-5</c:v>
                </c:pt>
                <c:pt idx="26" formatCode="0.00E+00">
                  <c:v>7.3499999999999998E-5</c:v>
                </c:pt>
                <c:pt idx="27" formatCode="0.00E+00">
                  <c:v>7.3499999999999998E-5</c:v>
                </c:pt>
                <c:pt idx="28" formatCode="0.00E+00">
                  <c:v>7.7999999999999999E-5</c:v>
                </c:pt>
                <c:pt idx="29" formatCode="0.00E+00">
                  <c:v>7.7999999999999999E-5</c:v>
                </c:pt>
                <c:pt idx="30" formatCode="0.00E+00">
                  <c:v>7.3499999999999998E-5</c:v>
                </c:pt>
                <c:pt idx="31">
                  <c:v>1.1400000000000001E-4</c:v>
                </c:pt>
                <c:pt idx="32">
                  <c:v>1.1400000000000001E-4</c:v>
                </c:pt>
                <c:pt idx="33" formatCode="0.00E+00">
                  <c:v>9.6000000000000002E-5</c:v>
                </c:pt>
                <c:pt idx="34" formatCode="0.00E+00">
                  <c:v>7.7999999999999999E-5</c:v>
                </c:pt>
              </c:numCache>
            </c:numRef>
          </c:xVal>
          <c:yVal>
            <c:numRef>
              <c:f>Comparison!$D$3:$D$37</c:f>
              <c:numCache>
                <c:formatCode>General</c:formatCode>
                <c:ptCount val="35"/>
                <c:pt idx="0">
                  <c:v>1.9620667102681499E-4</c:v>
                </c:pt>
                <c:pt idx="1">
                  <c:v>2.1596757681573999E-4</c:v>
                </c:pt>
                <c:pt idx="2">
                  <c:v>4.1744382271960201E-4</c:v>
                </c:pt>
                <c:pt idx="3" formatCode="0.00E+00">
                  <c:v>4.4726123862814501E-5</c:v>
                </c:pt>
                <c:pt idx="4" formatCode="0.00E+00">
                  <c:v>1.50705088902514E-5</c:v>
                </c:pt>
                <c:pt idx="5" formatCode="0.00E+00">
                  <c:v>1.07522464698331E-5</c:v>
                </c:pt>
                <c:pt idx="6" formatCode="0.00E+00">
                  <c:v>8.1971303805364907E-6</c:v>
                </c:pt>
                <c:pt idx="7" formatCode="0.00E+00">
                  <c:v>8.4397163120567399E-6</c:v>
                </c:pt>
                <c:pt idx="8" formatCode="0.00E+00">
                  <c:v>1.9853976531942601E-5</c:v>
                </c:pt>
                <c:pt idx="9" formatCode="0.00E+00">
                  <c:v>3.3031111111111098E-5</c:v>
                </c:pt>
                <c:pt idx="10" formatCode="0.00E+00">
                  <c:v>2.7756829227417502E-6</c:v>
                </c:pt>
                <c:pt idx="11" formatCode="0.00E+00">
                  <c:v>1.1996146352747E-4</c:v>
                </c:pt>
                <c:pt idx="12">
                  <c:v>1.45019339779153E-4</c:v>
                </c:pt>
                <c:pt idx="13">
                  <c:v>1.8412065739118399E-4</c:v>
                </c:pt>
                <c:pt idx="14">
                  <c:v>1.4669378573584001E-4</c:v>
                </c:pt>
                <c:pt idx="15" formatCode="0.00E+00">
                  <c:v>9.7903730936819196E-5</c:v>
                </c:pt>
                <c:pt idx="16" formatCode="0.00E+00">
                  <c:v>2.7181057146810599E-6</c:v>
                </c:pt>
                <c:pt idx="17" formatCode="0.00E+00">
                  <c:v>1.23792270531401E-5</c:v>
                </c:pt>
                <c:pt idx="18" formatCode="0.00E+00">
                  <c:v>1.5398550724637701E-5</c:v>
                </c:pt>
                <c:pt idx="19" formatCode="0.00E+00">
                  <c:v>1.81159420289855E-5</c:v>
                </c:pt>
                <c:pt idx="20" formatCode="0.00E+00">
                  <c:v>4.0000000000000003E-5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1.19756034291465E-4</c:v>
                </c:pt>
                <c:pt idx="24">
                  <c:v>1.88276489580276E-4</c:v>
                </c:pt>
                <c:pt idx="25" formatCode="0.00E+00">
                  <c:v>8.4621559719064894E-5</c:v>
                </c:pt>
                <c:pt idx="26">
                  <c:v>1.25454533333333E-4</c:v>
                </c:pt>
                <c:pt idx="27" formatCode="0.00E+00">
                  <c:v>8.4134030237190496E-5</c:v>
                </c:pt>
                <c:pt idx="28" formatCode="0.00E+00">
                  <c:v>3.83022774327122E-5</c:v>
                </c:pt>
                <c:pt idx="29" formatCode="0.00E+00">
                  <c:v>3.83022774327122E-5</c:v>
                </c:pt>
                <c:pt idx="30" formatCode="0.00E+00">
                  <c:v>6.6308243727598597E-6</c:v>
                </c:pt>
                <c:pt idx="31">
                  <c:v>1.1412E-4</c:v>
                </c:pt>
                <c:pt idx="32">
                  <c:v>1.284E-4</c:v>
                </c:pt>
                <c:pt idx="33" formatCode="0.00E+00">
                  <c:v>5.0519999999999997E-5</c:v>
                </c:pt>
                <c:pt idx="34" formatCode="0.00E+00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6-4BA1-B847-2C8C3ACF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86488"/>
        <c:axId val="379686816"/>
      </c:scatterChart>
      <c:valAx>
        <c:axId val="37968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6816"/>
        <c:crosses val="autoZero"/>
        <c:crossBetween val="midCat"/>
      </c:valAx>
      <c:valAx>
        <c:axId val="379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565179352580927E-2"/>
                  <c:y val="-0.40743948673082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Comparison!$E$3:$E$18</c:f>
              <c:numCache>
                <c:formatCode>General</c:formatCode>
                <c:ptCount val="16"/>
                <c:pt idx="0">
                  <c:v>1.7899999999999999E-4</c:v>
                </c:pt>
                <c:pt idx="1">
                  <c:v>1.5799999999999999E-4</c:v>
                </c:pt>
                <c:pt idx="2">
                  <c:v>1.37E-4</c:v>
                </c:pt>
                <c:pt idx="3">
                  <c:v>1.5799999999999999E-4</c:v>
                </c:pt>
                <c:pt idx="4">
                  <c:v>1.4750000000000001E-4</c:v>
                </c:pt>
                <c:pt idx="5">
                  <c:v>1.4750000000000001E-4</c:v>
                </c:pt>
                <c:pt idx="6">
                  <c:v>1.125E-4</c:v>
                </c:pt>
                <c:pt idx="7">
                  <c:v>1.125E-4</c:v>
                </c:pt>
                <c:pt idx="8" formatCode="0.00E+00">
                  <c:v>7.75E-5</c:v>
                </c:pt>
                <c:pt idx="9" formatCode="0.00E+00">
                  <c:v>7.75E-5</c:v>
                </c:pt>
                <c:pt idx="10">
                  <c:v>1.7689999999999999E-4</c:v>
                </c:pt>
                <c:pt idx="11">
                  <c:v>1.3349999999999999E-4</c:v>
                </c:pt>
                <c:pt idx="12">
                  <c:v>1.44E-4</c:v>
                </c:pt>
                <c:pt idx="13">
                  <c:v>1.5799999999999999E-4</c:v>
                </c:pt>
                <c:pt idx="14">
                  <c:v>1.65E-4</c:v>
                </c:pt>
                <c:pt idx="15">
                  <c:v>1.7200000000000001E-4</c:v>
                </c:pt>
              </c:numCache>
            </c:numRef>
          </c:xVal>
          <c:yVal>
            <c:numRef>
              <c:f>Comparison!$F$3:$F$18</c:f>
              <c:numCache>
                <c:formatCode>General</c:formatCode>
                <c:ptCount val="16"/>
                <c:pt idx="0">
                  <c:v>1.9620667102681499E-4</c:v>
                </c:pt>
                <c:pt idx="1">
                  <c:v>2.1596757681573999E-4</c:v>
                </c:pt>
                <c:pt idx="2">
                  <c:v>4.1744382271960201E-4</c:v>
                </c:pt>
                <c:pt idx="3" formatCode="0.00E+00">
                  <c:v>4.4726123862814501E-5</c:v>
                </c:pt>
                <c:pt idx="4" formatCode="0.00E+00">
                  <c:v>1.50705088902514E-5</c:v>
                </c:pt>
                <c:pt idx="5" formatCode="0.00E+00">
                  <c:v>1.07522464698331E-5</c:v>
                </c:pt>
                <c:pt idx="6" formatCode="0.00E+00">
                  <c:v>8.1971303805364907E-6</c:v>
                </c:pt>
                <c:pt idx="7" formatCode="0.00E+00">
                  <c:v>8.4397163120567399E-6</c:v>
                </c:pt>
                <c:pt idx="8" formatCode="0.00E+00">
                  <c:v>1.9853976531942601E-5</c:v>
                </c:pt>
                <c:pt idx="9" formatCode="0.00E+00">
                  <c:v>3.3031111111111098E-5</c:v>
                </c:pt>
                <c:pt idx="10" formatCode="0.00E+00">
                  <c:v>2.7756829227417502E-6</c:v>
                </c:pt>
                <c:pt idx="11">
                  <c:v>1.1996146352747E-4</c:v>
                </c:pt>
                <c:pt idx="12">
                  <c:v>1.45019339779153E-4</c:v>
                </c:pt>
                <c:pt idx="13">
                  <c:v>1.8412065739118399E-4</c:v>
                </c:pt>
                <c:pt idx="14">
                  <c:v>1.4669378573584001E-4</c:v>
                </c:pt>
                <c:pt idx="15" formatCode="0.00E+00">
                  <c:v>9.7903730936819196E-5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3-4776-BACF-03FB58D5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48376"/>
        <c:axId val="625244112"/>
      </c:scatterChart>
      <c:valAx>
        <c:axId val="6252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4112"/>
        <c:crosses val="autoZero"/>
        <c:crossBetween val="midCat"/>
      </c:valAx>
      <c:valAx>
        <c:axId val="6252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Comparison!$G$3:$G$21</c:f>
              <c:numCache>
                <c:formatCode>0.00E+00</c:formatCode>
                <c:ptCount val="19"/>
                <c:pt idx="0">
                  <c:v>3.2016819427383498E-5</c:v>
                </c:pt>
                <c:pt idx="1">
                  <c:v>4.1999999999999998E-5</c:v>
                </c:pt>
                <c:pt idx="2">
                  <c:v>4.1999999999999998E-5</c:v>
                </c:pt>
                <c:pt idx="3">
                  <c:v>4.1999999999999998E-5</c:v>
                </c:pt>
                <c:pt idx="4">
                  <c:v>4.8000000000000001E-5</c:v>
                </c:pt>
                <c:pt idx="5" formatCode="General">
                  <c:v>1.3200000000000001E-4</c:v>
                </c:pt>
                <c:pt idx="6" formatCode="General">
                  <c:v>2.14E-4</c:v>
                </c:pt>
                <c:pt idx="7" formatCode="General">
                  <c:v>1.04666666666667E-4</c:v>
                </c:pt>
                <c:pt idx="8" formatCode="General">
                  <c:v>1.04666666666667E-4</c:v>
                </c:pt>
                <c:pt idx="9" formatCode="General">
                  <c:v>1.04666666666667E-4</c:v>
                </c:pt>
                <c:pt idx="10" formatCode="General">
                  <c:v>1.26888888888889E-4</c:v>
                </c:pt>
                <c:pt idx="11" formatCode="General">
                  <c:v>1.40222222222222E-4</c:v>
                </c:pt>
                <c:pt idx="12" formatCode="General">
                  <c:v>1.2799999999999999E-4</c:v>
                </c:pt>
                <c:pt idx="13" formatCode="General">
                  <c:v>1.5200000000000001E-4</c:v>
                </c:pt>
                <c:pt idx="14">
                  <c:v>6.7999999999999999E-5</c:v>
                </c:pt>
                <c:pt idx="15">
                  <c:v>6.7999999999999999E-5</c:v>
                </c:pt>
                <c:pt idx="16">
                  <c:v>6.7999999999999999E-5</c:v>
                </c:pt>
                <c:pt idx="17">
                  <c:v>6.7999999999999999E-5</c:v>
                </c:pt>
                <c:pt idx="18">
                  <c:v>6.7999999999999999E-5</c:v>
                </c:pt>
              </c:numCache>
            </c:numRef>
          </c:xVal>
          <c:yVal>
            <c:numRef>
              <c:f>Comparison!$H$3:$H$21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7-45F4-BEB1-3DC2A832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25424"/>
        <c:axId val="988325752"/>
      </c:scatterChart>
      <c:valAx>
        <c:axId val="9883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25752"/>
        <c:crosses val="autoZero"/>
        <c:crossBetween val="midCat"/>
      </c:valAx>
      <c:valAx>
        <c:axId val="9883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9798775153106E-2"/>
                  <c:y val="-0.2759463400408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Comparison!$I$3:$I$21</c:f>
              <c:numCache>
                <c:formatCode>0.00E+00</c:formatCode>
                <c:ptCount val="19"/>
                <c:pt idx="0">
                  <c:v>6.9945999999999997E-5</c:v>
                </c:pt>
                <c:pt idx="1">
                  <c:v>6.9969999999999996E-5</c:v>
                </c:pt>
                <c:pt idx="2">
                  <c:v>6.9969999999999996E-5</c:v>
                </c:pt>
                <c:pt idx="3">
                  <c:v>6.9969999999999996E-5</c:v>
                </c:pt>
                <c:pt idx="4">
                  <c:v>6.9992499999999998E-5</c:v>
                </c:pt>
                <c:pt idx="5">
                  <c:v>6.9979899999999997E-5</c:v>
                </c:pt>
                <c:pt idx="6">
                  <c:v>6.9967600000000004E-5</c:v>
                </c:pt>
                <c:pt idx="7">
                  <c:v>6.9880000000000002E-5</c:v>
                </c:pt>
                <c:pt idx="8">
                  <c:v>6.9927999999999999E-5</c:v>
                </c:pt>
                <c:pt idx="9">
                  <c:v>6.9880000000000002E-5</c:v>
                </c:pt>
                <c:pt idx="10">
                  <c:v>6.9826000000000005E-5</c:v>
                </c:pt>
                <c:pt idx="11">
                  <c:v>6.9808000000000007E-5</c:v>
                </c:pt>
                <c:pt idx="12">
                  <c:v>6.8650000000000002E-5</c:v>
                </c:pt>
                <c:pt idx="13">
                  <c:v>6.8200000000000004E-5</c:v>
                </c:pt>
                <c:pt idx="14">
                  <c:v>6.9076000000000001E-5</c:v>
                </c:pt>
                <c:pt idx="15">
                  <c:v>6.622E-5</c:v>
                </c:pt>
                <c:pt idx="16">
                  <c:v>6.8109999999999997E-5</c:v>
                </c:pt>
                <c:pt idx="17">
                  <c:v>6.8109999999999997E-5</c:v>
                </c:pt>
                <c:pt idx="18">
                  <c:v>6.8109999999999997E-5</c:v>
                </c:pt>
              </c:numCache>
            </c:numRef>
          </c:xVal>
          <c:yVal>
            <c:numRef>
              <c:f>Comparison!$J$3:$J$21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52D-9D2A-35A34D66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89016"/>
        <c:axId val="1064590656"/>
      </c:scatterChart>
      <c:valAx>
        <c:axId val="10645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90656"/>
        <c:crosses val="autoZero"/>
        <c:crossBetween val="midCat"/>
      </c:valAx>
      <c:valAx>
        <c:axId val="1064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8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2</xdr:row>
      <xdr:rowOff>41910</xdr:rowOff>
    </xdr:from>
    <xdr:to>
      <xdr:col>24</xdr:col>
      <xdr:colOff>525780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FE1221-315D-46A1-AD4E-7EA101CB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16</xdr:row>
      <xdr:rowOff>87630</xdr:rowOff>
    </xdr:from>
    <xdr:to>
      <xdr:col>24</xdr:col>
      <xdr:colOff>563880</xdr:colOff>
      <xdr:row>30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2202BD-7436-4E54-9294-F1CF97B46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30</xdr:row>
      <xdr:rowOff>148590</xdr:rowOff>
    </xdr:from>
    <xdr:to>
      <xdr:col>24</xdr:col>
      <xdr:colOff>571500</xdr:colOff>
      <xdr:row>44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C2D1F9-9CE1-40FE-A9AD-70B6535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18</xdr:row>
      <xdr:rowOff>78105</xdr:rowOff>
    </xdr:from>
    <xdr:to>
      <xdr:col>11</xdr:col>
      <xdr:colOff>754380</xdr:colOff>
      <xdr:row>32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D439C8-B01C-4457-A76B-C436BFADE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19050</xdr:rowOff>
    </xdr:from>
    <xdr:to>
      <xdr:col>1</xdr:col>
      <xdr:colOff>1476375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610BDB-F36D-4902-9F80-BFA2C449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23</xdr:row>
      <xdr:rowOff>28576</xdr:rowOff>
    </xdr:from>
    <xdr:to>
      <xdr:col>3</xdr:col>
      <xdr:colOff>1543049</xdr:colOff>
      <xdr:row>37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A498EC-F57E-4CC1-AB9B-DC1E6FA5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23</xdr:row>
      <xdr:rowOff>19050</xdr:rowOff>
    </xdr:from>
    <xdr:to>
      <xdr:col>5</xdr:col>
      <xdr:colOff>1219200</xdr:colOff>
      <xdr:row>37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30F51B-94B0-4727-BCF7-1BFA6521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733425</xdr:colOff>
      <xdr:row>22</xdr:row>
      <xdr:rowOff>142875</xdr:rowOff>
    </xdr:from>
    <xdr:to>
      <xdr:col>7</xdr:col>
      <xdr:colOff>1066800</xdr:colOff>
      <xdr:row>36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A7FF41-68BF-40CC-9A5E-2C271BDB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104775</xdr:colOff>
      <xdr:row>23</xdr:row>
      <xdr:rowOff>28575</xdr:rowOff>
    </xdr:from>
    <xdr:to>
      <xdr:col>9</xdr:col>
      <xdr:colOff>1719262</xdr:colOff>
      <xdr:row>37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F8516B8-3E99-462A-9A71-2D5858C0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23</xdr:row>
      <xdr:rowOff>114300</xdr:rowOff>
    </xdr:from>
    <xdr:to>
      <xdr:col>12</xdr:col>
      <xdr:colOff>114300</xdr:colOff>
      <xdr:row>35</xdr:row>
      <xdr:rowOff>180975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50BDB33-7667-423B-9302-F59C9B12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357187</xdr:colOff>
      <xdr:row>23</xdr:row>
      <xdr:rowOff>95250</xdr:rowOff>
    </xdr:from>
    <xdr:to>
      <xdr:col>13</xdr:col>
      <xdr:colOff>1566862</xdr:colOff>
      <xdr:row>37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FFC70B-EF2D-4ABE-B129-B1D46933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Normal="100" workbookViewId="0">
      <selection activeCell="Z13" sqref="Z13"/>
    </sheetView>
  </sheetViews>
  <sheetFormatPr defaultColWidth="8.875" defaultRowHeight="15.75" x14ac:dyDescent="0.25"/>
  <cols>
    <col min="1" max="1" width="26.5" style="3" customWidth="1"/>
    <col min="2" max="2" width="20.75" style="3" customWidth="1"/>
    <col min="3" max="3" width="18.125" style="3" customWidth="1"/>
    <col min="4" max="4" width="17.375" style="3" customWidth="1"/>
    <col min="5" max="5" width="21.5" style="3" customWidth="1"/>
    <col min="6" max="7" width="17.25" style="3" customWidth="1"/>
    <col min="8" max="8" width="17" style="3" customWidth="1"/>
    <col min="9" max="9" width="13" style="3" customWidth="1"/>
    <col min="10" max="10" width="11.125" style="3" customWidth="1"/>
    <col min="11" max="11" width="10.875" style="3" customWidth="1"/>
    <col min="12" max="12" width="20.625" style="3" customWidth="1"/>
    <col min="13" max="13" width="16" style="3" customWidth="1"/>
    <col min="14" max="14" width="38.25" style="3" customWidth="1"/>
    <col min="15" max="15" width="13.125" style="3" customWidth="1"/>
    <col min="16" max="16" width="17.5" style="3" customWidth="1"/>
    <col min="17" max="17" width="14.625" style="3" customWidth="1"/>
    <col min="18" max="16384" width="8.875" style="3"/>
  </cols>
  <sheetData>
    <row r="1" spans="1:17" ht="18.75" x14ac:dyDescent="0.3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93</v>
      </c>
      <c r="H1" s="3" t="s">
        <v>5</v>
      </c>
      <c r="I1" s="3" t="s">
        <v>6</v>
      </c>
      <c r="J1" s="5" t="s">
        <v>32</v>
      </c>
      <c r="K1" s="3" t="s">
        <v>7</v>
      </c>
      <c r="L1" s="3" t="s">
        <v>8</v>
      </c>
      <c r="M1" s="3" t="s">
        <v>24</v>
      </c>
      <c r="N1" s="3" t="s">
        <v>9</v>
      </c>
      <c r="O1" s="3" t="s">
        <v>10</v>
      </c>
      <c r="P1" s="3" t="s">
        <v>94</v>
      </c>
      <c r="Q1" s="5" t="s">
        <v>33</v>
      </c>
    </row>
    <row r="2" spans="1:17" ht="18.75" x14ac:dyDescent="0.25">
      <c r="B2" s="3" t="s">
        <v>13</v>
      </c>
      <c r="C2" s="3" t="s">
        <v>15</v>
      </c>
      <c r="D2" s="3" t="s">
        <v>15</v>
      </c>
      <c r="E2" s="3" t="s">
        <v>15</v>
      </c>
      <c r="F2" s="3" t="s">
        <v>14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25</v>
      </c>
      <c r="N2" s="3" t="s">
        <v>35</v>
      </c>
      <c r="O2" s="3" t="s">
        <v>15</v>
      </c>
      <c r="P2" s="3" t="s">
        <v>34</v>
      </c>
      <c r="Q2" s="3" t="s">
        <v>34</v>
      </c>
    </row>
    <row r="3" spans="1:17" x14ac:dyDescent="0.25">
      <c r="A3" s="3" t="s">
        <v>12</v>
      </c>
      <c r="B3" s="3">
        <f>31.43/100/32.12/60/60</f>
        <v>2.7181057146810573E-6</v>
      </c>
      <c r="C3" s="3">
        <v>1.9E-2</v>
      </c>
      <c r="D3" s="3">
        <v>1.9E-2</v>
      </c>
      <c r="E3" s="3">
        <v>0.4</v>
      </c>
      <c r="F3" s="3">
        <f>H3/D3/0.557</f>
        <v>0.17008409713691769</v>
      </c>
      <c r="H3" s="3">
        <v>1.8E-3</v>
      </c>
      <c r="I3" s="3">
        <v>1.61</v>
      </c>
      <c r="J3" s="3">
        <v>0.3</v>
      </c>
      <c r="N3" s="3">
        <f>B3/E3</f>
        <v>6.7952642867026429E-6</v>
      </c>
      <c r="O3" s="3">
        <v>1.2999999999999999E-2</v>
      </c>
      <c r="P3" s="3">
        <f>ROUND((C3-D3)/D3,2)+1</f>
        <v>1</v>
      </c>
      <c r="Q3" s="3">
        <f>ROUND(N3*O3/F3,7)</f>
        <v>4.9999999999999998E-7</v>
      </c>
    </row>
    <row r="4" spans="1:17" x14ac:dyDescent="0.25">
      <c r="A4" s="3" t="s">
        <v>22</v>
      </c>
      <c r="B4" s="3">
        <f>N4*E4</f>
        <v>1.2379227053140096E-5</v>
      </c>
      <c r="C4" s="3">
        <v>1.4999999999999999E-2</v>
      </c>
      <c r="D4" s="3">
        <v>1.4999999999999999E-2</v>
      </c>
      <c r="E4" s="3">
        <v>0.3</v>
      </c>
      <c r="F4" s="3">
        <v>0.22</v>
      </c>
      <c r="H4" s="3">
        <v>1E-3</v>
      </c>
      <c r="J4" s="3">
        <v>0.51</v>
      </c>
      <c r="N4" s="3">
        <v>4.1264090177133654E-5</v>
      </c>
      <c r="O4" s="3">
        <v>1.4999999999999999E-2</v>
      </c>
      <c r="P4" s="3">
        <f t="shared" ref="P4:P49" si="0">ROUND((C4-D4)/D4,2)+1</f>
        <v>1</v>
      </c>
      <c r="Q4" s="3">
        <f t="shared" ref="Q4:Q33" si="1">ROUND(N4*O4/F4,7)</f>
        <v>2.7999999999999999E-6</v>
      </c>
    </row>
    <row r="5" spans="1:17" x14ac:dyDescent="0.25">
      <c r="B5" s="3">
        <f t="shared" ref="B5:B6" si="2">N5*E5</f>
        <v>1.5398550724637681E-5</v>
      </c>
      <c r="C5" s="3">
        <v>1.4999999999999999E-2</v>
      </c>
      <c r="D5" s="3">
        <v>1.4999999999999999E-2</v>
      </c>
      <c r="E5" s="3">
        <v>0.3</v>
      </c>
      <c r="F5" s="3">
        <v>0.22</v>
      </c>
      <c r="H5" s="3">
        <v>1E-3</v>
      </c>
      <c r="J5" s="3">
        <v>0.51</v>
      </c>
      <c r="N5" s="3">
        <v>5.1328502415458941E-5</v>
      </c>
      <c r="O5" s="3">
        <v>1.4999999999999999E-2</v>
      </c>
      <c r="P5" s="3">
        <f t="shared" si="0"/>
        <v>1</v>
      </c>
      <c r="Q5" s="3">
        <f t="shared" si="1"/>
        <v>3.4999999999999999E-6</v>
      </c>
    </row>
    <row r="6" spans="1:17" x14ac:dyDescent="0.25">
      <c r="B6" s="3">
        <f t="shared" si="2"/>
        <v>1.8115942028985507E-5</v>
      </c>
      <c r="C6" s="3">
        <v>1.4999999999999999E-2</v>
      </c>
      <c r="D6" s="3">
        <v>1.4999999999999999E-2</v>
      </c>
      <c r="E6" s="3">
        <v>0.3</v>
      </c>
      <c r="F6" s="3">
        <v>0.22</v>
      </c>
      <c r="H6" s="3">
        <v>1E-3</v>
      </c>
      <c r="J6" s="3">
        <v>0.51</v>
      </c>
      <c r="N6" s="3">
        <v>6.0386473429951696E-5</v>
      </c>
      <c r="O6" s="3">
        <v>1.4999999999999999E-2</v>
      </c>
      <c r="P6" s="3">
        <f t="shared" si="0"/>
        <v>1</v>
      </c>
      <c r="Q6" s="3">
        <f t="shared" si="1"/>
        <v>4.0999999999999997E-6</v>
      </c>
    </row>
    <row r="7" spans="1:17" x14ac:dyDescent="0.25">
      <c r="A7" s="3" t="s">
        <v>21</v>
      </c>
      <c r="B7" s="3">
        <v>4.0000000000000003E-5</v>
      </c>
      <c r="C7" s="3">
        <v>0.04</v>
      </c>
      <c r="D7" s="3">
        <v>0.01</v>
      </c>
      <c r="E7" s="3">
        <v>0.1</v>
      </c>
      <c r="F7" s="3">
        <f>H7/D7/E7</f>
        <v>0.25</v>
      </c>
      <c r="H7" s="3">
        <v>2.5000000000000001E-4</v>
      </c>
      <c r="I7" s="3">
        <v>1.57</v>
      </c>
      <c r="N7" s="3">
        <f>B7/E7</f>
        <v>4.0000000000000002E-4</v>
      </c>
      <c r="O7" s="3">
        <v>0.04</v>
      </c>
      <c r="P7" s="3">
        <f t="shared" si="0"/>
        <v>4</v>
      </c>
      <c r="Q7" s="3">
        <f t="shared" si="1"/>
        <v>6.3999999999999997E-5</v>
      </c>
    </row>
    <row r="8" spans="1:17" x14ac:dyDescent="0.25">
      <c r="B8" s="3">
        <v>1E-4</v>
      </c>
      <c r="C8" s="3">
        <v>0.04</v>
      </c>
      <c r="D8" s="3">
        <v>0.01</v>
      </c>
      <c r="E8" s="3">
        <v>0.1</v>
      </c>
      <c r="F8" s="3">
        <f t="shared" ref="F8:F14" si="3">H8/D8/E8</f>
        <v>0.67</v>
      </c>
      <c r="H8" s="3">
        <v>6.7000000000000002E-4</v>
      </c>
      <c r="I8" s="3">
        <v>1.58</v>
      </c>
      <c r="N8" s="3">
        <f t="shared" ref="N8:N33" si="4">B8/E8</f>
        <v>1E-3</v>
      </c>
      <c r="O8" s="3">
        <v>0.04</v>
      </c>
      <c r="P8" s="3">
        <f t="shared" si="0"/>
        <v>4</v>
      </c>
      <c r="Q8" s="3">
        <f t="shared" si="1"/>
        <v>5.9700000000000001E-5</v>
      </c>
    </row>
    <row r="9" spans="1:17" x14ac:dyDescent="0.25">
      <c r="B9" s="3">
        <v>2.0000000000000001E-4</v>
      </c>
      <c r="C9" s="3">
        <v>0.04</v>
      </c>
      <c r="D9" s="3">
        <v>0.01</v>
      </c>
      <c r="E9" s="3">
        <v>0.1</v>
      </c>
      <c r="F9" s="3">
        <f t="shared" si="3"/>
        <v>1.0799999999999998</v>
      </c>
      <c r="H9" s="3">
        <v>1.08E-3</v>
      </c>
      <c r="I9" s="3">
        <v>1.56</v>
      </c>
      <c r="N9" s="3">
        <f t="shared" si="4"/>
        <v>2E-3</v>
      </c>
      <c r="O9" s="3">
        <v>0.04</v>
      </c>
      <c r="P9" s="3">
        <f t="shared" si="0"/>
        <v>4</v>
      </c>
      <c r="Q9" s="3">
        <f t="shared" si="1"/>
        <v>7.4099999999999999E-5</v>
      </c>
    </row>
    <row r="10" spans="1:17" x14ac:dyDescent="0.25">
      <c r="A10" s="3" t="s">
        <v>23</v>
      </c>
      <c r="B10" s="3">
        <v>1.1975603429146495E-4</v>
      </c>
      <c r="C10" s="3">
        <v>0.2</v>
      </c>
      <c r="D10" s="3">
        <v>0.05</v>
      </c>
      <c r="E10" s="3">
        <v>0.15</v>
      </c>
      <c r="F10" s="3">
        <f t="shared" si="3"/>
        <v>0.53333333333333333</v>
      </c>
      <c r="H10" s="3">
        <v>4.0000000000000001E-3</v>
      </c>
      <c r="J10" s="3" t="s">
        <v>27</v>
      </c>
      <c r="K10" s="3">
        <v>5.76</v>
      </c>
      <c r="L10" s="3">
        <v>34.299999999999997</v>
      </c>
      <c r="M10" s="3">
        <v>39.6</v>
      </c>
      <c r="N10" s="3">
        <f t="shared" si="4"/>
        <v>7.983735619430997E-4</v>
      </c>
      <c r="O10" s="3">
        <v>7.0000000000000007E-2</v>
      </c>
      <c r="P10" s="3">
        <f t="shared" si="0"/>
        <v>4</v>
      </c>
      <c r="Q10" s="3">
        <f t="shared" si="1"/>
        <v>1.048E-4</v>
      </c>
    </row>
    <row r="11" spans="1:17" x14ac:dyDescent="0.25">
      <c r="B11" s="3">
        <v>1.8827648958027595E-4</v>
      </c>
      <c r="C11" s="3">
        <v>0.15</v>
      </c>
      <c r="D11" s="3">
        <v>0.03</v>
      </c>
      <c r="E11" s="3">
        <v>0.15</v>
      </c>
      <c r="F11" s="3">
        <f t="shared" si="3"/>
        <v>0.53333333333333333</v>
      </c>
      <c r="H11" s="3">
        <v>2.3999999999999998E-3</v>
      </c>
      <c r="J11" s="3" t="s">
        <v>26</v>
      </c>
      <c r="K11" s="3">
        <v>5.76</v>
      </c>
      <c r="L11" s="3">
        <v>34.299999999999997</v>
      </c>
      <c r="M11" s="3">
        <v>39.6</v>
      </c>
      <c r="N11" s="3">
        <f t="shared" si="4"/>
        <v>1.2551765972018396E-3</v>
      </c>
      <c r="O11" s="3">
        <v>0.06</v>
      </c>
      <c r="P11" s="3">
        <f t="shared" si="0"/>
        <v>5</v>
      </c>
      <c r="Q11" s="3">
        <f t="shared" si="1"/>
        <v>1.4119999999999999E-4</v>
      </c>
    </row>
    <row r="12" spans="1:17" x14ac:dyDescent="0.25">
      <c r="B12" s="3">
        <v>8.4621559719064935E-5</v>
      </c>
      <c r="C12" s="3">
        <v>0.15</v>
      </c>
      <c r="D12" s="3">
        <v>0.05</v>
      </c>
      <c r="E12" s="3">
        <v>0.15</v>
      </c>
      <c r="F12" s="3">
        <f t="shared" si="3"/>
        <v>0.53333333333333333</v>
      </c>
      <c r="H12" s="3">
        <v>4.0000000000000001E-3</v>
      </c>
      <c r="J12" s="3" t="s">
        <v>26</v>
      </c>
      <c r="K12" s="3">
        <v>6.41</v>
      </c>
      <c r="L12" s="3">
        <v>41.3</v>
      </c>
      <c r="M12" s="3">
        <v>32.200000000000003</v>
      </c>
      <c r="N12" s="3">
        <f t="shared" si="4"/>
        <v>5.6414373146043294E-4</v>
      </c>
      <c r="O12" s="3">
        <v>0.05</v>
      </c>
      <c r="P12" s="3">
        <f t="shared" si="0"/>
        <v>3</v>
      </c>
      <c r="Q12" s="3">
        <f t="shared" si="1"/>
        <v>5.2899999999999998E-5</v>
      </c>
    </row>
    <row r="13" spans="1:17" x14ac:dyDescent="0.25">
      <c r="B13" s="3">
        <v>1.254545333333333E-4</v>
      </c>
      <c r="C13" s="3">
        <v>0.15</v>
      </c>
      <c r="D13" s="3">
        <v>0.06</v>
      </c>
      <c r="E13" s="3">
        <v>0.15</v>
      </c>
      <c r="F13" s="3">
        <f t="shared" si="3"/>
        <v>0.64444444444444449</v>
      </c>
      <c r="H13" s="3">
        <v>5.7999999999999996E-3</v>
      </c>
      <c r="J13" s="3" t="s">
        <v>26</v>
      </c>
      <c r="K13" s="3">
        <v>6.41</v>
      </c>
      <c r="L13" s="3">
        <v>41.3</v>
      </c>
      <c r="M13" s="3">
        <v>32.200000000000003</v>
      </c>
      <c r="N13" s="3">
        <f t="shared" si="4"/>
        <v>8.3636355555555535E-4</v>
      </c>
      <c r="O13" s="3">
        <v>0.05</v>
      </c>
      <c r="P13" s="3">
        <f t="shared" si="0"/>
        <v>2.5</v>
      </c>
      <c r="Q13" s="3">
        <f t="shared" si="1"/>
        <v>6.4900000000000005E-5</v>
      </c>
    </row>
    <row r="14" spans="1:17" x14ac:dyDescent="0.25">
      <c r="B14" s="3">
        <v>8.4134030237190509E-5</v>
      </c>
      <c r="C14" s="3">
        <v>0.15</v>
      </c>
      <c r="D14" s="3">
        <v>0.06</v>
      </c>
      <c r="E14" s="3">
        <v>0.15</v>
      </c>
      <c r="F14" s="3">
        <f t="shared" si="3"/>
        <v>0.71111111111111114</v>
      </c>
      <c r="H14" s="3">
        <v>6.4000000000000003E-3</v>
      </c>
      <c r="J14" s="3" t="s">
        <v>26</v>
      </c>
      <c r="K14" s="3">
        <v>5.37</v>
      </c>
      <c r="L14" s="3">
        <v>39.799999999999997</v>
      </c>
      <c r="M14" s="3">
        <v>48</v>
      </c>
      <c r="N14" s="3">
        <f t="shared" si="4"/>
        <v>5.6089353491460341E-4</v>
      </c>
      <c r="O14" s="3">
        <v>0.06</v>
      </c>
      <c r="P14" s="3">
        <f t="shared" si="0"/>
        <v>2.5</v>
      </c>
      <c r="Q14" s="3">
        <f t="shared" si="1"/>
        <v>4.7299999999999998E-5</v>
      </c>
    </row>
    <row r="15" spans="1:17" x14ac:dyDescent="0.25">
      <c r="A15" s="3" t="s">
        <v>29</v>
      </c>
      <c r="B15" s="3">
        <f>9.25/1000/1.5/0.2*2/1610</f>
        <v>3.8302277432712214E-5</v>
      </c>
      <c r="C15" s="3">
        <v>0.2</v>
      </c>
      <c r="D15" s="3">
        <v>0.11</v>
      </c>
      <c r="E15" s="3">
        <v>0.55000000000000004</v>
      </c>
      <c r="F15" s="3">
        <v>0.65</v>
      </c>
      <c r="H15" s="3">
        <v>4.4999999999999998E-2</v>
      </c>
      <c r="I15" s="3">
        <v>1.61</v>
      </c>
      <c r="N15" s="3">
        <f t="shared" si="4"/>
        <v>6.9640504423113106E-5</v>
      </c>
      <c r="O15" s="3">
        <v>0.05</v>
      </c>
      <c r="P15" s="3">
        <f t="shared" si="0"/>
        <v>1.8199999999999998</v>
      </c>
      <c r="Q15" s="3">
        <f t="shared" si="1"/>
        <v>5.4E-6</v>
      </c>
    </row>
    <row r="16" spans="1:17" x14ac:dyDescent="0.25">
      <c r="B16" s="3">
        <f>9.25/1000/1.5/0.2*2/1610</f>
        <v>3.8302277432712214E-5</v>
      </c>
      <c r="C16" s="3">
        <v>0.2</v>
      </c>
      <c r="D16" s="3">
        <v>0.13</v>
      </c>
      <c r="E16" s="3">
        <v>0.55000000000000004</v>
      </c>
      <c r="F16" s="3">
        <v>0.77</v>
      </c>
      <c r="H16" s="3">
        <v>0.06</v>
      </c>
      <c r="I16" s="3">
        <v>1.61</v>
      </c>
      <c r="N16" s="3">
        <f t="shared" si="4"/>
        <v>6.9640504423113106E-5</v>
      </c>
      <c r="O16" s="3">
        <v>0.05</v>
      </c>
      <c r="P16" s="3">
        <f t="shared" si="0"/>
        <v>1.54</v>
      </c>
      <c r="Q16" s="3">
        <f t="shared" si="1"/>
        <v>4.5000000000000001E-6</v>
      </c>
    </row>
    <row r="17" spans="1:17" x14ac:dyDescent="0.25">
      <c r="A17" s="3" t="s">
        <v>30</v>
      </c>
      <c r="B17" s="4">
        <f>(1.54-0.8)/31/60/60</f>
        <v>6.6308243727598572E-6</v>
      </c>
      <c r="C17" s="3">
        <v>0.15</v>
      </c>
      <c r="D17" s="3">
        <v>0.11</v>
      </c>
      <c r="E17" s="3">
        <v>0.8</v>
      </c>
      <c r="F17" s="3">
        <v>0.35</v>
      </c>
      <c r="H17" s="3">
        <f>F17*E17*D17</f>
        <v>3.0799999999999998E-2</v>
      </c>
      <c r="J17" s="3">
        <v>1</v>
      </c>
      <c r="N17" s="3">
        <f t="shared" si="4"/>
        <v>8.2885304659498215E-6</v>
      </c>
      <c r="O17" s="3">
        <v>0.15</v>
      </c>
      <c r="P17" s="3">
        <f t="shared" si="0"/>
        <v>1.3599999999999999</v>
      </c>
      <c r="Q17" s="3">
        <f t="shared" si="1"/>
        <v>3.5999999999999998E-6</v>
      </c>
    </row>
    <row r="18" spans="1:17" x14ac:dyDescent="0.25">
      <c r="A18" s="3" t="s">
        <v>31</v>
      </c>
      <c r="B18" s="4">
        <v>1.1411999999999998E-4</v>
      </c>
      <c r="C18" s="3">
        <v>0.6</v>
      </c>
      <c r="D18" s="3">
        <v>0.3</v>
      </c>
      <c r="E18" s="3">
        <v>1.2</v>
      </c>
      <c r="F18" s="3">
        <v>0.35</v>
      </c>
      <c r="H18" s="3">
        <f t="shared" ref="H18:H21" si="5">F18*E18*D18</f>
        <v>0.126</v>
      </c>
      <c r="I18" s="3">
        <v>1.86</v>
      </c>
      <c r="J18" s="3">
        <v>7.4999999999999997E-2</v>
      </c>
      <c r="K18" s="3">
        <v>2.2000000000000002</v>
      </c>
      <c r="L18" s="3">
        <v>31.06</v>
      </c>
      <c r="M18" s="3">
        <v>22.79</v>
      </c>
      <c r="N18" s="3">
        <f t="shared" si="4"/>
        <v>9.5099999999999994E-5</v>
      </c>
      <c r="O18" s="3">
        <v>0.1</v>
      </c>
      <c r="P18" s="3">
        <f t="shared" si="0"/>
        <v>2</v>
      </c>
      <c r="Q18" s="3">
        <f t="shared" si="1"/>
        <v>2.72E-5</v>
      </c>
    </row>
    <row r="19" spans="1:17" x14ac:dyDescent="0.25">
      <c r="B19" s="4">
        <v>1.284E-4</v>
      </c>
      <c r="C19" s="3">
        <v>0.6</v>
      </c>
      <c r="D19" s="3">
        <v>0.15</v>
      </c>
      <c r="E19" s="3">
        <v>1.2</v>
      </c>
      <c r="F19" s="3">
        <v>0.35</v>
      </c>
      <c r="H19" s="3">
        <f t="shared" si="5"/>
        <v>6.3E-2</v>
      </c>
      <c r="I19" s="3">
        <v>1.84</v>
      </c>
      <c r="J19" s="3">
        <v>7.4999999999999997E-2</v>
      </c>
      <c r="K19" s="3">
        <v>3.8</v>
      </c>
      <c r="L19" s="3">
        <v>32.86</v>
      </c>
      <c r="M19" s="3">
        <v>21.02</v>
      </c>
      <c r="N19" s="3">
        <f t="shared" si="4"/>
        <v>1.0700000000000001E-4</v>
      </c>
      <c r="O19" s="3">
        <v>0.2</v>
      </c>
      <c r="P19" s="3">
        <f t="shared" si="0"/>
        <v>4</v>
      </c>
      <c r="Q19" s="3">
        <f t="shared" si="1"/>
        <v>6.1099999999999994E-5</v>
      </c>
    </row>
    <row r="20" spans="1:17" x14ac:dyDescent="0.25">
      <c r="B20" s="4">
        <v>5.0519999999999997E-5</v>
      </c>
      <c r="C20" s="3">
        <v>0.4</v>
      </c>
      <c r="D20" s="3">
        <v>0.15</v>
      </c>
      <c r="E20" s="3">
        <v>1.2</v>
      </c>
      <c r="F20" s="3">
        <v>0.35</v>
      </c>
      <c r="H20" s="3">
        <f t="shared" si="5"/>
        <v>6.3E-2</v>
      </c>
      <c r="I20" s="3">
        <v>1.88</v>
      </c>
      <c r="J20" s="3">
        <v>7.4999999999999997E-2</v>
      </c>
      <c r="M20" s="3">
        <v>22.91</v>
      </c>
      <c r="N20" s="3">
        <f t="shared" si="4"/>
        <v>4.21E-5</v>
      </c>
      <c r="O20" s="3">
        <v>0.1</v>
      </c>
      <c r="P20" s="3">
        <f t="shared" si="0"/>
        <v>2.67</v>
      </c>
      <c r="Q20" s="3">
        <f t="shared" si="1"/>
        <v>1.2E-5</v>
      </c>
    </row>
    <row r="21" spans="1:17" x14ac:dyDescent="0.25">
      <c r="B21" s="4">
        <v>3.0960000000000002E-5</v>
      </c>
      <c r="C21" s="3">
        <v>0.2</v>
      </c>
      <c r="D21" s="3">
        <v>0.15</v>
      </c>
      <c r="E21" s="3">
        <v>1.2</v>
      </c>
      <c r="F21" s="3">
        <v>0.35</v>
      </c>
      <c r="H21" s="3">
        <f t="shared" si="5"/>
        <v>6.3E-2</v>
      </c>
      <c r="I21" s="3">
        <v>1.83</v>
      </c>
      <c r="J21" s="3">
        <v>7.4999999999999997E-2</v>
      </c>
      <c r="M21" s="3">
        <v>21.5</v>
      </c>
      <c r="N21" s="3">
        <f t="shared" si="4"/>
        <v>2.5800000000000004E-5</v>
      </c>
      <c r="O21" s="3">
        <v>0.05</v>
      </c>
      <c r="P21" s="3">
        <f t="shared" si="0"/>
        <v>1.33</v>
      </c>
      <c r="Q21" s="3">
        <f t="shared" si="1"/>
        <v>3.7000000000000002E-6</v>
      </c>
    </row>
    <row r="22" spans="1:17" x14ac:dyDescent="0.25">
      <c r="A22" s="3" t="s">
        <v>28</v>
      </c>
      <c r="B22" s="3">
        <f>1.6/100/100/60</f>
        <v>2.6666666666666668E-6</v>
      </c>
      <c r="C22" s="3">
        <v>0.04</v>
      </c>
      <c r="D22" s="3">
        <f>H22/F22/E22</f>
        <v>7.8779857566017505E-4</v>
      </c>
      <c r="E22" s="3">
        <v>4.1000000000000002E-2</v>
      </c>
      <c r="F22" s="3">
        <v>0.51600000000000001</v>
      </c>
      <c r="H22" s="3">
        <v>1.6666666666666667E-5</v>
      </c>
      <c r="I22" s="3">
        <v>1.1000000000000001</v>
      </c>
      <c r="N22" s="3">
        <f t="shared" si="4"/>
        <v>6.504065040650406E-5</v>
      </c>
      <c r="O22" s="3">
        <v>1.2E-2</v>
      </c>
      <c r="P22" s="3">
        <f t="shared" si="0"/>
        <v>50.77</v>
      </c>
      <c r="Q22" s="3">
        <f t="shared" si="1"/>
        <v>1.5E-6</v>
      </c>
    </row>
    <row r="23" spans="1:17" x14ac:dyDescent="0.25">
      <c r="B23" s="3">
        <f>6.6/100/60/100</f>
        <v>1.1000000000000001E-5</v>
      </c>
      <c r="C23" s="3">
        <v>0.04</v>
      </c>
      <c r="D23" s="3">
        <f t="shared" ref="D23:D33" si="6">H23/F23/E23</f>
        <v>1.1462631820265935E-3</v>
      </c>
      <c r="E23" s="3">
        <v>0.04</v>
      </c>
      <c r="F23" s="3">
        <v>0.72699999999999998</v>
      </c>
      <c r="H23" s="3">
        <v>3.3333333333333335E-5</v>
      </c>
      <c r="I23" s="3">
        <v>1.1000000000000001</v>
      </c>
      <c r="N23" s="3">
        <f t="shared" si="4"/>
        <v>2.7500000000000002E-4</v>
      </c>
      <c r="O23" s="3">
        <v>1.2999999999999999E-2</v>
      </c>
      <c r="P23" s="3">
        <f t="shared" si="0"/>
        <v>34.9</v>
      </c>
      <c r="Q23" s="3">
        <f t="shared" si="1"/>
        <v>4.8999999999999997E-6</v>
      </c>
    </row>
    <row r="24" spans="1:17" x14ac:dyDescent="0.25">
      <c r="B24" s="3">
        <f>1.5/10/60/100</f>
        <v>2.5000000000000001E-5</v>
      </c>
      <c r="C24" s="3">
        <v>0.04</v>
      </c>
      <c r="D24" s="3">
        <f t="shared" si="6"/>
        <v>1.5899767863389194E-3</v>
      </c>
      <c r="E24" s="3">
        <v>4.1000000000000002E-2</v>
      </c>
      <c r="F24" s="3">
        <v>0.76700000000000002</v>
      </c>
      <c r="H24" s="3">
        <v>5.0000000000000002E-5</v>
      </c>
      <c r="I24" s="3">
        <v>1.1000000000000001</v>
      </c>
      <c r="N24" s="3">
        <f t="shared" si="4"/>
        <v>6.0975609756097561E-4</v>
      </c>
      <c r="O24" s="3">
        <v>1.4999999999999999E-2</v>
      </c>
      <c r="P24" s="3">
        <f t="shared" si="0"/>
        <v>25.16</v>
      </c>
      <c r="Q24" s="3">
        <f t="shared" si="1"/>
        <v>1.19E-5</v>
      </c>
    </row>
    <row r="25" spans="1:17" x14ac:dyDescent="0.25">
      <c r="B25" s="3">
        <f>2.8/10/100/60</f>
        <v>4.6666666666666658E-5</v>
      </c>
      <c r="C25" s="3">
        <v>0.04</v>
      </c>
      <c r="D25" s="3">
        <f t="shared" si="6"/>
        <v>2.0938023450586267E-3</v>
      </c>
      <c r="E25" s="3">
        <v>0.04</v>
      </c>
      <c r="F25" s="3">
        <v>0.79600000000000004</v>
      </c>
      <c r="H25" s="3">
        <v>6.666666666666667E-5</v>
      </c>
      <c r="I25" s="3">
        <v>1.1000000000000001</v>
      </c>
      <c r="N25" s="3">
        <f t="shared" si="4"/>
        <v>1.1666666666666663E-3</v>
      </c>
      <c r="O25" s="3">
        <v>1.4999999999999999E-2</v>
      </c>
      <c r="P25" s="3">
        <f t="shared" si="0"/>
        <v>19.100000000000001</v>
      </c>
      <c r="Q25" s="3">
        <f t="shared" si="1"/>
        <v>2.1999999999999999E-5</v>
      </c>
    </row>
    <row r="26" spans="1:17" x14ac:dyDescent="0.25">
      <c r="B26" s="3">
        <f>2.3/100/100/60</f>
        <v>3.8333333333333336E-6</v>
      </c>
      <c r="C26" s="3">
        <v>0.04</v>
      </c>
      <c r="D26" s="3">
        <f t="shared" si="6"/>
        <v>6.9910514541387029E-4</v>
      </c>
      <c r="E26" s="3">
        <v>0.04</v>
      </c>
      <c r="F26" s="3">
        <v>0.59599999999999997</v>
      </c>
      <c r="H26" s="3">
        <v>1.6666666666666667E-5</v>
      </c>
      <c r="I26" s="3">
        <v>1.1000000000000001</v>
      </c>
      <c r="N26" s="3">
        <f t="shared" si="4"/>
        <v>9.5833333333333336E-5</v>
      </c>
      <c r="O26" s="3">
        <v>1.2999999999999999E-2</v>
      </c>
      <c r="P26" s="3">
        <f t="shared" si="0"/>
        <v>57.22</v>
      </c>
      <c r="Q26" s="3">
        <f t="shared" si="1"/>
        <v>2.0999999999999998E-6</v>
      </c>
    </row>
    <row r="27" spans="1:17" x14ac:dyDescent="0.25">
      <c r="B27" s="3">
        <f>6.9/100/60/100</f>
        <v>1.1500000000000002E-5</v>
      </c>
      <c r="C27" s="3">
        <v>0.04</v>
      </c>
      <c r="D27" s="3">
        <f t="shared" si="6"/>
        <v>1.0869092648145733E-3</v>
      </c>
      <c r="E27" s="3">
        <v>4.1000000000000002E-2</v>
      </c>
      <c r="F27" s="3">
        <v>0.748</v>
      </c>
      <c r="H27" s="3">
        <v>3.3333333333333335E-5</v>
      </c>
      <c r="I27" s="3">
        <v>1.1000000000000001</v>
      </c>
      <c r="N27" s="3">
        <f t="shared" si="4"/>
        <v>2.8048780487804881E-4</v>
      </c>
      <c r="O27" s="3">
        <v>1.2999999999999999E-2</v>
      </c>
      <c r="P27" s="3">
        <f t="shared" si="0"/>
        <v>36.799999999999997</v>
      </c>
      <c r="Q27" s="3">
        <f t="shared" si="1"/>
        <v>4.8999999999999997E-6</v>
      </c>
    </row>
    <row r="28" spans="1:17" x14ac:dyDescent="0.25">
      <c r="B28" s="3">
        <f>1.8/10/100/60</f>
        <v>3.0000000000000001E-5</v>
      </c>
      <c r="C28" s="3">
        <v>0.04</v>
      </c>
      <c r="D28" s="3">
        <f t="shared" si="6"/>
        <v>1.6187516187516188E-3</v>
      </c>
      <c r="E28" s="3">
        <v>3.9E-2</v>
      </c>
      <c r="F28" s="3">
        <v>0.79200000000000004</v>
      </c>
      <c r="H28" s="3">
        <v>5.0000000000000002E-5</v>
      </c>
      <c r="I28" s="3">
        <v>1.1000000000000001</v>
      </c>
      <c r="N28" s="3">
        <f t="shared" si="4"/>
        <v>7.6923076923076923E-4</v>
      </c>
      <c r="O28" s="3">
        <v>1.4999999999999999E-2</v>
      </c>
      <c r="P28" s="3">
        <f t="shared" si="0"/>
        <v>24.71</v>
      </c>
      <c r="Q28" s="3">
        <f t="shared" si="1"/>
        <v>1.4600000000000001E-5</v>
      </c>
    </row>
    <row r="29" spans="1:17" x14ac:dyDescent="0.25">
      <c r="B29" s="3">
        <f>3.1/10/60/100</f>
        <v>5.1666666666666664E-5</v>
      </c>
      <c r="C29" s="3">
        <v>0.04</v>
      </c>
      <c r="D29" s="3">
        <f t="shared" si="6"/>
        <v>1.9661623460249114E-3</v>
      </c>
      <c r="E29" s="3">
        <v>4.1000000000000002E-2</v>
      </c>
      <c r="F29" s="3">
        <v>0.82699999999999996</v>
      </c>
      <c r="H29" s="3">
        <v>6.666666666666667E-5</v>
      </c>
      <c r="I29" s="3">
        <v>1.1000000000000001</v>
      </c>
      <c r="N29" s="3">
        <f t="shared" si="4"/>
        <v>1.2601626016260162E-3</v>
      </c>
      <c r="O29" s="3">
        <v>1.4E-2</v>
      </c>
      <c r="P29" s="3">
        <f t="shared" si="0"/>
        <v>20.34</v>
      </c>
      <c r="Q29" s="3">
        <f t="shared" si="1"/>
        <v>2.1299999999999999E-5</v>
      </c>
    </row>
    <row r="30" spans="1:17" x14ac:dyDescent="0.25">
      <c r="B30" s="3">
        <f>1.6/100/60/100</f>
        <v>2.6666666666666668E-6</v>
      </c>
      <c r="C30" s="3">
        <v>0.04</v>
      </c>
      <c r="D30" s="3">
        <f t="shared" si="6"/>
        <v>3.9987204094689698E-4</v>
      </c>
      <c r="E30" s="3">
        <v>0.08</v>
      </c>
      <c r="F30" s="3">
        <v>0.52100000000000002</v>
      </c>
      <c r="H30" s="3">
        <v>1.6666666666666667E-5</v>
      </c>
      <c r="I30" s="3">
        <v>1.1000000000000001</v>
      </c>
      <c r="N30" s="3">
        <f t="shared" si="4"/>
        <v>3.3333333333333335E-5</v>
      </c>
      <c r="O30" s="3">
        <v>1.2E-2</v>
      </c>
      <c r="P30" s="3">
        <f t="shared" si="0"/>
        <v>100.03</v>
      </c>
      <c r="Q30" s="3">
        <f t="shared" si="1"/>
        <v>7.9999999999999996E-7</v>
      </c>
    </row>
    <row r="31" spans="1:17" x14ac:dyDescent="0.25">
      <c r="B31" s="3">
        <f>5.6/100/100/60</f>
        <v>9.3333333333333326E-6</v>
      </c>
      <c r="C31" s="3">
        <v>0.04</v>
      </c>
      <c r="D31" s="3">
        <f t="shared" si="6"/>
        <v>6.1056770585290196E-4</v>
      </c>
      <c r="E31" s="3">
        <v>8.1000000000000003E-2</v>
      </c>
      <c r="F31" s="3">
        <v>0.67400000000000004</v>
      </c>
      <c r="H31" s="3">
        <v>3.3333333333333335E-5</v>
      </c>
      <c r="I31" s="3">
        <v>1.1000000000000001</v>
      </c>
      <c r="N31" s="3">
        <f t="shared" si="4"/>
        <v>1.1522633744855965E-4</v>
      </c>
      <c r="O31" s="3">
        <v>1.2E-2</v>
      </c>
      <c r="P31" s="3">
        <f t="shared" si="0"/>
        <v>65.510000000000005</v>
      </c>
      <c r="Q31" s="3">
        <f t="shared" si="1"/>
        <v>2.0999999999999998E-6</v>
      </c>
    </row>
    <row r="32" spans="1:17" x14ac:dyDescent="0.25">
      <c r="B32" s="3">
        <f>1.4/10/100/60</f>
        <v>2.3333333333333329E-5</v>
      </c>
      <c r="C32" s="3">
        <v>0.04</v>
      </c>
      <c r="D32" s="3">
        <f t="shared" si="6"/>
        <v>8.2453825857519781E-4</v>
      </c>
      <c r="E32" s="3">
        <v>0.08</v>
      </c>
      <c r="F32" s="3">
        <v>0.75800000000000001</v>
      </c>
      <c r="H32" s="3">
        <v>5.0000000000000002E-5</v>
      </c>
      <c r="I32" s="3">
        <v>1.1000000000000001</v>
      </c>
      <c r="N32" s="3">
        <f t="shared" si="4"/>
        <v>2.9166666666666658E-4</v>
      </c>
      <c r="O32" s="3">
        <v>1.4999999999999999E-2</v>
      </c>
      <c r="P32" s="3">
        <f t="shared" si="0"/>
        <v>48.51</v>
      </c>
      <c r="Q32" s="3">
        <f t="shared" si="1"/>
        <v>5.8000000000000004E-6</v>
      </c>
    </row>
    <row r="33" spans="1:17" x14ac:dyDescent="0.25">
      <c r="B33" s="3">
        <f>2.6/100/10/60</f>
        <v>4.3333333333333341E-5</v>
      </c>
      <c r="C33" s="3">
        <v>0.04</v>
      </c>
      <c r="D33" s="3">
        <f t="shared" si="6"/>
        <v>1.0738831615120276E-3</v>
      </c>
      <c r="E33" s="3">
        <v>0.08</v>
      </c>
      <c r="F33" s="3">
        <v>0.77600000000000002</v>
      </c>
      <c r="H33" s="3">
        <v>6.666666666666667E-5</v>
      </c>
      <c r="I33" s="3">
        <v>1.1000000000000001</v>
      </c>
      <c r="N33" s="3">
        <f t="shared" si="4"/>
        <v>5.4166666666666675E-4</v>
      </c>
      <c r="O33" s="3">
        <v>1.4999999999999999E-2</v>
      </c>
      <c r="P33" s="3">
        <f t="shared" si="0"/>
        <v>37.25</v>
      </c>
      <c r="Q33" s="3">
        <f t="shared" si="1"/>
        <v>1.0499999999999999E-5</v>
      </c>
    </row>
    <row r="34" spans="1:17" x14ac:dyDescent="0.25">
      <c r="A34" s="3" t="s">
        <v>89</v>
      </c>
      <c r="B34" s="3">
        <v>1.9620667102681491E-4</v>
      </c>
      <c r="C34" s="3">
        <v>0.9</v>
      </c>
      <c r="D34" s="3">
        <v>0.1</v>
      </c>
      <c r="F34" s="3">
        <v>4.9800000000000001E-3</v>
      </c>
      <c r="G34" s="3">
        <v>0.3</v>
      </c>
      <c r="I34" s="3">
        <v>1.39</v>
      </c>
      <c r="P34" s="3">
        <f t="shared" si="0"/>
        <v>9</v>
      </c>
      <c r="Q34" s="3">
        <f>B34/F34</f>
        <v>3.9398929925063234E-2</v>
      </c>
    </row>
    <row r="35" spans="1:17" x14ac:dyDescent="0.25">
      <c r="B35" s="3">
        <v>2.159675768157404E-4</v>
      </c>
      <c r="C35" s="3">
        <v>0.9</v>
      </c>
      <c r="D35" s="3">
        <v>0.1</v>
      </c>
      <c r="F35" s="3">
        <v>8.8500000000000002E-3</v>
      </c>
      <c r="G35" s="3">
        <v>0.6</v>
      </c>
      <c r="I35" s="3">
        <v>1.39</v>
      </c>
      <c r="P35" s="3">
        <f t="shared" si="0"/>
        <v>9</v>
      </c>
      <c r="Q35" s="3">
        <f t="shared" ref="Q35:Q49" si="7">B35/F35</f>
        <v>2.4403116024377444E-2</v>
      </c>
    </row>
    <row r="36" spans="1:17" x14ac:dyDescent="0.25">
      <c r="B36" s="3">
        <v>4.1744382271960217E-4</v>
      </c>
      <c r="C36" s="3">
        <v>0.9</v>
      </c>
      <c r="D36" s="3">
        <v>0.1</v>
      </c>
      <c r="F36" s="3">
        <v>1.272E-2</v>
      </c>
      <c r="G36" s="3">
        <v>0.9</v>
      </c>
      <c r="I36" s="3">
        <v>1.39</v>
      </c>
      <c r="P36" s="3">
        <f t="shared" si="0"/>
        <v>9</v>
      </c>
      <c r="Q36" s="3">
        <f t="shared" si="7"/>
        <v>3.2817910591163693E-2</v>
      </c>
    </row>
    <row r="37" spans="1:17" x14ac:dyDescent="0.25">
      <c r="B37" s="3">
        <v>4.4726123862814521E-5</v>
      </c>
      <c r="C37" s="3">
        <v>0.6</v>
      </c>
      <c r="D37" s="3">
        <v>0.1</v>
      </c>
      <c r="F37" s="3">
        <v>8.8500000000000002E-3</v>
      </c>
      <c r="G37" s="3">
        <v>0.6</v>
      </c>
      <c r="I37" s="3">
        <v>1.39</v>
      </c>
      <c r="P37" s="3">
        <f t="shared" si="0"/>
        <v>6</v>
      </c>
      <c r="Q37" s="3">
        <f t="shared" si="7"/>
        <v>5.0537993065327145E-3</v>
      </c>
    </row>
    <row r="38" spans="1:17" x14ac:dyDescent="0.25">
      <c r="A38" s="3" t="s">
        <v>90</v>
      </c>
      <c r="B38" s="3">
        <v>1.507050889025138E-5</v>
      </c>
      <c r="C38" s="3">
        <v>0.25</v>
      </c>
      <c r="D38" s="3">
        <v>0.1</v>
      </c>
      <c r="F38" s="3">
        <v>1.0784999999999998E-2</v>
      </c>
      <c r="G38" s="3">
        <v>0.75</v>
      </c>
      <c r="I38" s="3">
        <v>1.7</v>
      </c>
      <c r="P38" s="3">
        <f t="shared" si="0"/>
        <v>2.5</v>
      </c>
      <c r="Q38" s="3">
        <f t="shared" si="7"/>
        <v>1.3973582652064332E-3</v>
      </c>
    </row>
    <row r="39" spans="1:17" x14ac:dyDescent="0.25">
      <c r="B39" s="3">
        <v>1.0752246469833119E-5</v>
      </c>
      <c r="C39" s="3">
        <v>0.25</v>
      </c>
      <c r="D39" s="3">
        <v>0.1</v>
      </c>
      <c r="F39" s="3">
        <v>1.0784999999999998E-2</v>
      </c>
      <c r="G39" s="3">
        <v>0.75</v>
      </c>
      <c r="I39" s="3">
        <v>1.6</v>
      </c>
      <c r="P39" s="3">
        <f t="shared" si="0"/>
        <v>2.5</v>
      </c>
      <c r="Q39" s="3">
        <f t="shared" si="7"/>
        <v>9.9696304773603346E-4</v>
      </c>
    </row>
    <row r="40" spans="1:17" x14ac:dyDescent="0.25">
      <c r="B40" s="3">
        <v>8.1971303805364941E-6</v>
      </c>
      <c r="C40" s="3">
        <v>0.25</v>
      </c>
      <c r="D40" s="3">
        <v>0.1</v>
      </c>
      <c r="F40" s="3">
        <v>1.7235E-2</v>
      </c>
      <c r="G40" s="3">
        <v>1.25</v>
      </c>
      <c r="I40" s="3">
        <v>1.7</v>
      </c>
      <c r="P40" s="3">
        <f t="shared" si="0"/>
        <v>2.5</v>
      </c>
      <c r="Q40" s="3">
        <f t="shared" si="7"/>
        <v>4.7560953760002867E-4</v>
      </c>
    </row>
    <row r="41" spans="1:17" x14ac:dyDescent="0.25">
      <c r="B41" s="3">
        <v>8.4397163120567382E-6</v>
      </c>
      <c r="C41" s="3">
        <v>0.25</v>
      </c>
      <c r="D41" s="3">
        <v>0.1</v>
      </c>
      <c r="F41" s="3">
        <v>1.7235E-2</v>
      </c>
      <c r="G41" s="3">
        <v>1.25</v>
      </c>
      <c r="I41" s="3">
        <v>1.6</v>
      </c>
      <c r="P41" s="3">
        <f t="shared" si="0"/>
        <v>2.5</v>
      </c>
      <c r="Q41" s="3">
        <f t="shared" si="7"/>
        <v>4.8968472944918703E-4</v>
      </c>
    </row>
    <row r="42" spans="1:17" x14ac:dyDescent="0.25">
      <c r="B42" s="3">
        <v>1.9853976531942631E-5</v>
      </c>
      <c r="C42" s="3">
        <v>0.25</v>
      </c>
      <c r="D42" s="3">
        <v>0.1</v>
      </c>
      <c r="F42" s="3">
        <v>2.3684999999999998E-2</v>
      </c>
      <c r="G42" s="3">
        <v>1.75</v>
      </c>
      <c r="I42" s="3">
        <v>1.7</v>
      </c>
      <c r="P42" s="3">
        <f t="shared" si="0"/>
        <v>2.5</v>
      </c>
      <c r="Q42" s="3">
        <f t="shared" si="7"/>
        <v>8.3825106742421924E-4</v>
      </c>
    </row>
    <row r="43" spans="1:17" x14ac:dyDescent="0.25">
      <c r="B43" s="3">
        <v>3.3031111111111112E-5</v>
      </c>
      <c r="C43" s="3">
        <v>0.25</v>
      </c>
      <c r="D43" s="3">
        <v>0.1</v>
      </c>
      <c r="F43" s="3">
        <v>2.3684999999999998E-2</v>
      </c>
      <c r="G43" s="3">
        <v>1.75</v>
      </c>
      <c r="I43" s="3">
        <v>1.6</v>
      </c>
      <c r="P43" s="3">
        <f t="shared" si="0"/>
        <v>2.5</v>
      </c>
      <c r="Q43" s="3">
        <f t="shared" si="7"/>
        <v>1.3946004268993505E-3</v>
      </c>
    </row>
    <row r="44" spans="1:17" x14ac:dyDescent="0.25">
      <c r="A44" s="3" t="s">
        <v>91</v>
      </c>
      <c r="B44" s="3">
        <v>2.7756829227417464E-6</v>
      </c>
      <c r="C44" s="3">
        <v>0.34</v>
      </c>
      <c r="D44" s="3">
        <v>0.1</v>
      </c>
      <c r="F44" s="3">
        <v>5.3670000000000002E-3</v>
      </c>
      <c r="G44" s="3">
        <v>0.33</v>
      </c>
      <c r="I44" s="3">
        <v>1.3</v>
      </c>
      <c r="P44" s="3">
        <f t="shared" si="0"/>
        <v>3.4</v>
      </c>
      <c r="Q44" s="3">
        <f t="shared" si="7"/>
        <v>5.1717587530123832E-4</v>
      </c>
    </row>
    <row r="45" spans="1:17" x14ac:dyDescent="0.25">
      <c r="A45" s="3" t="s">
        <v>92</v>
      </c>
      <c r="B45" s="3">
        <v>1.1996146352747037E-4</v>
      </c>
      <c r="C45" s="3">
        <v>0.9</v>
      </c>
      <c r="D45" s="3">
        <v>0.17</v>
      </c>
      <c r="F45" s="3">
        <v>1.3365E-2</v>
      </c>
      <c r="G45" s="3">
        <v>0.95</v>
      </c>
      <c r="P45" s="3">
        <f t="shared" si="0"/>
        <v>5.29</v>
      </c>
      <c r="Q45" s="3">
        <f t="shared" si="7"/>
        <v>8.9757922579476509E-3</v>
      </c>
    </row>
    <row r="46" spans="1:17" x14ac:dyDescent="0.25">
      <c r="B46" s="3">
        <v>1.4501933977915295E-4</v>
      </c>
      <c r="C46" s="3">
        <v>0.9</v>
      </c>
      <c r="D46" s="3">
        <v>0.17</v>
      </c>
      <c r="F46" s="3">
        <v>1.1430000000000001E-2</v>
      </c>
      <c r="G46" s="3">
        <v>0.8</v>
      </c>
      <c r="P46" s="3">
        <f t="shared" si="0"/>
        <v>5.29</v>
      </c>
      <c r="Q46" s="3">
        <f t="shared" si="7"/>
        <v>1.2687606279890896E-2</v>
      </c>
    </row>
    <row r="47" spans="1:17" x14ac:dyDescent="0.25">
      <c r="B47" s="3">
        <v>1.841206573911835E-4</v>
      </c>
      <c r="C47" s="3">
        <v>0.9</v>
      </c>
      <c r="D47" s="3">
        <v>0.17</v>
      </c>
      <c r="F47" s="3">
        <v>8.8500000000000002E-3</v>
      </c>
      <c r="G47" s="3">
        <v>0.6</v>
      </c>
      <c r="P47" s="3">
        <f t="shared" si="0"/>
        <v>5.29</v>
      </c>
      <c r="Q47" s="3">
        <f t="shared" si="7"/>
        <v>2.0804594055500961E-2</v>
      </c>
    </row>
    <row r="48" spans="1:17" x14ac:dyDescent="0.25">
      <c r="B48" s="3">
        <v>1.4669378573583985E-4</v>
      </c>
      <c r="C48" s="3">
        <v>0.9</v>
      </c>
      <c r="D48" s="3">
        <v>0.17</v>
      </c>
      <c r="F48" s="3">
        <v>7.5599999999999999E-3</v>
      </c>
      <c r="G48" s="3">
        <v>0.5</v>
      </c>
      <c r="P48" s="3">
        <f t="shared" si="0"/>
        <v>5.29</v>
      </c>
      <c r="Q48" s="3">
        <f t="shared" si="7"/>
        <v>1.940393991214813E-2</v>
      </c>
    </row>
    <row r="49" spans="2:17" x14ac:dyDescent="0.25">
      <c r="B49" s="3">
        <v>9.7903730936819183E-5</v>
      </c>
      <c r="C49" s="3">
        <v>0.9</v>
      </c>
      <c r="D49" s="3">
        <v>0.17</v>
      </c>
      <c r="F49" s="3">
        <v>6.2700000000000004E-3</v>
      </c>
      <c r="G49" s="3">
        <v>0.4</v>
      </c>
      <c r="P49" s="3">
        <f t="shared" si="0"/>
        <v>5.29</v>
      </c>
      <c r="Q49" s="3">
        <f t="shared" si="7"/>
        <v>1.5614630133463984E-2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ACE2-B525-4E27-A646-84086EE9CB38}">
  <dimension ref="A1:M136"/>
  <sheetViews>
    <sheetView workbookViewId="0">
      <selection activeCell="F1" sqref="F1:F1048576"/>
    </sheetView>
  </sheetViews>
  <sheetFormatPr defaultColWidth="8.875" defaultRowHeight="15.75" x14ac:dyDescent="0.25"/>
  <cols>
    <col min="1" max="1" width="20.5" style="1" customWidth="1"/>
    <col min="2" max="2" width="29.375" style="1" customWidth="1"/>
    <col min="3" max="3" width="20.25" style="1" customWidth="1"/>
    <col min="4" max="4" width="21" style="3" customWidth="1"/>
    <col min="5" max="5" width="21.125" style="1" customWidth="1"/>
    <col min="6" max="6" width="22.75" style="1" customWidth="1"/>
    <col min="7" max="7" width="17.625" style="1" customWidth="1"/>
    <col min="8" max="8" width="12.125" style="1" customWidth="1"/>
    <col min="9" max="11" width="15.625" style="1" customWidth="1"/>
    <col min="12" max="12" width="10.375" style="1" customWidth="1"/>
    <col min="13" max="13" width="9.25" style="1" customWidth="1"/>
    <col min="14" max="16384" width="8.875" style="1"/>
  </cols>
  <sheetData>
    <row r="1" spans="1:13" s="3" customFormat="1" ht="18.75" x14ac:dyDescent="0.35">
      <c r="A1" s="3" t="s">
        <v>11</v>
      </c>
      <c r="B1" s="3" t="s">
        <v>76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43</v>
      </c>
      <c r="H1" s="5" t="s">
        <v>32</v>
      </c>
      <c r="I1" s="3" t="s">
        <v>44</v>
      </c>
      <c r="J1" s="3" t="s">
        <v>45</v>
      </c>
      <c r="K1" s="3" t="s">
        <v>64</v>
      </c>
      <c r="L1" s="5" t="s">
        <v>101</v>
      </c>
    </row>
    <row r="2" spans="1:13" s="3" customFormat="1" ht="18.75" x14ac:dyDescent="0.25">
      <c r="C2" s="3" t="s">
        <v>15</v>
      </c>
      <c r="D2" s="3" t="s">
        <v>40</v>
      </c>
      <c r="E2" s="3" t="s">
        <v>14</v>
      </c>
      <c r="F2" s="3" t="s">
        <v>16</v>
      </c>
      <c r="G2" s="3" t="s">
        <v>15</v>
      </c>
      <c r="H2" s="3" t="s">
        <v>18</v>
      </c>
      <c r="I2" s="3" t="s">
        <v>15</v>
      </c>
      <c r="J2" s="3" t="s">
        <v>34</v>
      </c>
      <c r="K2" s="3" t="s">
        <v>34</v>
      </c>
      <c r="L2" s="3" t="s">
        <v>35</v>
      </c>
    </row>
    <row r="3" spans="1:13" x14ac:dyDescent="0.25">
      <c r="A3" s="3" t="s">
        <v>37</v>
      </c>
      <c r="B3" s="3" t="s">
        <v>78</v>
      </c>
      <c r="C3" s="1">
        <v>1.4</v>
      </c>
      <c r="D3" s="3">
        <f>19/12</f>
        <v>1.5833333333333333</v>
      </c>
      <c r="E3" s="1">
        <f>C3/D3/365/24/60/60</f>
        <v>2.8038131859328684E-8</v>
      </c>
      <c r="F3" s="1">
        <v>0.18</v>
      </c>
      <c r="G3" s="1">
        <v>1</v>
      </c>
      <c r="H3" s="1">
        <v>1.2</v>
      </c>
      <c r="I3" s="1">
        <v>3</v>
      </c>
      <c r="J3" s="1">
        <v>1.6E-2</v>
      </c>
      <c r="M3" s="1">
        <v>2</v>
      </c>
    </row>
    <row r="4" spans="1:13" x14ac:dyDescent="0.25">
      <c r="B4" s="1">
        <v>2</v>
      </c>
      <c r="C4" s="1">
        <v>0.8</v>
      </c>
      <c r="D4" s="3">
        <f t="shared" ref="D4:D10" si="0">19/12</f>
        <v>1.5833333333333333</v>
      </c>
      <c r="E4" s="1">
        <f t="shared" ref="E4:E10" si="1">C4/D4/365/24/60/60</f>
        <v>1.6021789633902108E-8</v>
      </c>
      <c r="F4" s="1">
        <v>0.18</v>
      </c>
      <c r="G4" s="1">
        <v>1</v>
      </c>
      <c r="H4" s="1">
        <v>1.2</v>
      </c>
      <c r="I4" s="1">
        <v>3.9</v>
      </c>
      <c r="J4" s="1">
        <v>1.6E-2</v>
      </c>
      <c r="M4" s="1">
        <v>2</v>
      </c>
    </row>
    <row r="5" spans="1:13" x14ac:dyDescent="0.25">
      <c r="B5" s="1">
        <v>3</v>
      </c>
      <c r="C5" s="1">
        <v>2</v>
      </c>
      <c r="D5" s="3">
        <f t="shared" si="0"/>
        <v>1.5833333333333333</v>
      </c>
      <c r="E5" s="1">
        <f t="shared" si="1"/>
        <v>4.005447408475527E-8</v>
      </c>
      <c r="F5" s="1">
        <v>0.18</v>
      </c>
      <c r="G5" s="1">
        <v>1</v>
      </c>
      <c r="H5" s="1">
        <v>1.2</v>
      </c>
      <c r="I5" s="1">
        <v>4.5</v>
      </c>
      <c r="J5" s="1">
        <v>1.6E-2</v>
      </c>
      <c r="M5" s="1">
        <v>2</v>
      </c>
    </row>
    <row r="6" spans="1:13" x14ac:dyDescent="0.25">
      <c r="B6" s="1">
        <v>4</v>
      </c>
      <c r="C6" s="1">
        <v>1.6</v>
      </c>
      <c r="D6" s="3">
        <f t="shared" si="0"/>
        <v>1.5833333333333333</v>
      </c>
      <c r="E6" s="1">
        <f t="shared" si="1"/>
        <v>3.2043579267804217E-8</v>
      </c>
      <c r="F6" s="1">
        <v>0.18</v>
      </c>
      <c r="G6" s="1">
        <v>1</v>
      </c>
      <c r="H6" s="1">
        <v>1.2</v>
      </c>
      <c r="I6" s="1">
        <v>3.9</v>
      </c>
      <c r="J6" s="1">
        <v>1.6E-2</v>
      </c>
      <c r="M6" s="1">
        <v>2</v>
      </c>
    </row>
    <row r="7" spans="1:13" x14ac:dyDescent="0.25">
      <c r="B7" s="1">
        <v>5</v>
      </c>
      <c r="C7" s="1">
        <v>0.8</v>
      </c>
      <c r="D7" s="3">
        <f t="shared" si="0"/>
        <v>1.5833333333333333</v>
      </c>
      <c r="E7" s="1">
        <f t="shared" si="1"/>
        <v>1.6021789633902108E-8</v>
      </c>
      <c r="F7" s="1">
        <v>0.18</v>
      </c>
      <c r="G7" s="1">
        <v>1</v>
      </c>
      <c r="H7" s="1">
        <v>1.2</v>
      </c>
      <c r="I7" s="1">
        <v>3.4</v>
      </c>
      <c r="J7" s="1">
        <v>1.6E-2</v>
      </c>
      <c r="M7" s="1">
        <v>2</v>
      </c>
    </row>
    <row r="8" spans="1:13" x14ac:dyDescent="0.25">
      <c r="B8" s="1">
        <v>6</v>
      </c>
      <c r="C8" s="1">
        <v>1.7</v>
      </c>
      <c r="D8" s="3">
        <f t="shared" si="0"/>
        <v>1.5833333333333333</v>
      </c>
      <c r="E8" s="1">
        <f t="shared" si="1"/>
        <v>3.4046302972041977E-8</v>
      </c>
      <c r="F8" s="1">
        <v>0.18</v>
      </c>
      <c r="G8" s="1">
        <v>1</v>
      </c>
      <c r="H8" s="1">
        <v>1.2</v>
      </c>
      <c r="I8" s="1">
        <v>4.2</v>
      </c>
      <c r="J8" s="1">
        <v>1.6E-2</v>
      </c>
      <c r="M8" s="1">
        <v>2</v>
      </c>
    </row>
    <row r="9" spans="1:13" x14ac:dyDescent="0.25">
      <c r="B9" s="1">
        <v>7</v>
      </c>
      <c r="C9" s="1">
        <v>0.7</v>
      </c>
      <c r="D9" s="3">
        <f t="shared" si="0"/>
        <v>1.5833333333333333</v>
      </c>
      <c r="E9" s="1">
        <f t="shared" si="1"/>
        <v>1.4019065929664342E-8</v>
      </c>
      <c r="F9" s="1">
        <v>0.18</v>
      </c>
      <c r="G9" s="1">
        <v>1</v>
      </c>
      <c r="H9" s="1">
        <v>1.2</v>
      </c>
      <c r="I9" s="1">
        <v>3.1</v>
      </c>
      <c r="J9" s="1">
        <v>1.6E-2</v>
      </c>
      <c r="M9" s="1">
        <v>2</v>
      </c>
    </row>
    <row r="10" spans="1:13" x14ac:dyDescent="0.25">
      <c r="B10" s="1">
        <v>8</v>
      </c>
      <c r="C10" s="1">
        <v>0.5</v>
      </c>
      <c r="D10" s="3">
        <f t="shared" si="0"/>
        <v>1.5833333333333333</v>
      </c>
      <c r="E10" s="1">
        <f t="shared" si="1"/>
        <v>1.0013618521188817E-8</v>
      </c>
      <c r="F10" s="1">
        <v>0.18</v>
      </c>
      <c r="G10" s="1">
        <v>1</v>
      </c>
      <c r="H10" s="1">
        <v>1.2</v>
      </c>
      <c r="I10" s="1">
        <v>3.2</v>
      </c>
      <c r="J10" s="1">
        <v>1.6E-2</v>
      </c>
      <c r="M10" s="1">
        <v>2</v>
      </c>
    </row>
    <row r="11" spans="1:13" x14ac:dyDescent="0.25">
      <c r="A11" s="1" t="s">
        <v>46</v>
      </c>
      <c r="C11" s="1">
        <f>AVERAGE(C3:C10)</f>
        <v>1.1875</v>
      </c>
      <c r="D11" s="3">
        <f t="shared" ref="D11:J11" si="2">AVERAGE(D3:D10)</f>
        <v>1.5833333333333335</v>
      </c>
      <c r="E11" s="1">
        <f t="shared" si="2"/>
        <v>2.3782343987823439E-8</v>
      </c>
      <c r="F11" s="1">
        <f t="shared" si="2"/>
        <v>0.17999999999999997</v>
      </c>
      <c r="G11" s="1">
        <f t="shared" si="2"/>
        <v>1</v>
      </c>
      <c r="H11" s="1">
        <f t="shared" si="2"/>
        <v>1.2</v>
      </c>
      <c r="I11" s="1">
        <f t="shared" si="2"/>
        <v>3.65</v>
      </c>
      <c r="J11" s="1">
        <f t="shared" si="2"/>
        <v>1.6E-2</v>
      </c>
      <c r="K11" s="1">
        <f>F11*J11*H11/1000/G11</f>
        <v>3.4559999999999992E-6</v>
      </c>
      <c r="L11" s="1">
        <f t="shared" ref="L11:L66" si="3">E11/I11</f>
        <v>6.5157106815954628E-9</v>
      </c>
      <c r="M11" s="1">
        <v>2</v>
      </c>
    </row>
    <row r="12" spans="1:13" x14ac:dyDescent="0.25">
      <c r="A12" s="1" t="s">
        <v>47</v>
      </c>
      <c r="B12" s="1" t="s">
        <v>77</v>
      </c>
      <c r="C12" s="1">
        <v>0.1217</v>
      </c>
      <c r="D12" s="3">
        <f>14/12</f>
        <v>1.1666666666666667</v>
      </c>
      <c r="E12" s="1">
        <f>C12/D12/365/24/60/60</f>
        <v>3.3077843009349855E-9</v>
      </c>
      <c r="F12" s="1">
        <v>7.86</v>
      </c>
      <c r="G12" s="1">
        <v>1</v>
      </c>
      <c r="H12" s="1">
        <v>0.05</v>
      </c>
      <c r="I12" s="1">
        <v>13.2</v>
      </c>
      <c r="J12" s="1">
        <v>2E-3</v>
      </c>
      <c r="K12" s="1">
        <f t="shared" ref="K12:K14" si="4">F12*J12*H12/1000/G12</f>
        <v>7.8600000000000018E-7</v>
      </c>
      <c r="L12" s="1">
        <f t="shared" si="3"/>
        <v>2.5058971976780193E-10</v>
      </c>
      <c r="M12" s="1">
        <v>2</v>
      </c>
    </row>
    <row r="13" spans="1:13" x14ac:dyDescent="0.25">
      <c r="B13" s="1">
        <v>2</v>
      </c>
      <c r="C13" s="1">
        <v>0.1087</v>
      </c>
      <c r="D13" s="3">
        <f t="shared" ref="D13:D14" si="5">14/12</f>
        <v>1.1666666666666667</v>
      </c>
      <c r="E13" s="1">
        <f t="shared" ref="E13:E14" si="6">C13/D13/365/24/60/60</f>
        <v>2.9544466188301802E-9</v>
      </c>
      <c r="F13" s="1">
        <v>7.86</v>
      </c>
      <c r="G13" s="1">
        <v>1.5</v>
      </c>
      <c r="H13" s="1">
        <v>0.05</v>
      </c>
      <c r="I13" s="1">
        <v>19.559999999999999</v>
      </c>
      <c r="J13" s="1">
        <v>2E-3</v>
      </c>
      <c r="K13" s="1">
        <f t="shared" si="4"/>
        <v>5.2400000000000009E-7</v>
      </c>
      <c r="L13" s="1">
        <f t="shared" si="3"/>
        <v>1.5104532816105217E-10</v>
      </c>
      <c r="M13" s="1">
        <v>2</v>
      </c>
    </row>
    <row r="14" spans="1:13" x14ac:dyDescent="0.25">
      <c r="B14" s="1">
        <v>3</v>
      </c>
      <c r="C14" s="1">
        <v>0.08</v>
      </c>
      <c r="D14" s="3">
        <f t="shared" si="5"/>
        <v>1.1666666666666667</v>
      </c>
      <c r="E14" s="1">
        <f t="shared" si="6"/>
        <v>2.174385736029572E-9</v>
      </c>
      <c r="F14" s="1">
        <v>7.86</v>
      </c>
      <c r="G14" s="1">
        <v>1</v>
      </c>
      <c r="H14" s="1">
        <v>0.05</v>
      </c>
      <c r="I14" s="1">
        <v>14.54</v>
      </c>
      <c r="J14" s="1">
        <v>2E-3</v>
      </c>
      <c r="K14" s="1">
        <f t="shared" si="4"/>
        <v>7.8600000000000018E-7</v>
      </c>
      <c r="L14" s="1">
        <f t="shared" si="3"/>
        <v>1.4954509876406962E-10</v>
      </c>
      <c r="M14" s="1">
        <v>2</v>
      </c>
    </row>
    <row r="15" spans="1:13" x14ac:dyDescent="0.25">
      <c r="A15" s="1" t="s">
        <v>46</v>
      </c>
      <c r="C15" s="1">
        <f>AVERAGE(C12:C14)</f>
        <v>0.10346666666666667</v>
      </c>
      <c r="D15" s="3">
        <f t="shared" ref="D15:J15" si="7">AVERAGE(D12:D14)</f>
        <v>1.1666666666666667</v>
      </c>
      <c r="E15" s="1">
        <f t="shared" si="7"/>
        <v>2.8122055519315788E-9</v>
      </c>
      <c r="F15" s="1">
        <f t="shared" si="7"/>
        <v>7.86</v>
      </c>
      <c r="G15" s="1">
        <f t="shared" si="7"/>
        <v>1.1666666666666667</v>
      </c>
      <c r="H15" s="1">
        <f t="shared" si="7"/>
        <v>5.000000000000001E-2</v>
      </c>
      <c r="I15" s="1">
        <f t="shared" si="7"/>
        <v>15.766666666666666</v>
      </c>
      <c r="J15" s="1">
        <f t="shared" si="7"/>
        <v>2E-3</v>
      </c>
      <c r="M15" s="1">
        <v>2</v>
      </c>
    </row>
    <row r="16" spans="1:13" x14ac:dyDescent="0.25">
      <c r="A16" s="1" t="s">
        <v>48</v>
      </c>
      <c r="B16" s="1" t="s">
        <v>79</v>
      </c>
      <c r="D16" s="3">
        <v>2</v>
      </c>
      <c r="E16" s="1">
        <v>8.9999999999999999E-10</v>
      </c>
      <c r="F16" s="1">
        <v>11.1</v>
      </c>
      <c r="G16" s="1">
        <v>2.8</v>
      </c>
      <c r="H16" s="1">
        <v>0.02</v>
      </c>
      <c r="I16" s="1">
        <v>42</v>
      </c>
      <c r="J16" s="1">
        <v>1E-3</v>
      </c>
      <c r="K16" s="1">
        <f>F16*J16*H16/1000/G16</f>
        <v>7.9285714285714292E-8</v>
      </c>
      <c r="L16" s="1">
        <f t="shared" si="3"/>
        <v>2.1428571428571429E-11</v>
      </c>
      <c r="M16" s="1">
        <v>3</v>
      </c>
    </row>
    <row r="17" spans="1:13" x14ac:dyDescent="0.25">
      <c r="B17" s="1">
        <v>2</v>
      </c>
      <c r="D17" s="3">
        <v>2</v>
      </c>
      <c r="E17" s="1">
        <v>1.8E-9</v>
      </c>
      <c r="F17" s="1">
        <v>11.1</v>
      </c>
      <c r="G17" s="1">
        <v>2.6</v>
      </c>
      <c r="H17" s="1">
        <v>0.02</v>
      </c>
      <c r="I17" s="1">
        <v>42</v>
      </c>
      <c r="J17" s="1">
        <v>1E-3</v>
      </c>
      <c r="K17" s="1">
        <f t="shared" ref="K17:K74" si="8">F17*J17*H17/1000/G17</f>
        <v>8.5384615384615387E-8</v>
      </c>
      <c r="L17" s="1">
        <f t="shared" si="3"/>
        <v>4.2857142857142858E-11</v>
      </c>
      <c r="M17" s="1">
        <v>3</v>
      </c>
    </row>
    <row r="18" spans="1:13" x14ac:dyDescent="0.25">
      <c r="B18" s="1">
        <v>3</v>
      </c>
      <c r="D18" s="3">
        <v>2</v>
      </c>
      <c r="E18" s="1">
        <v>9.1000000000000004E-9</v>
      </c>
      <c r="F18" s="1">
        <v>11.1</v>
      </c>
      <c r="G18" s="1">
        <v>2.9</v>
      </c>
      <c r="H18" s="1">
        <v>0.02</v>
      </c>
      <c r="I18" s="1">
        <v>42</v>
      </c>
      <c r="J18" s="1">
        <v>1E-3</v>
      </c>
      <c r="K18" s="1">
        <f t="shared" si="8"/>
        <v>7.6551724137931031E-8</v>
      </c>
      <c r="L18" s="1">
        <f t="shared" si="3"/>
        <v>2.1666666666666667E-10</v>
      </c>
      <c r="M18" s="1">
        <v>3</v>
      </c>
    </row>
    <row r="19" spans="1:13" x14ac:dyDescent="0.25">
      <c r="B19" s="1">
        <v>4</v>
      </c>
      <c r="D19" s="3">
        <v>2</v>
      </c>
      <c r="E19" s="1">
        <v>1.7199999999999999E-8</v>
      </c>
      <c r="F19" s="1">
        <v>11.1</v>
      </c>
      <c r="G19" s="1">
        <v>2.7</v>
      </c>
      <c r="H19" s="1">
        <v>0.02</v>
      </c>
      <c r="I19" s="1">
        <v>42</v>
      </c>
      <c r="J19" s="1">
        <v>1E-3</v>
      </c>
      <c r="K19" s="1">
        <f t="shared" si="8"/>
        <v>8.2222222222222222E-8</v>
      </c>
      <c r="L19" s="1">
        <f t="shared" si="3"/>
        <v>4.0952380952380951E-10</v>
      </c>
      <c r="M19" s="1">
        <v>3</v>
      </c>
    </row>
    <row r="20" spans="1:13" x14ac:dyDescent="0.25">
      <c r="B20" s="1">
        <v>5</v>
      </c>
      <c r="D20" s="3">
        <v>2</v>
      </c>
      <c r="E20" s="1">
        <v>7.6000000000000002E-9</v>
      </c>
      <c r="F20" s="1">
        <v>11.1</v>
      </c>
      <c r="G20" s="1">
        <v>2.7</v>
      </c>
      <c r="H20" s="1">
        <v>0.02</v>
      </c>
      <c r="I20" s="1">
        <v>42</v>
      </c>
      <c r="J20" s="1">
        <v>1E-3</v>
      </c>
      <c r="K20" s="1">
        <f t="shared" si="8"/>
        <v>8.2222222222222222E-8</v>
      </c>
      <c r="L20" s="1">
        <f t="shared" si="3"/>
        <v>1.8095238095238095E-10</v>
      </c>
      <c r="M20" s="1">
        <v>3</v>
      </c>
    </row>
    <row r="21" spans="1:13" x14ac:dyDescent="0.25">
      <c r="B21" s="1">
        <v>6</v>
      </c>
      <c r="D21" s="3">
        <v>2</v>
      </c>
      <c r="E21" s="1">
        <v>7.6999999999999995E-9</v>
      </c>
      <c r="F21" s="1">
        <v>11.1</v>
      </c>
      <c r="G21" s="1">
        <v>2.6</v>
      </c>
      <c r="H21" s="1">
        <v>0.02</v>
      </c>
      <c r="I21" s="1">
        <v>42</v>
      </c>
      <c r="J21" s="1">
        <v>1E-3</v>
      </c>
      <c r="K21" s="1">
        <f t="shared" si="8"/>
        <v>8.5384615384615387E-8</v>
      </c>
      <c r="L21" s="1">
        <f t="shared" si="3"/>
        <v>1.8333333333333332E-10</v>
      </c>
      <c r="M21" s="1">
        <v>3</v>
      </c>
    </row>
    <row r="22" spans="1:13" x14ac:dyDescent="0.25">
      <c r="B22" s="1">
        <v>7</v>
      </c>
      <c r="D22" s="3">
        <v>2</v>
      </c>
      <c r="E22" s="1">
        <v>5.7999999999999998E-9</v>
      </c>
      <c r="F22" s="1">
        <v>11.1</v>
      </c>
      <c r="G22" s="1">
        <v>2.6</v>
      </c>
      <c r="H22" s="1">
        <v>0.02</v>
      </c>
      <c r="I22" s="1">
        <v>42</v>
      </c>
      <c r="J22" s="1">
        <v>1E-3</v>
      </c>
      <c r="K22" s="1">
        <f t="shared" si="8"/>
        <v>8.5384615384615387E-8</v>
      </c>
      <c r="L22" s="1">
        <f t="shared" si="3"/>
        <v>1.3809523809523808E-10</v>
      </c>
      <c r="M22" s="1">
        <v>3</v>
      </c>
    </row>
    <row r="23" spans="1:13" x14ac:dyDescent="0.25">
      <c r="B23" s="1">
        <v>8</v>
      </c>
      <c r="D23" s="3">
        <v>2</v>
      </c>
      <c r="E23" s="1">
        <v>7.4000000000000001E-9</v>
      </c>
      <c r="F23" s="1">
        <v>11.1</v>
      </c>
      <c r="G23" s="1">
        <v>2.7</v>
      </c>
      <c r="H23" s="1">
        <v>0.02</v>
      </c>
      <c r="I23" s="1">
        <v>42</v>
      </c>
      <c r="J23" s="1">
        <v>1E-3</v>
      </c>
      <c r="K23" s="1">
        <f t="shared" si="8"/>
        <v>8.2222222222222222E-8</v>
      </c>
      <c r="L23" s="1">
        <f t="shared" si="3"/>
        <v>1.761904761904762E-10</v>
      </c>
      <c r="M23" s="1">
        <v>3</v>
      </c>
    </row>
    <row r="24" spans="1:13" x14ac:dyDescent="0.25">
      <c r="B24" s="1">
        <v>9</v>
      </c>
      <c r="D24" s="3">
        <v>2</v>
      </c>
      <c r="E24" s="1">
        <v>2.8999999999999999E-9</v>
      </c>
      <c r="F24" s="1">
        <v>11.1</v>
      </c>
      <c r="G24" s="1">
        <v>2.4</v>
      </c>
      <c r="H24" s="1">
        <v>0.02</v>
      </c>
      <c r="I24" s="1">
        <v>42</v>
      </c>
      <c r="J24" s="1">
        <v>1E-3</v>
      </c>
      <c r="K24" s="1">
        <f t="shared" si="8"/>
        <v>9.2500000000000001E-8</v>
      </c>
      <c r="L24" s="1">
        <f t="shared" si="3"/>
        <v>6.9047619047619042E-11</v>
      </c>
      <c r="M24" s="1">
        <v>3</v>
      </c>
    </row>
    <row r="25" spans="1:13" x14ac:dyDescent="0.25">
      <c r="A25" s="1" t="s">
        <v>46</v>
      </c>
      <c r="D25" s="3">
        <f>AVERAGE(D16:D24)</f>
        <v>2</v>
      </c>
      <c r="E25" s="1">
        <f t="shared" ref="E25:J25" si="9">AVERAGE(E16:E24)</f>
        <v>6.7111111111111105E-9</v>
      </c>
      <c r="F25" s="1">
        <f t="shared" si="9"/>
        <v>11.099999999999998</v>
      </c>
      <c r="G25" s="1">
        <f t="shared" si="9"/>
        <v>2.6666666666666665</v>
      </c>
      <c r="H25" s="1">
        <f t="shared" si="9"/>
        <v>0.02</v>
      </c>
      <c r="I25" s="1">
        <f t="shared" si="9"/>
        <v>42</v>
      </c>
      <c r="J25" s="1">
        <f t="shared" si="9"/>
        <v>1E-3</v>
      </c>
      <c r="M25" s="1">
        <v>3</v>
      </c>
    </row>
    <row r="26" spans="1:13" x14ac:dyDescent="0.25">
      <c r="A26" s="1" t="s">
        <v>50</v>
      </c>
      <c r="C26" s="1">
        <v>0.5</v>
      </c>
      <c r="D26" s="3">
        <f>27/12</f>
        <v>2.25</v>
      </c>
      <c r="E26" s="1">
        <f>C26/D26/365/24/60/60</f>
        <v>7.0466204408365734E-9</v>
      </c>
      <c r="F26" s="1">
        <v>15.7</v>
      </c>
      <c r="G26" s="1">
        <v>3</v>
      </c>
      <c r="H26" s="1">
        <v>0.09</v>
      </c>
      <c r="I26" s="1">
        <v>64</v>
      </c>
      <c r="J26" s="1">
        <v>3.0000000000000001E-3</v>
      </c>
      <c r="K26" s="1">
        <f t="shared" si="8"/>
        <v>1.4129999999999999E-6</v>
      </c>
      <c r="L26" s="1">
        <f t="shared" si="3"/>
        <v>1.1010344438807146E-10</v>
      </c>
      <c r="M26" s="1">
        <v>3</v>
      </c>
    </row>
    <row r="27" spans="1:13" x14ac:dyDescent="0.25">
      <c r="A27" s="1" t="s">
        <v>51</v>
      </c>
      <c r="B27" s="1" t="s">
        <v>80</v>
      </c>
      <c r="C27" s="1">
        <v>3.2557000000000009</v>
      </c>
      <c r="D27" s="3">
        <f>20/12</f>
        <v>1.6666666666666667</v>
      </c>
      <c r="E27" s="1">
        <f>C27/D27/365/24/60/60</f>
        <v>6.1942541856925435E-8</v>
      </c>
      <c r="F27" s="1">
        <v>12</v>
      </c>
      <c r="G27" s="1">
        <v>2.5</v>
      </c>
      <c r="H27" s="1">
        <v>0.05</v>
      </c>
      <c r="I27" s="1">
        <v>31.2</v>
      </c>
      <c r="J27" s="1">
        <v>3.5000000000000001E-3</v>
      </c>
      <c r="K27" s="1">
        <f t="shared" si="8"/>
        <v>8.4000000000000011E-7</v>
      </c>
      <c r="L27" s="1">
        <f t="shared" si="3"/>
        <v>1.9853378800296616E-9</v>
      </c>
      <c r="M27" s="1">
        <v>2</v>
      </c>
    </row>
    <row r="28" spans="1:13" x14ac:dyDescent="0.25">
      <c r="A28" s="1" t="s">
        <v>52</v>
      </c>
      <c r="B28" s="1" t="s">
        <v>81</v>
      </c>
      <c r="C28" s="1">
        <v>6.1</v>
      </c>
      <c r="D28" s="3">
        <v>1</v>
      </c>
      <c r="E28" s="1">
        <f t="shared" ref="E28:E40" si="10">C28/D28/365/24/60/60</f>
        <v>1.9342973110096398E-7</v>
      </c>
      <c r="F28" s="1">
        <v>20.93</v>
      </c>
      <c r="G28" s="1">
        <v>3.57</v>
      </c>
      <c r="H28" s="1">
        <v>0.02</v>
      </c>
      <c r="I28" s="1">
        <v>64.2</v>
      </c>
      <c r="J28" s="1">
        <v>4.4999999999999997E-3</v>
      </c>
      <c r="K28" s="1">
        <f t="shared" si="8"/>
        <v>5.2764705882352944E-7</v>
      </c>
      <c r="L28" s="1">
        <f t="shared" si="3"/>
        <v>3.0129241604511521E-9</v>
      </c>
      <c r="M28" s="1">
        <v>2</v>
      </c>
    </row>
    <row r="29" spans="1:13" x14ac:dyDescent="0.25">
      <c r="B29" s="1" t="s">
        <v>82</v>
      </c>
      <c r="C29" s="1">
        <v>3.4</v>
      </c>
      <c r="D29" s="3">
        <v>1</v>
      </c>
      <c r="E29" s="1">
        <f t="shared" si="10"/>
        <v>1.0781329274479959E-7</v>
      </c>
      <c r="F29" s="1">
        <v>34.700000000000003</v>
      </c>
      <c r="G29" s="1">
        <v>2.91</v>
      </c>
      <c r="H29" s="1">
        <v>0.02</v>
      </c>
      <c r="I29" s="1">
        <v>96.8</v>
      </c>
      <c r="J29" s="1">
        <v>3.5000000000000001E-3</v>
      </c>
      <c r="K29" s="1">
        <f t="shared" si="8"/>
        <v>8.3470790378006886E-7</v>
      </c>
      <c r="L29" s="1">
        <f t="shared" si="3"/>
        <v>1.1137736853801612E-9</v>
      </c>
      <c r="M29" s="1">
        <v>2</v>
      </c>
    </row>
    <row r="30" spans="1:13" x14ac:dyDescent="0.25">
      <c r="A30" s="1" t="s">
        <v>53</v>
      </c>
      <c r="B30" s="1" t="s">
        <v>83</v>
      </c>
      <c r="C30" s="1">
        <v>4.8</v>
      </c>
      <c r="D30" s="3">
        <v>1</v>
      </c>
      <c r="E30" s="1">
        <f t="shared" si="10"/>
        <v>1.5220700152206999E-7</v>
      </c>
      <c r="F30" s="1">
        <v>27</v>
      </c>
      <c r="G30" s="1">
        <v>2.5</v>
      </c>
      <c r="H30" s="1">
        <v>6.5000000000000002E-2</v>
      </c>
      <c r="I30" s="1">
        <v>50</v>
      </c>
      <c r="J30" s="1">
        <v>4.7399999999999997E-4</v>
      </c>
      <c r="M30" s="1">
        <v>2</v>
      </c>
    </row>
    <row r="31" spans="1:13" x14ac:dyDescent="0.25">
      <c r="C31" s="1">
        <v>12.6</v>
      </c>
      <c r="D31" s="3">
        <v>1</v>
      </c>
      <c r="E31" s="1">
        <f t="shared" si="10"/>
        <v>3.9954337899543372E-7</v>
      </c>
      <c r="F31" s="1">
        <v>27</v>
      </c>
      <c r="G31" s="1">
        <v>2.5</v>
      </c>
      <c r="H31" s="1">
        <v>6.5000000000000002E-2</v>
      </c>
      <c r="I31" s="1">
        <v>50</v>
      </c>
      <c r="J31" s="1">
        <v>4.7399999999999997E-4</v>
      </c>
      <c r="M31" s="1">
        <v>2</v>
      </c>
    </row>
    <row r="32" spans="1:13" x14ac:dyDescent="0.25">
      <c r="C32" s="1">
        <v>3.6</v>
      </c>
      <c r="D32" s="3">
        <v>1</v>
      </c>
      <c r="E32" s="1">
        <f t="shared" si="10"/>
        <v>1.141552511415525E-7</v>
      </c>
      <c r="F32" s="1">
        <v>27</v>
      </c>
      <c r="G32" s="1">
        <v>2.5</v>
      </c>
      <c r="H32" s="1">
        <v>6.5000000000000002E-2</v>
      </c>
      <c r="I32" s="1">
        <v>50</v>
      </c>
      <c r="J32" s="1">
        <v>4.7399999999999997E-4</v>
      </c>
      <c r="M32" s="1">
        <v>2</v>
      </c>
    </row>
    <row r="33" spans="1:13" x14ac:dyDescent="0.25">
      <c r="A33" s="1" t="s">
        <v>46</v>
      </c>
      <c r="C33" s="1">
        <f>AVERAGE(C30:C32)</f>
        <v>7</v>
      </c>
      <c r="D33" s="3">
        <v>3</v>
      </c>
      <c r="E33" s="1">
        <f t="shared" ref="E33:J33" si="11">AVERAGE(E30:E32)</f>
        <v>2.2196854388635209E-7</v>
      </c>
      <c r="F33" s="1">
        <f t="shared" si="11"/>
        <v>27</v>
      </c>
      <c r="G33" s="1">
        <f t="shared" si="11"/>
        <v>2.5</v>
      </c>
      <c r="H33" s="1">
        <f t="shared" si="11"/>
        <v>6.5000000000000002E-2</v>
      </c>
      <c r="I33" s="1">
        <f t="shared" si="11"/>
        <v>50</v>
      </c>
      <c r="J33" s="1">
        <f t="shared" si="11"/>
        <v>4.7399999999999997E-4</v>
      </c>
      <c r="K33" s="1">
        <f t="shared" si="8"/>
        <v>3.3274799999999996E-7</v>
      </c>
      <c r="L33" s="1">
        <f t="shared" ref="L33" si="12">E33/I33</f>
        <v>4.439370877727042E-9</v>
      </c>
      <c r="M33" s="1">
        <v>3</v>
      </c>
    </row>
    <row r="34" spans="1:13" x14ac:dyDescent="0.25">
      <c r="B34" s="1" t="s">
        <v>84</v>
      </c>
      <c r="C34" s="1">
        <v>0.7</v>
      </c>
      <c r="D34" s="3">
        <v>1</v>
      </c>
      <c r="E34" s="1">
        <f t="shared" si="10"/>
        <v>2.219685438863521E-8</v>
      </c>
      <c r="F34" s="1">
        <v>27</v>
      </c>
      <c r="G34" s="1">
        <v>9</v>
      </c>
      <c r="H34" s="1">
        <v>6.5000000000000002E-2</v>
      </c>
      <c r="I34" s="1">
        <v>52</v>
      </c>
      <c r="J34" s="1">
        <v>4.7399999999999997E-4</v>
      </c>
      <c r="M34" s="1">
        <v>2</v>
      </c>
    </row>
    <row r="35" spans="1:13" x14ac:dyDescent="0.25">
      <c r="C35" s="1">
        <v>1.9</v>
      </c>
      <c r="D35" s="3">
        <v>1</v>
      </c>
      <c r="E35" s="1">
        <f t="shared" si="10"/>
        <v>6.024860476915272E-8</v>
      </c>
      <c r="F35" s="1">
        <v>27</v>
      </c>
      <c r="G35" s="1">
        <v>9</v>
      </c>
      <c r="H35" s="1">
        <v>6.5000000000000002E-2</v>
      </c>
      <c r="I35" s="1">
        <v>52</v>
      </c>
      <c r="J35" s="1">
        <v>4.7399999999999997E-4</v>
      </c>
      <c r="M35" s="1">
        <v>2</v>
      </c>
    </row>
    <row r="36" spans="1:13" x14ac:dyDescent="0.25">
      <c r="C36" s="1">
        <v>0.5</v>
      </c>
      <c r="D36" s="3">
        <v>1</v>
      </c>
      <c r="E36" s="1">
        <f t="shared" si="10"/>
        <v>1.5854895991882293E-8</v>
      </c>
      <c r="F36" s="1">
        <v>27</v>
      </c>
      <c r="G36" s="1">
        <v>9</v>
      </c>
      <c r="H36" s="1">
        <v>6.5000000000000002E-2</v>
      </c>
      <c r="I36" s="1">
        <v>52</v>
      </c>
      <c r="J36" s="1">
        <v>4.7399999999999997E-4</v>
      </c>
      <c r="M36" s="1">
        <v>2</v>
      </c>
    </row>
    <row r="37" spans="1:13" x14ac:dyDescent="0.25">
      <c r="A37" s="1" t="s">
        <v>46</v>
      </c>
      <c r="C37" s="1">
        <f>AVERAGE(C34:C36)</f>
        <v>1.0333333333333332</v>
      </c>
      <c r="D37" s="3">
        <v>3</v>
      </c>
      <c r="E37" s="1">
        <f t="shared" ref="E37:J37" si="13">AVERAGE(E34:E36)</f>
        <v>3.2766785049890081E-8</v>
      </c>
      <c r="F37" s="1">
        <f t="shared" si="13"/>
        <v>27</v>
      </c>
      <c r="G37" s="1">
        <f t="shared" si="13"/>
        <v>9</v>
      </c>
      <c r="H37" s="1">
        <f t="shared" si="13"/>
        <v>6.5000000000000002E-2</v>
      </c>
      <c r="I37" s="1">
        <f t="shared" si="13"/>
        <v>52</v>
      </c>
      <c r="J37" s="1">
        <f t="shared" si="13"/>
        <v>4.7399999999999997E-4</v>
      </c>
      <c r="K37" s="1">
        <f t="shared" si="8"/>
        <v>9.2429999999999988E-8</v>
      </c>
      <c r="L37" s="1">
        <f t="shared" ref="L37" si="14">E37/I37</f>
        <v>6.3013048172865543E-10</v>
      </c>
      <c r="M37" s="1">
        <v>3</v>
      </c>
    </row>
    <row r="38" spans="1:13" x14ac:dyDescent="0.25">
      <c r="B38" s="1" t="s">
        <v>85</v>
      </c>
      <c r="C38" s="1">
        <v>0.8</v>
      </c>
      <c r="D38" s="3">
        <v>1</v>
      </c>
      <c r="E38" s="1">
        <f t="shared" si="10"/>
        <v>2.5367833587011672E-8</v>
      </c>
      <c r="F38" s="1">
        <v>27</v>
      </c>
      <c r="G38" s="1">
        <v>2.5</v>
      </c>
      <c r="H38" s="1">
        <v>6.5000000000000002E-2</v>
      </c>
      <c r="I38" s="1">
        <v>60</v>
      </c>
      <c r="J38" s="1">
        <v>4.7399999999999997E-4</v>
      </c>
      <c r="M38" s="1">
        <v>2</v>
      </c>
    </row>
    <row r="39" spans="1:13" x14ac:dyDescent="0.25">
      <c r="C39" s="1">
        <v>3.5</v>
      </c>
      <c r="D39" s="3">
        <v>1</v>
      </c>
      <c r="E39" s="1">
        <f t="shared" si="10"/>
        <v>1.1098427194317607E-7</v>
      </c>
      <c r="F39" s="1">
        <v>27</v>
      </c>
      <c r="G39" s="1">
        <v>2.5</v>
      </c>
      <c r="H39" s="1">
        <v>6.5000000000000002E-2</v>
      </c>
      <c r="I39" s="1">
        <v>60</v>
      </c>
      <c r="J39" s="1">
        <v>4.7399999999999997E-4</v>
      </c>
      <c r="M39" s="1">
        <v>2</v>
      </c>
    </row>
    <row r="40" spans="1:13" x14ac:dyDescent="0.25">
      <c r="C40" s="1">
        <v>1</v>
      </c>
      <c r="D40" s="3">
        <v>1</v>
      </c>
      <c r="E40" s="1">
        <f t="shared" si="10"/>
        <v>3.1709791983764586E-8</v>
      </c>
      <c r="F40" s="1">
        <v>27</v>
      </c>
      <c r="G40" s="1">
        <v>2.5</v>
      </c>
      <c r="H40" s="1">
        <v>6.5000000000000002E-2</v>
      </c>
      <c r="I40" s="1">
        <v>60</v>
      </c>
      <c r="J40" s="1">
        <v>4.7399999999999997E-4</v>
      </c>
      <c r="M40" s="1">
        <v>2</v>
      </c>
    </row>
    <row r="41" spans="1:13" x14ac:dyDescent="0.25">
      <c r="A41" s="1" t="s">
        <v>46</v>
      </c>
      <c r="C41" s="1">
        <f>AVERAGE(C38:C40)</f>
        <v>1.7666666666666666</v>
      </c>
      <c r="D41" s="3">
        <v>3</v>
      </c>
      <c r="E41" s="1">
        <f t="shared" ref="E41:J41" si="15">AVERAGE(E38:E40)</f>
        <v>5.6020632504650773E-8</v>
      </c>
      <c r="F41" s="1">
        <f t="shared" si="15"/>
        <v>27</v>
      </c>
      <c r="G41" s="1">
        <f t="shared" si="15"/>
        <v>2.5</v>
      </c>
      <c r="H41" s="1">
        <f t="shared" si="15"/>
        <v>6.5000000000000002E-2</v>
      </c>
      <c r="I41" s="1">
        <f t="shared" si="15"/>
        <v>60</v>
      </c>
      <c r="J41" s="1">
        <f t="shared" si="15"/>
        <v>4.7399999999999997E-4</v>
      </c>
      <c r="K41" s="1">
        <f t="shared" si="8"/>
        <v>3.3274799999999996E-7</v>
      </c>
      <c r="L41" s="1">
        <f t="shared" si="3"/>
        <v>9.3367720841084626E-10</v>
      </c>
      <c r="M41" s="1">
        <v>3</v>
      </c>
    </row>
    <row r="42" spans="1:13" x14ac:dyDescent="0.25">
      <c r="A42" s="1" t="s">
        <v>54</v>
      </c>
      <c r="B42" s="1" t="s">
        <v>87</v>
      </c>
      <c r="C42" s="1">
        <v>4.5999999999999996</v>
      </c>
      <c r="D42" s="3">
        <f>53/365</f>
        <v>0.14520547945205478</v>
      </c>
      <c r="E42" s="1">
        <f>C42/D42/365/24/60/60</f>
        <v>1.004542278127184E-6</v>
      </c>
      <c r="F42" s="1">
        <f>(444+369.6+368.35)/3</f>
        <v>393.98333333333335</v>
      </c>
      <c r="G42" s="1">
        <v>1.9</v>
      </c>
      <c r="H42" s="1">
        <v>3.3000000000000002E-2</v>
      </c>
      <c r="I42" s="1">
        <v>509.11740634916072</v>
      </c>
      <c r="J42" s="1">
        <v>1.7000000000000001E-4</v>
      </c>
      <c r="K42" s="1">
        <f t="shared" si="8"/>
        <v>1.1632876315789475E-6</v>
      </c>
      <c r="L42" s="1">
        <f t="shared" si="3"/>
        <v>1.9731053497673052E-9</v>
      </c>
      <c r="M42" s="1">
        <v>1</v>
      </c>
    </row>
    <row r="43" spans="1:13" x14ac:dyDescent="0.25">
      <c r="C43" s="1">
        <v>4.5</v>
      </c>
      <c r="D43" s="3">
        <f t="shared" ref="D43:D46" si="16">53/365</f>
        <v>0.14520547945205478</v>
      </c>
      <c r="E43" s="1">
        <f t="shared" ref="E43:E106" si="17">C43/D43/365/24/60/60</f>
        <v>9.8270440251572343E-7</v>
      </c>
      <c r="F43" s="1">
        <f t="shared" ref="F43:F46" si="18">(444+369.6+368.35)/3</f>
        <v>393.98333333333335</v>
      </c>
      <c r="G43" s="1">
        <v>2.1</v>
      </c>
      <c r="H43" s="1">
        <v>3.5000000000000003E-2</v>
      </c>
      <c r="I43" s="1">
        <v>509.11740634916072</v>
      </c>
      <c r="J43" s="1">
        <v>1.7000000000000001E-4</v>
      </c>
      <c r="K43" s="1">
        <f t="shared" si="8"/>
        <v>1.1162861111111112E-6</v>
      </c>
      <c r="L43" s="1">
        <f t="shared" si="3"/>
        <v>1.9302117552071465E-9</v>
      </c>
      <c r="M43" s="1">
        <v>1</v>
      </c>
    </row>
    <row r="44" spans="1:13" x14ac:dyDescent="0.25">
      <c r="C44" s="1">
        <v>5.8</v>
      </c>
      <c r="D44" s="3">
        <f t="shared" si="16"/>
        <v>0.14520547945205478</v>
      </c>
      <c r="E44" s="1">
        <f t="shared" si="17"/>
        <v>1.26659678546471E-6</v>
      </c>
      <c r="F44" s="1">
        <f t="shared" si="18"/>
        <v>393.98333333333335</v>
      </c>
      <c r="G44" s="1">
        <v>2.2999999999999998</v>
      </c>
      <c r="H44" s="1">
        <v>3.2000000000000001E-2</v>
      </c>
      <c r="I44" s="1">
        <v>509.11740634916072</v>
      </c>
      <c r="J44" s="1">
        <v>1.7000000000000001E-4</v>
      </c>
      <c r="K44" s="1">
        <f t="shared" si="8"/>
        <v>9.31856231884058E-7</v>
      </c>
      <c r="L44" s="1">
        <f t="shared" si="3"/>
        <v>2.4878284844892104E-9</v>
      </c>
      <c r="M44" s="1">
        <v>1</v>
      </c>
    </row>
    <row r="45" spans="1:13" x14ac:dyDescent="0.25">
      <c r="C45" s="1">
        <v>5.3</v>
      </c>
      <c r="D45" s="3">
        <f t="shared" si="16"/>
        <v>0.14520547945205478</v>
      </c>
      <c r="E45" s="1">
        <f t="shared" si="17"/>
        <v>1.1574074074074074E-6</v>
      </c>
      <c r="F45" s="1">
        <f t="shared" si="18"/>
        <v>393.98333333333335</v>
      </c>
      <c r="G45" s="1">
        <v>1.7</v>
      </c>
      <c r="H45" s="1">
        <v>3.6999999999999998E-2</v>
      </c>
      <c r="I45" s="1">
        <v>509.11740634916072</v>
      </c>
      <c r="J45" s="1">
        <v>1.7000000000000001E-4</v>
      </c>
      <c r="K45" s="1">
        <f t="shared" si="8"/>
        <v>1.4577383333333334E-6</v>
      </c>
      <c r="L45" s="1">
        <f t="shared" si="3"/>
        <v>2.2733605116884163E-9</v>
      </c>
      <c r="M45" s="1">
        <v>1</v>
      </c>
    </row>
    <row r="46" spans="1:13" x14ac:dyDescent="0.25">
      <c r="C46" s="1">
        <v>5.6</v>
      </c>
      <c r="D46" s="3">
        <f t="shared" si="16"/>
        <v>0.14520547945205478</v>
      </c>
      <c r="E46" s="1">
        <f t="shared" si="17"/>
        <v>1.222921034241789E-6</v>
      </c>
      <c r="F46" s="1">
        <f t="shared" si="18"/>
        <v>393.98333333333335</v>
      </c>
      <c r="G46" s="1">
        <v>1.6</v>
      </c>
      <c r="H46" s="1">
        <v>0.03</v>
      </c>
      <c r="I46" s="1">
        <v>509.11740634916072</v>
      </c>
      <c r="J46" s="1">
        <v>1.7000000000000001E-4</v>
      </c>
      <c r="K46" s="1">
        <f t="shared" si="8"/>
        <v>1.255821875E-6</v>
      </c>
      <c r="L46" s="1">
        <f t="shared" si="3"/>
        <v>2.402041295368893E-9</v>
      </c>
      <c r="M46" s="1">
        <v>1</v>
      </c>
    </row>
    <row r="47" spans="1:13" x14ac:dyDescent="0.25">
      <c r="C47" s="1">
        <v>3.05</v>
      </c>
      <c r="D47" s="3">
        <f>27/365</f>
        <v>7.3972602739726029E-2</v>
      </c>
      <c r="E47" s="1">
        <f t="shared" si="17"/>
        <v>1.3074417009602195E-6</v>
      </c>
      <c r="F47" s="1">
        <f>(368.35+528)/2</f>
        <v>448.17500000000001</v>
      </c>
      <c r="G47" s="1">
        <v>1.9</v>
      </c>
      <c r="H47" s="1">
        <v>3.3000000000000002E-2</v>
      </c>
      <c r="I47" s="1">
        <v>462.47710445527952</v>
      </c>
      <c r="J47" s="1">
        <v>1.7000000000000001E-4</v>
      </c>
      <c r="K47" s="1">
        <f t="shared" si="8"/>
        <v>1.3232956578947369E-6</v>
      </c>
      <c r="L47" s="1">
        <f t="shared" si="3"/>
        <v>2.8270409245451546E-9</v>
      </c>
      <c r="M47" s="1">
        <v>1</v>
      </c>
    </row>
    <row r="48" spans="1:13" x14ac:dyDescent="0.25">
      <c r="C48" s="1">
        <v>2.8</v>
      </c>
      <c r="D48" s="3">
        <f t="shared" ref="D48:D51" si="19">27/365</f>
        <v>7.3972602739726029E-2</v>
      </c>
      <c r="E48" s="1">
        <f t="shared" si="17"/>
        <v>1.2002743484224963E-6</v>
      </c>
      <c r="F48" s="1">
        <f t="shared" ref="F48:F51" si="20">(368.35+528)/2</f>
        <v>448.17500000000001</v>
      </c>
      <c r="G48" s="1">
        <v>2.1</v>
      </c>
      <c r="H48" s="1">
        <v>3.5000000000000003E-2</v>
      </c>
      <c r="I48" s="1">
        <v>462.47710445527952</v>
      </c>
      <c r="J48" s="1">
        <v>1.7000000000000001E-4</v>
      </c>
      <c r="K48" s="1">
        <f t="shared" si="8"/>
        <v>1.2698291666666668E-6</v>
      </c>
      <c r="L48" s="1">
        <f t="shared" si="3"/>
        <v>2.59531625859883E-9</v>
      </c>
      <c r="M48" s="1">
        <v>1</v>
      </c>
    </row>
    <row r="49" spans="3:13" x14ac:dyDescent="0.25">
      <c r="C49" s="1">
        <v>3.1</v>
      </c>
      <c r="D49" s="3">
        <f t="shared" si="19"/>
        <v>7.3972602739726029E-2</v>
      </c>
      <c r="E49" s="1">
        <f t="shared" si="17"/>
        <v>1.3288751714677641E-6</v>
      </c>
      <c r="F49" s="1">
        <f t="shared" si="20"/>
        <v>448.17500000000001</v>
      </c>
      <c r="G49" s="1">
        <v>2.2999999999999998</v>
      </c>
      <c r="H49" s="1">
        <v>3.2000000000000001E-2</v>
      </c>
      <c r="I49" s="1">
        <v>462.47710445527952</v>
      </c>
      <c r="J49" s="1">
        <v>1.7000000000000001E-4</v>
      </c>
      <c r="K49" s="1">
        <f t="shared" si="8"/>
        <v>1.0600313043478261E-6</v>
      </c>
      <c r="L49" s="1">
        <f t="shared" si="3"/>
        <v>2.8733858577344196E-9</v>
      </c>
      <c r="M49" s="1">
        <v>1</v>
      </c>
    </row>
    <row r="50" spans="3:13" x14ac:dyDescent="0.25">
      <c r="C50" s="1">
        <v>3.95</v>
      </c>
      <c r="D50" s="3">
        <f t="shared" si="19"/>
        <v>7.3972602739726029E-2</v>
      </c>
      <c r="E50" s="1">
        <f t="shared" si="17"/>
        <v>1.6932441700960223E-6</v>
      </c>
      <c r="F50" s="1">
        <f t="shared" si="20"/>
        <v>448.17500000000001</v>
      </c>
      <c r="G50" s="1">
        <v>1.7</v>
      </c>
      <c r="H50" s="1">
        <v>3.6999999999999998E-2</v>
      </c>
      <c r="I50" s="1">
        <v>462.47710445527952</v>
      </c>
      <c r="J50" s="1">
        <v>1.7000000000000001E-4</v>
      </c>
      <c r="K50" s="1">
        <f t="shared" si="8"/>
        <v>1.6582474999999998E-6</v>
      </c>
      <c r="L50" s="1">
        <f t="shared" si="3"/>
        <v>3.6612497219519224E-9</v>
      </c>
      <c r="M50" s="1">
        <v>1</v>
      </c>
    </row>
    <row r="51" spans="3:13" x14ac:dyDescent="0.25">
      <c r="C51" s="1">
        <v>3.6</v>
      </c>
      <c r="D51" s="3">
        <f t="shared" si="19"/>
        <v>7.3972602739726029E-2</v>
      </c>
      <c r="E51" s="1">
        <f t="shared" si="17"/>
        <v>1.54320987654321E-6</v>
      </c>
      <c r="F51" s="1">
        <f t="shared" si="20"/>
        <v>448.17500000000001</v>
      </c>
      <c r="G51" s="1">
        <v>1.6</v>
      </c>
      <c r="H51" s="1">
        <v>0.03</v>
      </c>
      <c r="I51" s="1">
        <v>462.47710445527952</v>
      </c>
      <c r="J51" s="1">
        <v>1.7000000000000001E-4</v>
      </c>
      <c r="K51" s="1">
        <f t="shared" si="8"/>
        <v>1.4285578124999998E-6</v>
      </c>
      <c r="L51" s="1">
        <f t="shared" si="3"/>
        <v>3.3368351896270682E-9</v>
      </c>
      <c r="M51" s="1">
        <v>1</v>
      </c>
    </row>
    <row r="52" spans="3:13" x14ac:dyDescent="0.25">
      <c r="C52" s="1">
        <v>5.25</v>
      </c>
      <c r="D52" s="3">
        <f>45/365</f>
        <v>0.12328767123287671</v>
      </c>
      <c r="E52" s="1">
        <f t="shared" si="17"/>
        <v>1.3503086419753086E-6</v>
      </c>
      <c r="F52" s="1">
        <f>(528+817.3)/2</f>
        <v>672.65</v>
      </c>
      <c r="G52" s="1">
        <v>1.9</v>
      </c>
      <c r="H52" s="1">
        <v>3.3000000000000002E-2</v>
      </c>
      <c r="I52" s="1">
        <v>419.64564227337945</v>
      </c>
      <c r="J52" s="1">
        <v>1.7000000000000001E-4</v>
      </c>
      <c r="K52" s="1">
        <f t="shared" si="8"/>
        <v>1.9860876315789479E-6</v>
      </c>
      <c r="L52" s="1">
        <f t="shared" si="3"/>
        <v>3.2177354080461197E-9</v>
      </c>
      <c r="M52" s="1">
        <v>1</v>
      </c>
    </row>
    <row r="53" spans="3:13" x14ac:dyDescent="0.25">
      <c r="C53" s="1">
        <v>5.08</v>
      </c>
      <c r="D53" s="3">
        <f t="shared" ref="D53:D56" si="21">45/365</f>
        <v>0.12328767123287671</v>
      </c>
      <c r="E53" s="1">
        <f t="shared" si="17"/>
        <v>1.3065843621399179E-6</v>
      </c>
      <c r="F53" s="1">
        <f t="shared" ref="F53:F56" si="22">(528+817.3)/2</f>
        <v>672.65</v>
      </c>
      <c r="G53" s="1">
        <v>2.1</v>
      </c>
      <c r="H53" s="1">
        <v>3.5000000000000003E-2</v>
      </c>
      <c r="I53" s="1">
        <v>419.64564227337945</v>
      </c>
      <c r="J53" s="1">
        <v>1.7000000000000001E-4</v>
      </c>
      <c r="K53" s="1">
        <f t="shared" si="8"/>
        <v>1.905841666666667E-6</v>
      </c>
      <c r="L53" s="1">
        <f t="shared" si="3"/>
        <v>3.1135420710236744E-9</v>
      </c>
      <c r="M53" s="1">
        <v>1</v>
      </c>
    </row>
    <row r="54" spans="3:13" x14ac:dyDescent="0.25">
      <c r="C54" s="1">
        <v>6.8</v>
      </c>
      <c r="D54" s="3">
        <f t="shared" si="21"/>
        <v>0.12328767123287671</v>
      </c>
      <c r="E54" s="1">
        <f t="shared" si="17"/>
        <v>1.7489711934156379E-6</v>
      </c>
      <c r="F54" s="1">
        <f t="shared" si="22"/>
        <v>672.65</v>
      </c>
      <c r="G54" s="1">
        <v>2.2999999999999998</v>
      </c>
      <c r="H54" s="1">
        <v>3.2000000000000001E-2</v>
      </c>
      <c r="I54" s="1">
        <v>419.64564227337945</v>
      </c>
      <c r="J54" s="1">
        <v>1.7000000000000001E-4</v>
      </c>
      <c r="K54" s="1">
        <f t="shared" si="8"/>
        <v>1.5909634782608698E-6</v>
      </c>
      <c r="L54" s="1">
        <f t="shared" si="3"/>
        <v>4.1677334808978312E-9</v>
      </c>
      <c r="M54" s="1">
        <v>1</v>
      </c>
    </row>
    <row r="55" spans="3:13" x14ac:dyDescent="0.25">
      <c r="C55" s="1">
        <v>6.2</v>
      </c>
      <c r="D55" s="3">
        <f t="shared" si="21"/>
        <v>0.12328767123287671</v>
      </c>
      <c r="E55" s="1">
        <f t="shared" si="17"/>
        <v>1.5946502057613169E-6</v>
      </c>
      <c r="F55" s="1">
        <f t="shared" si="22"/>
        <v>672.65</v>
      </c>
      <c r="G55" s="1">
        <v>1.7</v>
      </c>
      <c r="H55" s="1">
        <v>3.6999999999999998E-2</v>
      </c>
      <c r="I55" s="1">
        <v>419.64564227337945</v>
      </c>
      <c r="J55" s="1">
        <v>1.7000000000000001E-4</v>
      </c>
      <c r="K55" s="1">
        <f t="shared" si="8"/>
        <v>2.4888050000000001E-6</v>
      </c>
      <c r="L55" s="1">
        <f t="shared" si="3"/>
        <v>3.7999922914068459E-9</v>
      </c>
      <c r="M55" s="1">
        <v>1</v>
      </c>
    </row>
    <row r="56" spans="3:13" x14ac:dyDescent="0.25">
      <c r="C56" s="1">
        <v>6.5</v>
      </c>
      <c r="D56" s="3">
        <f t="shared" si="21"/>
        <v>0.12328767123287671</v>
      </c>
      <c r="E56" s="1">
        <f t="shared" si="17"/>
        <v>1.6718106995884778E-6</v>
      </c>
      <c r="F56" s="1">
        <f t="shared" si="22"/>
        <v>672.65</v>
      </c>
      <c r="G56" s="1">
        <v>1.6</v>
      </c>
      <c r="H56" s="1">
        <v>0.03</v>
      </c>
      <c r="I56" s="1">
        <v>419.64564227337945</v>
      </c>
      <c r="J56" s="1">
        <v>1.7000000000000001E-4</v>
      </c>
      <c r="K56" s="1">
        <f t="shared" si="8"/>
        <v>2.1440718750000001E-6</v>
      </c>
      <c r="L56" s="1">
        <f t="shared" si="3"/>
        <v>3.9838628861523402E-9</v>
      </c>
      <c r="M56" s="1">
        <v>1</v>
      </c>
    </row>
    <row r="57" spans="3:13" x14ac:dyDescent="0.25">
      <c r="C57" s="1">
        <v>1.68</v>
      </c>
      <c r="D57" s="3">
        <f>7/365</f>
        <v>1.9178082191780823E-2</v>
      </c>
      <c r="E57" s="1">
        <f t="shared" si="17"/>
        <v>2.7777777777777775E-6</v>
      </c>
      <c r="F57" s="1">
        <v>817.3</v>
      </c>
      <c r="G57" s="1">
        <v>1.9</v>
      </c>
      <c r="H57" s="1">
        <v>3.3000000000000002E-2</v>
      </c>
      <c r="I57" s="1">
        <v>411.11670020120727</v>
      </c>
      <c r="J57" s="1">
        <v>1.7000000000000001E-4</v>
      </c>
      <c r="K57" s="1">
        <f t="shared" si="8"/>
        <v>2.4131857894736846E-6</v>
      </c>
      <c r="L57" s="1">
        <f t="shared" si="3"/>
        <v>6.7566648993297707E-9</v>
      </c>
      <c r="M57" s="1">
        <v>1</v>
      </c>
    </row>
    <row r="58" spans="3:13" x14ac:dyDescent="0.25">
      <c r="C58" s="1">
        <v>1.45</v>
      </c>
      <c r="D58" s="3">
        <f t="shared" ref="D58:D61" si="23">7/365</f>
        <v>1.9178082191780823E-2</v>
      </c>
      <c r="E58" s="1">
        <f t="shared" si="17"/>
        <v>2.3974867724867723E-6</v>
      </c>
      <c r="F58" s="1">
        <v>817.3</v>
      </c>
      <c r="G58" s="1">
        <v>2.1</v>
      </c>
      <c r="H58" s="1">
        <v>3.5000000000000003E-2</v>
      </c>
      <c r="I58" s="1">
        <v>411.11670020120727</v>
      </c>
      <c r="J58" s="1">
        <v>1.7000000000000001E-4</v>
      </c>
      <c r="K58" s="1">
        <f t="shared" si="8"/>
        <v>2.3156833333333334E-6</v>
      </c>
      <c r="L58" s="1">
        <f t="shared" si="3"/>
        <v>5.8316453000167661E-9</v>
      </c>
      <c r="M58" s="1">
        <v>1</v>
      </c>
    </row>
    <row r="59" spans="3:13" x14ac:dyDescent="0.25">
      <c r="C59" s="1">
        <v>1.1000000000000001</v>
      </c>
      <c r="D59" s="3">
        <f t="shared" si="23"/>
        <v>1.9178082191780823E-2</v>
      </c>
      <c r="E59" s="1">
        <f t="shared" si="17"/>
        <v>1.8187830687830691E-6</v>
      </c>
      <c r="F59" s="1">
        <v>817.3</v>
      </c>
      <c r="G59" s="1">
        <v>2.2999999999999998</v>
      </c>
      <c r="H59" s="1">
        <v>3.2000000000000001E-2</v>
      </c>
      <c r="I59" s="1">
        <v>411.11670020120727</v>
      </c>
      <c r="J59" s="1">
        <v>1.7000000000000001E-4</v>
      </c>
      <c r="K59" s="1">
        <f t="shared" si="8"/>
        <v>1.9330921739130436E-6</v>
      </c>
      <c r="L59" s="1">
        <f t="shared" si="3"/>
        <v>4.4240067793230648E-9</v>
      </c>
      <c r="M59" s="1">
        <v>1</v>
      </c>
    </row>
    <row r="60" spans="3:13" x14ac:dyDescent="0.25">
      <c r="C60" s="1">
        <v>2.4</v>
      </c>
      <c r="D60" s="3">
        <f t="shared" si="23"/>
        <v>1.9178082191780823E-2</v>
      </c>
      <c r="E60" s="1">
        <f t="shared" si="17"/>
        <v>3.9682539682539681E-6</v>
      </c>
      <c r="F60" s="1">
        <v>817.3</v>
      </c>
      <c r="G60" s="1">
        <v>1.7</v>
      </c>
      <c r="H60" s="1">
        <v>3.6999999999999998E-2</v>
      </c>
      <c r="I60" s="1">
        <v>411.11670020120727</v>
      </c>
      <c r="J60" s="1">
        <v>1.7000000000000001E-4</v>
      </c>
      <c r="K60" s="1">
        <f t="shared" si="8"/>
        <v>3.02401E-6</v>
      </c>
      <c r="L60" s="1">
        <f t="shared" si="3"/>
        <v>9.6523784276139582E-9</v>
      </c>
      <c r="M60" s="1">
        <v>1</v>
      </c>
    </row>
    <row r="61" spans="3:13" x14ac:dyDescent="0.25">
      <c r="C61" s="1">
        <v>1.45</v>
      </c>
      <c r="D61" s="3">
        <f t="shared" si="23"/>
        <v>1.9178082191780823E-2</v>
      </c>
      <c r="E61" s="1">
        <f t="shared" si="17"/>
        <v>2.3974867724867723E-6</v>
      </c>
      <c r="F61" s="1">
        <v>817.3</v>
      </c>
      <c r="G61" s="1">
        <v>1.6</v>
      </c>
      <c r="H61" s="1">
        <v>0.03</v>
      </c>
      <c r="I61" s="1">
        <v>411.11670020120727</v>
      </c>
      <c r="J61" s="1">
        <v>1.7000000000000001E-4</v>
      </c>
      <c r="K61" s="1">
        <f t="shared" si="8"/>
        <v>2.6051437500000004E-6</v>
      </c>
      <c r="L61" s="1">
        <f t="shared" si="3"/>
        <v>5.8316453000167661E-9</v>
      </c>
      <c r="M61" s="1">
        <v>1</v>
      </c>
    </row>
    <row r="62" spans="3:13" x14ac:dyDescent="0.25">
      <c r="C62" s="1">
        <v>14.58</v>
      </c>
      <c r="D62" s="3">
        <f>132/365</f>
        <v>0.36164383561643837</v>
      </c>
      <c r="E62" s="1">
        <f t="shared" si="17"/>
        <v>1.2784090909090907E-6</v>
      </c>
      <c r="F62" s="1">
        <f>(444+369.6+368.35+528+817.3)/5</f>
        <v>505.45</v>
      </c>
      <c r="G62" s="1">
        <v>1.9</v>
      </c>
      <c r="H62" s="1">
        <v>3.3000000000000002E-2</v>
      </c>
      <c r="I62" s="1">
        <v>471.22932632246273</v>
      </c>
      <c r="J62" s="1">
        <v>1.7000000000000001E-4</v>
      </c>
      <c r="K62" s="1">
        <f t="shared" si="8"/>
        <v>1.4924076315789476E-6</v>
      </c>
      <c r="L62" s="1">
        <f t="shared" si="3"/>
        <v>2.7129234525490332E-9</v>
      </c>
      <c r="M62" s="1">
        <v>1</v>
      </c>
    </row>
    <row r="63" spans="3:13" x14ac:dyDescent="0.25">
      <c r="C63" s="1">
        <v>13.81</v>
      </c>
      <c r="D63" s="3">
        <f t="shared" ref="D63:D66" si="24">132/365</f>
        <v>0.36164383561643837</v>
      </c>
      <c r="E63" s="1">
        <f t="shared" si="17"/>
        <v>1.2108936588103257E-6</v>
      </c>
      <c r="F63" s="1">
        <f t="shared" ref="F63:F66" si="25">(444+369.6+368.35+528+817.3)/5</f>
        <v>505.45</v>
      </c>
      <c r="G63" s="1">
        <v>2.1</v>
      </c>
      <c r="H63" s="1">
        <v>3.5000000000000003E-2</v>
      </c>
      <c r="I63" s="1">
        <v>471.22932632246273</v>
      </c>
      <c r="J63" s="1">
        <v>1.7000000000000001E-4</v>
      </c>
      <c r="K63" s="1">
        <f t="shared" si="8"/>
        <v>1.4321083333333334E-6</v>
      </c>
      <c r="L63" s="1">
        <f t="shared" si="3"/>
        <v>2.5696483456585847E-9</v>
      </c>
      <c r="M63" s="1">
        <v>1</v>
      </c>
    </row>
    <row r="64" spans="3:13" x14ac:dyDescent="0.25">
      <c r="C64" s="1">
        <v>16.8</v>
      </c>
      <c r="D64" s="3">
        <f t="shared" si="24"/>
        <v>0.36164383561643837</v>
      </c>
      <c r="E64" s="1">
        <f t="shared" si="17"/>
        <v>1.4730639730639728E-6</v>
      </c>
      <c r="F64" s="1">
        <f t="shared" si="25"/>
        <v>505.45</v>
      </c>
      <c r="G64" s="1">
        <v>2.2999999999999998</v>
      </c>
      <c r="H64" s="1">
        <v>3.2000000000000001E-2</v>
      </c>
      <c r="I64" s="1">
        <v>471.22932632246273</v>
      </c>
      <c r="J64" s="1">
        <v>1.7000000000000001E-4</v>
      </c>
      <c r="K64" s="1">
        <f t="shared" si="8"/>
        <v>1.1954991304347827E-6</v>
      </c>
      <c r="L64" s="1">
        <f t="shared" si="3"/>
        <v>3.126002332155265E-9</v>
      </c>
      <c r="M64" s="1">
        <v>1</v>
      </c>
    </row>
    <row r="65" spans="1:13" x14ac:dyDescent="0.25">
      <c r="C65" s="1">
        <v>17.850000000000001</v>
      </c>
      <c r="D65" s="3">
        <f t="shared" si="24"/>
        <v>0.36164383561643837</v>
      </c>
      <c r="E65" s="1">
        <f t="shared" si="17"/>
        <v>1.5651304713804713E-6</v>
      </c>
      <c r="F65" s="1">
        <f t="shared" si="25"/>
        <v>505.45</v>
      </c>
      <c r="G65" s="1">
        <v>1.7</v>
      </c>
      <c r="H65" s="1">
        <v>3.6999999999999998E-2</v>
      </c>
      <c r="I65" s="1">
        <v>471.22932632246273</v>
      </c>
      <c r="J65" s="1">
        <v>1.7000000000000001E-4</v>
      </c>
      <c r="K65" s="1">
        <f t="shared" si="8"/>
        <v>1.870165E-6</v>
      </c>
      <c r="L65" s="1">
        <f t="shared" si="3"/>
        <v>3.3213774779149692E-9</v>
      </c>
      <c r="M65" s="1">
        <v>1</v>
      </c>
    </row>
    <row r="66" spans="1:13" x14ac:dyDescent="0.25">
      <c r="C66" s="1">
        <v>17.149999999999999</v>
      </c>
      <c r="D66" s="3">
        <f t="shared" si="24"/>
        <v>0.36164383561643837</v>
      </c>
      <c r="E66" s="1">
        <f t="shared" si="17"/>
        <v>1.5037528058361392E-6</v>
      </c>
      <c r="F66" s="1">
        <f t="shared" si="25"/>
        <v>505.45</v>
      </c>
      <c r="G66" s="1">
        <v>1.6</v>
      </c>
      <c r="H66" s="1">
        <v>0.03</v>
      </c>
      <c r="I66" s="1">
        <v>471.22932632246273</v>
      </c>
      <c r="J66" s="1">
        <v>1.7000000000000001E-4</v>
      </c>
      <c r="K66" s="1">
        <f t="shared" si="8"/>
        <v>1.6111218749999998E-6</v>
      </c>
      <c r="L66" s="1">
        <f t="shared" si="3"/>
        <v>3.1911273807418336E-9</v>
      </c>
      <c r="M66" s="1">
        <v>1</v>
      </c>
    </row>
    <row r="67" spans="1:13" x14ac:dyDescent="0.25">
      <c r="A67" s="1" t="s">
        <v>56</v>
      </c>
      <c r="B67" s="1" t="s">
        <v>88</v>
      </c>
      <c r="C67" s="1">
        <v>1.1322521627270075</v>
      </c>
      <c r="D67" s="3">
        <v>1</v>
      </c>
      <c r="E67" s="1">
        <f t="shared" si="17"/>
        <v>3.590348055324098E-8</v>
      </c>
      <c r="F67" s="1">
        <v>250</v>
      </c>
      <c r="G67" s="1">
        <v>3.7</v>
      </c>
      <c r="H67" s="1">
        <v>7.0000000000000007E-2</v>
      </c>
      <c r="I67" s="1">
        <v>120</v>
      </c>
      <c r="J67" s="1">
        <v>1.4999999999999999E-4</v>
      </c>
      <c r="M67" s="1">
        <v>2</v>
      </c>
    </row>
    <row r="68" spans="1:13" x14ac:dyDescent="0.25">
      <c r="A68" s="1" t="s">
        <v>55</v>
      </c>
      <c r="C68" s="1">
        <v>1.7159926456718904</v>
      </c>
      <c r="D68" s="3">
        <v>1</v>
      </c>
      <c r="E68" s="1">
        <f t="shared" si="17"/>
        <v>5.4413769839925496E-8</v>
      </c>
      <c r="F68" s="1">
        <v>250</v>
      </c>
      <c r="G68" s="1">
        <v>3.7</v>
      </c>
      <c r="H68" s="1">
        <v>7.0000000000000007E-2</v>
      </c>
      <c r="I68" s="1">
        <v>120</v>
      </c>
      <c r="J68" s="1">
        <v>1.4999999999999999E-4</v>
      </c>
      <c r="M68" s="1">
        <v>2</v>
      </c>
    </row>
    <row r="69" spans="1:13" x14ac:dyDescent="0.25">
      <c r="C69" s="1">
        <v>2.4485521619928674</v>
      </c>
      <c r="D69" s="3">
        <v>1</v>
      </c>
      <c r="E69" s="1">
        <f t="shared" si="17"/>
        <v>7.7643079718190883E-8</v>
      </c>
      <c r="F69" s="1">
        <v>250</v>
      </c>
      <c r="G69" s="1">
        <v>3.7</v>
      </c>
      <c r="H69" s="1">
        <v>7.0000000000000007E-2</v>
      </c>
      <c r="I69" s="1">
        <v>120</v>
      </c>
      <c r="J69" s="1">
        <v>1.4999999999999999E-4</v>
      </c>
      <c r="M69" s="1">
        <v>2</v>
      </c>
    </row>
    <row r="70" spans="1:13" x14ac:dyDescent="0.25">
      <c r="C70" s="1">
        <v>10.258391406551048</v>
      </c>
      <c r="D70" s="3">
        <v>1</v>
      </c>
      <c r="E70" s="1">
        <f t="shared" si="17"/>
        <v>3.2529145758977196E-7</v>
      </c>
      <c r="F70" s="1">
        <v>250</v>
      </c>
      <c r="G70" s="1">
        <v>3.7</v>
      </c>
      <c r="H70" s="1">
        <v>7.0000000000000007E-2</v>
      </c>
      <c r="I70" s="1">
        <v>120</v>
      </c>
      <c r="J70" s="1">
        <v>1.4999999999999999E-4</v>
      </c>
      <c r="M70" s="1">
        <v>2</v>
      </c>
    </row>
    <row r="71" spans="1:13" x14ac:dyDescent="0.25">
      <c r="C71" s="1">
        <v>9.2743733135991473</v>
      </c>
      <c r="D71" s="3">
        <v>1</v>
      </c>
      <c r="E71" s="1">
        <f t="shared" si="17"/>
        <v>2.9408844855400639E-7</v>
      </c>
      <c r="F71" s="1">
        <v>250</v>
      </c>
      <c r="G71" s="1">
        <v>3.7</v>
      </c>
      <c r="H71" s="1">
        <v>7.0000000000000007E-2</v>
      </c>
      <c r="I71" s="1">
        <v>120</v>
      </c>
      <c r="J71" s="1">
        <v>1.4999999999999999E-4</v>
      </c>
      <c r="M71" s="1">
        <v>2</v>
      </c>
    </row>
    <row r="72" spans="1:13" x14ac:dyDescent="0.25">
      <c r="C72" s="1">
        <v>8.4002940996134061</v>
      </c>
      <c r="D72" s="3">
        <v>1</v>
      </c>
      <c r="E72" s="1">
        <f t="shared" si="17"/>
        <v>2.6637157850118609E-7</v>
      </c>
      <c r="F72" s="1">
        <v>250</v>
      </c>
      <c r="G72" s="1">
        <v>3.7</v>
      </c>
      <c r="H72" s="1">
        <v>7.0000000000000007E-2</v>
      </c>
      <c r="I72" s="1">
        <v>120</v>
      </c>
      <c r="J72" s="1">
        <v>1.4999999999999999E-4</v>
      </c>
      <c r="M72" s="1">
        <v>2</v>
      </c>
    </row>
    <row r="73" spans="1:13" x14ac:dyDescent="0.25">
      <c r="C73" s="1">
        <v>12.230679232569225</v>
      </c>
      <c r="D73" s="3">
        <v>1</v>
      </c>
      <c r="E73" s="1">
        <f t="shared" si="17"/>
        <v>3.8783229428491961E-7</v>
      </c>
      <c r="F73" s="1">
        <v>250</v>
      </c>
      <c r="G73" s="1">
        <v>3.7</v>
      </c>
      <c r="H73" s="1">
        <v>7.0000000000000007E-2</v>
      </c>
      <c r="I73" s="1">
        <v>120</v>
      </c>
      <c r="J73" s="1">
        <v>1.4999999999999999E-4</v>
      </c>
      <c r="M73" s="1">
        <v>2</v>
      </c>
    </row>
    <row r="74" spans="1:13" x14ac:dyDescent="0.25">
      <c r="A74" s="1" t="s">
        <v>46</v>
      </c>
      <c r="D74" s="3">
        <v>7</v>
      </c>
      <c r="E74" s="1">
        <f>AVERAGE(E67:E73)</f>
        <v>2.0593487272017736E-7</v>
      </c>
      <c r="F74" s="1">
        <v>250</v>
      </c>
      <c r="G74" s="1">
        <v>3.7</v>
      </c>
      <c r="H74" s="1">
        <v>7.0000000000000007E-2</v>
      </c>
      <c r="I74" s="1">
        <v>120</v>
      </c>
      <c r="J74" s="1">
        <v>1.4999999999999999E-4</v>
      </c>
      <c r="K74" s="1">
        <f t="shared" si="8"/>
        <v>7.0945945945945952E-7</v>
      </c>
      <c r="L74" s="1">
        <f t="shared" ref="L74:L120" si="26">E74/I74</f>
        <v>1.7161239393348114E-9</v>
      </c>
      <c r="M74" s="1">
        <v>4</v>
      </c>
    </row>
    <row r="75" spans="1:13" x14ac:dyDescent="0.25">
      <c r="A75" s="1" t="s">
        <v>57</v>
      </c>
      <c r="C75" s="1">
        <v>1.8702398268671334</v>
      </c>
      <c r="D75" s="3">
        <v>1</v>
      </c>
      <c r="E75" s="1">
        <f>C75/D75/365/24/60/60</f>
        <v>5.9304915869708691E-8</v>
      </c>
      <c r="F75" s="1">
        <v>250</v>
      </c>
      <c r="G75" s="1">
        <v>3.7</v>
      </c>
      <c r="H75" s="1">
        <v>7.0000000000000007E-2</v>
      </c>
      <c r="I75" s="1">
        <v>120</v>
      </c>
      <c r="J75" s="1">
        <v>1.4999999999999999E-4</v>
      </c>
      <c r="M75" s="1">
        <v>2</v>
      </c>
    </row>
    <row r="76" spans="1:13" x14ac:dyDescent="0.25">
      <c r="C76" s="1">
        <v>3.0707000651317315</v>
      </c>
      <c r="D76" s="3">
        <v>1</v>
      </c>
      <c r="E76" s="1">
        <f t="shared" si="17"/>
        <v>9.7371260309859577E-8</v>
      </c>
      <c r="F76" s="1">
        <v>250</v>
      </c>
      <c r="G76" s="1">
        <v>3.7</v>
      </c>
      <c r="H76" s="1">
        <v>7.0000000000000007E-2</v>
      </c>
      <c r="I76" s="1">
        <v>120</v>
      </c>
      <c r="J76" s="1">
        <v>1.4999999999999999E-4</v>
      </c>
      <c r="M76" s="1">
        <v>2</v>
      </c>
    </row>
    <row r="77" spans="1:13" x14ac:dyDescent="0.25">
      <c r="C77" s="1">
        <v>2.7391205687227638</v>
      </c>
      <c r="D77" s="3">
        <v>1</v>
      </c>
      <c r="E77" s="1">
        <f t="shared" si="17"/>
        <v>8.6856943452649775E-8</v>
      </c>
      <c r="F77" s="1">
        <v>250</v>
      </c>
      <c r="G77" s="1">
        <v>3.7</v>
      </c>
      <c r="H77" s="1">
        <v>7.0000000000000007E-2</v>
      </c>
      <c r="I77" s="1">
        <v>120</v>
      </c>
      <c r="J77" s="1">
        <v>1.4999999999999999E-4</v>
      </c>
      <c r="M77" s="1">
        <v>2</v>
      </c>
    </row>
    <row r="78" spans="1:13" x14ac:dyDescent="0.25">
      <c r="C78" s="1">
        <v>3.7256814463933612</v>
      </c>
      <c r="D78" s="3">
        <v>1</v>
      </c>
      <c r="E78" s="1">
        <f t="shared" si="17"/>
        <v>1.1814058366290467E-7</v>
      </c>
      <c r="F78" s="1">
        <v>250</v>
      </c>
      <c r="G78" s="1">
        <v>3.7</v>
      </c>
      <c r="H78" s="1">
        <v>7.0000000000000007E-2</v>
      </c>
      <c r="I78" s="1">
        <v>120</v>
      </c>
      <c r="J78" s="1">
        <v>1.4999999999999999E-4</v>
      </c>
      <c r="M78" s="1">
        <v>2</v>
      </c>
    </row>
    <row r="79" spans="1:13" x14ac:dyDescent="0.25">
      <c r="C79" s="1">
        <v>3.10638027936053</v>
      </c>
      <c r="D79" s="3">
        <v>1</v>
      </c>
      <c r="E79" s="1">
        <f t="shared" si="17"/>
        <v>9.8502672480990922E-8</v>
      </c>
      <c r="F79" s="1">
        <v>250</v>
      </c>
      <c r="G79" s="1">
        <v>3.7</v>
      </c>
      <c r="H79" s="1">
        <v>7.0000000000000007E-2</v>
      </c>
      <c r="I79" s="1">
        <v>120</v>
      </c>
      <c r="J79" s="1">
        <v>1.4999999999999999E-4</v>
      </c>
      <c r="M79" s="1">
        <v>2</v>
      </c>
    </row>
    <row r="80" spans="1:13" x14ac:dyDescent="0.25">
      <c r="C80" s="1">
        <v>10.190211297613029</v>
      </c>
      <c r="D80" s="3">
        <v>1</v>
      </c>
      <c r="E80" s="1">
        <f t="shared" si="17"/>
        <v>3.2312948051791695E-7</v>
      </c>
      <c r="F80" s="1">
        <v>250</v>
      </c>
      <c r="G80" s="1">
        <v>3.7</v>
      </c>
      <c r="H80" s="1">
        <v>7.0000000000000007E-2</v>
      </c>
      <c r="I80" s="1">
        <v>120</v>
      </c>
      <c r="J80" s="1">
        <v>1.4999999999999999E-4</v>
      </c>
      <c r="M80" s="1">
        <v>2</v>
      </c>
    </row>
    <row r="81" spans="1:13" x14ac:dyDescent="0.25">
      <c r="C81" s="1">
        <v>11.832664545654968</v>
      </c>
      <c r="D81" s="3">
        <v>1</v>
      </c>
      <c r="E81" s="1">
        <f t="shared" si="17"/>
        <v>3.7521133135638535E-7</v>
      </c>
      <c r="F81" s="1">
        <v>250</v>
      </c>
      <c r="G81" s="1">
        <v>3.7</v>
      </c>
      <c r="H81" s="1">
        <v>7.0000000000000007E-2</v>
      </c>
      <c r="I81" s="1">
        <v>120</v>
      </c>
      <c r="J81" s="1">
        <v>1.4999999999999999E-4</v>
      </c>
      <c r="M81" s="1">
        <v>2</v>
      </c>
    </row>
    <row r="82" spans="1:13" x14ac:dyDescent="0.25">
      <c r="C82" s="1">
        <v>4.8530815612350855</v>
      </c>
      <c r="D82" s="3">
        <v>1</v>
      </c>
      <c r="E82" s="1">
        <f t="shared" si="17"/>
        <v>1.5389020678700803E-7</v>
      </c>
      <c r="F82" s="1">
        <v>250</v>
      </c>
      <c r="G82" s="1">
        <v>3.7</v>
      </c>
      <c r="H82" s="1">
        <v>7.0000000000000007E-2</v>
      </c>
      <c r="I82" s="1">
        <v>120</v>
      </c>
      <c r="J82" s="1">
        <v>1.4999999999999999E-4</v>
      </c>
      <c r="M82" s="1">
        <v>2</v>
      </c>
    </row>
    <row r="83" spans="1:13" x14ac:dyDescent="0.25">
      <c r="C83" s="1">
        <v>7.0893299577604632</v>
      </c>
      <c r="D83" s="3">
        <v>1</v>
      </c>
      <c r="E83" s="1">
        <f t="shared" si="17"/>
        <v>2.2480117826485485E-7</v>
      </c>
      <c r="F83" s="1">
        <v>250</v>
      </c>
      <c r="G83" s="1">
        <v>3.7</v>
      </c>
      <c r="H83" s="1">
        <v>7.0000000000000007E-2</v>
      </c>
      <c r="I83" s="1">
        <v>120</v>
      </c>
      <c r="J83" s="1">
        <v>1.4999999999999999E-4</v>
      </c>
      <c r="M83" s="1">
        <v>2</v>
      </c>
    </row>
    <row r="84" spans="1:13" x14ac:dyDescent="0.25">
      <c r="A84" s="1" t="s">
        <v>46</v>
      </c>
      <c r="D84" s="3">
        <v>9</v>
      </c>
      <c r="E84" s="1">
        <f>AVERAGE(E75:E83)</f>
        <v>1.7080095252247545E-7</v>
      </c>
      <c r="F84" s="1">
        <v>250</v>
      </c>
      <c r="G84" s="1">
        <v>3.7</v>
      </c>
      <c r="H84" s="1">
        <v>7.0000000000000007E-2</v>
      </c>
      <c r="I84" s="1">
        <v>120</v>
      </c>
      <c r="J84" s="1">
        <v>1.4999999999999999E-4</v>
      </c>
      <c r="K84" s="1">
        <f t="shared" ref="K84:K120" si="27">F84*J84*H84/1000/G84</f>
        <v>7.0945945945945952E-7</v>
      </c>
      <c r="L84" s="1">
        <f t="shared" si="26"/>
        <v>1.4233412710206286E-9</v>
      </c>
      <c r="M84" s="1">
        <v>4</v>
      </c>
    </row>
    <row r="85" spans="1:13" x14ac:dyDescent="0.25">
      <c r="A85" s="1" t="s">
        <v>58</v>
      </c>
      <c r="C85" s="1">
        <v>3.2690212128403187</v>
      </c>
      <c r="D85" s="3">
        <v>1</v>
      </c>
      <c r="E85" s="1">
        <f t="shared" si="17"/>
        <v>1.0365998264968032E-7</v>
      </c>
      <c r="F85" s="1">
        <v>250</v>
      </c>
      <c r="G85" s="1">
        <v>3.7</v>
      </c>
      <c r="H85" s="1">
        <v>7.0000000000000007E-2</v>
      </c>
      <c r="I85" s="1">
        <v>120</v>
      </c>
      <c r="J85" s="1">
        <v>1.4999999999999999E-4</v>
      </c>
      <c r="M85" s="1">
        <v>2</v>
      </c>
    </row>
    <row r="86" spans="1:13" x14ac:dyDescent="0.25">
      <c r="C86" s="1">
        <v>2.1908197598159482</v>
      </c>
      <c r="D86" s="3">
        <v>1</v>
      </c>
      <c r="E86" s="1">
        <f t="shared" si="17"/>
        <v>6.9470438857684823E-8</v>
      </c>
      <c r="F86" s="1">
        <v>250</v>
      </c>
      <c r="G86" s="1">
        <v>3.7</v>
      </c>
      <c r="H86" s="1">
        <v>7.0000000000000007E-2</v>
      </c>
      <c r="I86" s="1">
        <v>120</v>
      </c>
      <c r="J86" s="1">
        <v>1.4999999999999999E-4</v>
      </c>
      <c r="M86" s="1">
        <v>2</v>
      </c>
    </row>
    <row r="87" spans="1:13" x14ac:dyDescent="0.25">
      <c r="C87" s="1">
        <v>2.9225485196998835</v>
      </c>
      <c r="D87" s="3">
        <v>1</v>
      </c>
      <c r="E87" s="1">
        <f t="shared" si="17"/>
        <v>9.2673405622142416E-8</v>
      </c>
      <c r="F87" s="1">
        <v>250</v>
      </c>
      <c r="G87" s="1">
        <v>3.7</v>
      </c>
      <c r="H87" s="1">
        <v>7.0000000000000007E-2</v>
      </c>
      <c r="I87" s="1">
        <v>120</v>
      </c>
      <c r="J87" s="1">
        <v>1.4999999999999999E-4</v>
      </c>
      <c r="M87" s="1">
        <v>2</v>
      </c>
    </row>
    <row r="88" spans="1:13" x14ac:dyDescent="0.25">
      <c r="C88" s="1">
        <v>3.0013015193412342</v>
      </c>
      <c r="D88" s="3">
        <v>1</v>
      </c>
      <c r="E88" s="1">
        <f t="shared" si="17"/>
        <v>9.5170646858867134E-8</v>
      </c>
      <c r="F88" s="1">
        <v>250</v>
      </c>
      <c r="G88" s="1">
        <v>3.7</v>
      </c>
      <c r="H88" s="1">
        <v>7.0000000000000007E-2</v>
      </c>
      <c r="I88" s="1">
        <v>120</v>
      </c>
      <c r="J88" s="1">
        <v>1.4999999999999999E-4</v>
      </c>
      <c r="M88" s="1">
        <v>2</v>
      </c>
    </row>
    <row r="89" spans="1:13" x14ac:dyDescent="0.25">
      <c r="C89" s="1">
        <v>6.0980104173410519</v>
      </c>
      <c r="D89" s="3">
        <v>1</v>
      </c>
      <c r="E89" s="1">
        <f t="shared" si="17"/>
        <v>1.9336664184871421E-7</v>
      </c>
      <c r="F89" s="1">
        <v>250</v>
      </c>
      <c r="G89" s="1">
        <v>3.7</v>
      </c>
      <c r="H89" s="1">
        <v>7.0000000000000007E-2</v>
      </c>
      <c r="I89" s="1">
        <v>120</v>
      </c>
      <c r="J89" s="1">
        <v>1.4999999999999999E-4</v>
      </c>
      <c r="M89" s="1">
        <v>2</v>
      </c>
    </row>
    <row r="90" spans="1:13" x14ac:dyDescent="0.25">
      <c r="C90" s="1">
        <v>5.5861556530408256</v>
      </c>
      <c r="D90" s="3">
        <v>1</v>
      </c>
      <c r="E90" s="1">
        <f t="shared" si="17"/>
        <v>1.7713583374685519E-7</v>
      </c>
      <c r="F90" s="1">
        <v>250</v>
      </c>
      <c r="G90" s="1">
        <v>3.7</v>
      </c>
      <c r="H90" s="1">
        <v>7.0000000000000007E-2</v>
      </c>
      <c r="I90" s="1">
        <v>120</v>
      </c>
      <c r="J90" s="1">
        <v>1.4999999999999999E-4</v>
      </c>
      <c r="M90" s="1">
        <v>2</v>
      </c>
    </row>
    <row r="91" spans="1:13" x14ac:dyDescent="0.25">
      <c r="C91" s="1">
        <v>3.926256951601621</v>
      </c>
      <c r="D91" s="3">
        <v>1</v>
      </c>
      <c r="E91" s="1">
        <f t="shared" si="17"/>
        <v>1.2450079121009707E-7</v>
      </c>
      <c r="F91" s="1">
        <v>250</v>
      </c>
      <c r="G91" s="1">
        <v>3.7</v>
      </c>
      <c r="H91" s="1">
        <v>7.0000000000000007E-2</v>
      </c>
      <c r="I91" s="1">
        <v>120</v>
      </c>
      <c r="J91" s="1">
        <v>1.4999999999999999E-4</v>
      </c>
      <c r="M91" s="1">
        <v>2</v>
      </c>
    </row>
    <row r="92" spans="1:13" x14ac:dyDescent="0.25">
      <c r="C92" s="1">
        <v>10.076571351903384</v>
      </c>
      <c r="D92" s="3">
        <v>1</v>
      </c>
      <c r="E92" s="1">
        <f t="shared" si="17"/>
        <v>3.1952598147841785E-7</v>
      </c>
      <c r="F92" s="1">
        <v>250</v>
      </c>
      <c r="G92" s="1">
        <v>3.7</v>
      </c>
      <c r="H92" s="1">
        <v>7.0000000000000007E-2</v>
      </c>
      <c r="I92" s="1">
        <v>120</v>
      </c>
      <c r="J92" s="1">
        <v>1.4999999999999999E-4</v>
      </c>
      <c r="M92" s="1">
        <v>2</v>
      </c>
    </row>
    <row r="93" spans="1:13" x14ac:dyDescent="0.25">
      <c r="A93" s="1" t="s">
        <v>46</v>
      </c>
      <c r="D93" s="3">
        <v>8</v>
      </c>
      <c r="E93" s="1">
        <f>AVERAGE(E85:E92)</f>
        <v>1.4693796528405736E-7</v>
      </c>
      <c r="F93" s="1">
        <v>250</v>
      </c>
      <c r="G93" s="1">
        <v>3.7</v>
      </c>
      <c r="H93" s="1">
        <v>7.0000000000000007E-2</v>
      </c>
      <c r="I93" s="1">
        <v>120</v>
      </c>
      <c r="J93" s="1">
        <v>1.4999999999999999E-4</v>
      </c>
      <c r="K93" s="1">
        <f t="shared" si="27"/>
        <v>7.0945945945945952E-7</v>
      </c>
      <c r="L93" s="1">
        <f t="shared" si="26"/>
        <v>1.2244830440338114E-9</v>
      </c>
      <c r="M93" s="1">
        <v>4</v>
      </c>
    </row>
    <row r="94" spans="1:13" x14ac:dyDescent="0.25">
      <c r="A94" s="1" t="s">
        <v>59</v>
      </c>
      <c r="C94" s="1">
        <v>3.0159352264264592</v>
      </c>
      <c r="D94" s="3">
        <v>1</v>
      </c>
      <c r="E94" s="1">
        <f t="shared" si="17"/>
        <v>9.5634678666490977E-8</v>
      </c>
      <c r="F94" s="1">
        <v>250</v>
      </c>
      <c r="G94" s="1">
        <v>3.7</v>
      </c>
      <c r="H94" s="1">
        <v>7.0000000000000007E-2</v>
      </c>
      <c r="I94" s="1">
        <v>120</v>
      </c>
      <c r="J94" s="1">
        <v>1.4999999999999999E-4</v>
      </c>
      <c r="M94" s="1">
        <v>2</v>
      </c>
    </row>
    <row r="95" spans="1:13" x14ac:dyDescent="0.25">
      <c r="C95" s="1">
        <v>2.5416858204742754</v>
      </c>
      <c r="D95" s="3">
        <v>1</v>
      </c>
      <c r="E95" s="1">
        <f t="shared" si="17"/>
        <v>8.0596328655323293E-8</v>
      </c>
      <c r="F95" s="1">
        <v>250</v>
      </c>
      <c r="G95" s="1">
        <v>3.7</v>
      </c>
      <c r="H95" s="1">
        <v>7.0000000000000007E-2</v>
      </c>
      <c r="I95" s="1">
        <v>120</v>
      </c>
      <c r="J95" s="1">
        <v>1.4999999999999999E-4</v>
      </c>
      <c r="M95" s="1">
        <v>2</v>
      </c>
    </row>
    <row r="96" spans="1:13" x14ac:dyDescent="0.25">
      <c r="C96" s="1">
        <v>3.7863796177879472</v>
      </c>
      <c r="D96" s="3">
        <v>1</v>
      </c>
      <c r="E96" s="1">
        <f t="shared" si="17"/>
        <v>1.2006531005162186E-7</v>
      </c>
      <c r="F96" s="1">
        <v>250</v>
      </c>
      <c r="G96" s="1">
        <v>3.7</v>
      </c>
      <c r="H96" s="1">
        <v>7.0000000000000007E-2</v>
      </c>
      <c r="I96" s="1">
        <v>120</v>
      </c>
      <c r="J96" s="1">
        <v>1.4999999999999999E-4</v>
      </c>
      <c r="M96" s="1">
        <v>2</v>
      </c>
    </row>
    <row r="97" spans="1:13" x14ac:dyDescent="0.25">
      <c r="C97" s="1">
        <v>3.966557082659977</v>
      </c>
      <c r="D97" s="3">
        <v>1</v>
      </c>
      <c r="E97" s="1">
        <f t="shared" si="17"/>
        <v>1.2577869998287599E-7</v>
      </c>
      <c r="F97" s="1">
        <v>250</v>
      </c>
      <c r="G97" s="1">
        <v>3.7</v>
      </c>
      <c r="H97" s="1">
        <v>7.0000000000000007E-2</v>
      </c>
      <c r="I97" s="1">
        <v>120</v>
      </c>
      <c r="J97" s="1">
        <v>1.4999999999999999E-4</v>
      </c>
      <c r="M97" s="1">
        <v>2</v>
      </c>
    </row>
    <row r="98" spans="1:13" x14ac:dyDescent="0.25">
      <c r="C98" s="1">
        <v>5.8526405801142403</v>
      </c>
      <c r="D98" s="3">
        <v>1</v>
      </c>
      <c r="E98" s="1">
        <f t="shared" si="17"/>
        <v>1.8558601535116187E-7</v>
      </c>
      <c r="F98" s="1">
        <v>250</v>
      </c>
      <c r="G98" s="1">
        <v>3.7</v>
      </c>
      <c r="H98" s="1">
        <v>7.0000000000000007E-2</v>
      </c>
      <c r="I98" s="1">
        <v>120</v>
      </c>
      <c r="J98" s="1">
        <v>1.4999999999999999E-4</v>
      </c>
      <c r="M98" s="1">
        <v>2</v>
      </c>
    </row>
    <row r="99" spans="1:13" x14ac:dyDescent="0.25">
      <c r="C99" s="1">
        <v>8.155185433207512</v>
      </c>
      <c r="D99" s="3">
        <v>1</v>
      </c>
      <c r="E99" s="1">
        <f t="shared" si="17"/>
        <v>2.5859923367603729E-7</v>
      </c>
      <c r="F99" s="1">
        <v>250</v>
      </c>
      <c r="G99" s="1">
        <v>3.7</v>
      </c>
      <c r="H99" s="1">
        <v>7.0000000000000007E-2</v>
      </c>
      <c r="I99" s="1">
        <v>120</v>
      </c>
      <c r="J99" s="1">
        <v>1.4999999999999999E-4</v>
      </c>
      <c r="M99" s="1">
        <v>2</v>
      </c>
    </row>
    <row r="100" spans="1:13" x14ac:dyDescent="0.25">
      <c r="C100" s="1">
        <v>10.636708463147801</v>
      </c>
      <c r="D100" s="3">
        <v>1</v>
      </c>
      <c r="E100" s="1">
        <f t="shared" si="17"/>
        <v>3.3728781275836509E-7</v>
      </c>
      <c r="F100" s="1">
        <v>250</v>
      </c>
      <c r="G100" s="1">
        <v>3.7</v>
      </c>
      <c r="H100" s="1">
        <v>7.0000000000000007E-2</v>
      </c>
      <c r="I100" s="1">
        <v>120</v>
      </c>
      <c r="J100" s="1">
        <v>1.4999999999999999E-4</v>
      </c>
      <c r="M100" s="1">
        <v>2</v>
      </c>
    </row>
    <row r="101" spans="1:13" x14ac:dyDescent="0.25">
      <c r="A101" s="1" t="s">
        <v>46</v>
      </c>
      <c r="D101" s="3">
        <v>7</v>
      </c>
      <c r="E101" s="1">
        <f>AVERAGE(E94:E100)</f>
        <v>1.719354398774109E-7</v>
      </c>
      <c r="F101" s="1">
        <v>250</v>
      </c>
      <c r="G101" s="1">
        <v>3.7</v>
      </c>
      <c r="H101" s="1">
        <v>7.0000000000000007E-2</v>
      </c>
      <c r="I101" s="1">
        <v>120</v>
      </c>
      <c r="J101" s="1">
        <v>1.4999999999999999E-4</v>
      </c>
      <c r="K101" s="1">
        <f t="shared" si="27"/>
        <v>7.0945945945945952E-7</v>
      </c>
      <c r="L101" s="1">
        <f t="shared" si="26"/>
        <v>1.4327953323117576E-9</v>
      </c>
      <c r="M101" s="1">
        <v>4</v>
      </c>
    </row>
    <row r="102" spans="1:13" x14ac:dyDescent="0.25">
      <c r="A102" s="1" t="s">
        <v>60</v>
      </c>
      <c r="C102" s="1">
        <v>1.3789837163650511</v>
      </c>
      <c r="D102" s="3">
        <v>1</v>
      </c>
      <c r="E102" s="1">
        <f t="shared" si="17"/>
        <v>4.3727286794934396E-8</v>
      </c>
      <c r="F102" s="1">
        <v>250</v>
      </c>
      <c r="G102" s="1">
        <v>3.7</v>
      </c>
      <c r="H102" s="1">
        <v>7.0000000000000007E-2</v>
      </c>
      <c r="I102" s="1">
        <v>120</v>
      </c>
      <c r="J102" s="1">
        <v>1.4999999999999999E-4</v>
      </c>
      <c r="M102" s="1">
        <v>2</v>
      </c>
    </row>
    <row r="103" spans="1:13" x14ac:dyDescent="0.25">
      <c r="C103" s="1">
        <v>3.5579821022596616</v>
      </c>
      <c r="D103" s="3">
        <v>1</v>
      </c>
      <c r="E103" s="1">
        <f t="shared" si="17"/>
        <v>1.1282287234461128E-7</v>
      </c>
      <c r="F103" s="1">
        <v>250</v>
      </c>
      <c r="G103" s="1">
        <v>3.7</v>
      </c>
      <c r="H103" s="1">
        <v>7.0000000000000007E-2</v>
      </c>
      <c r="I103" s="1">
        <v>120</v>
      </c>
      <c r="J103" s="1">
        <v>1.4999999999999999E-4</v>
      </c>
      <c r="M103" s="1">
        <v>2</v>
      </c>
    </row>
    <row r="104" spans="1:13" x14ac:dyDescent="0.25">
      <c r="C104" s="1">
        <v>7.0912882919819307</v>
      </c>
      <c r="D104" s="3">
        <v>1</v>
      </c>
      <c r="E104" s="1">
        <f t="shared" si="17"/>
        <v>2.2486327663565232E-7</v>
      </c>
      <c r="F104" s="1">
        <v>250</v>
      </c>
      <c r="G104" s="1">
        <v>3.7</v>
      </c>
      <c r="H104" s="1">
        <v>7.0000000000000007E-2</v>
      </c>
      <c r="I104" s="1">
        <v>120</v>
      </c>
      <c r="J104" s="1">
        <v>1.4999999999999999E-4</v>
      </c>
      <c r="M104" s="1">
        <v>2</v>
      </c>
    </row>
    <row r="105" spans="1:13" x14ac:dyDescent="0.25">
      <c r="C105" s="1">
        <v>11.653687667429564</v>
      </c>
      <c r="D105" s="3">
        <v>1</v>
      </c>
      <c r="E105" s="1">
        <f t="shared" si="17"/>
        <v>3.6953601177795418E-7</v>
      </c>
      <c r="F105" s="1">
        <v>250</v>
      </c>
      <c r="G105" s="1">
        <v>3.7</v>
      </c>
      <c r="H105" s="1">
        <v>7.0000000000000007E-2</v>
      </c>
      <c r="I105" s="1">
        <v>120</v>
      </c>
      <c r="J105" s="1">
        <v>1.4999999999999999E-4</v>
      </c>
      <c r="M105" s="1">
        <v>2</v>
      </c>
    </row>
    <row r="106" spans="1:13" x14ac:dyDescent="0.25">
      <c r="C106" s="1">
        <v>14.832860150692447</v>
      </c>
      <c r="D106" s="3">
        <v>1</v>
      </c>
      <c r="E106" s="1">
        <f t="shared" si="17"/>
        <v>4.7034690990272863E-7</v>
      </c>
      <c r="F106" s="1">
        <v>250</v>
      </c>
      <c r="G106" s="1">
        <v>3.7</v>
      </c>
      <c r="H106" s="1">
        <v>7.0000000000000007E-2</v>
      </c>
      <c r="I106" s="1">
        <v>120</v>
      </c>
      <c r="J106" s="1">
        <v>1.4999999999999999E-4</v>
      </c>
      <c r="M106" s="1">
        <v>2</v>
      </c>
    </row>
    <row r="107" spans="1:13" x14ac:dyDescent="0.25">
      <c r="A107" s="1" t="s">
        <v>46</v>
      </c>
      <c r="D107" s="3">
        <v>5</v>
      </c>
      <c r="E107" s="1">
        <f>AVERAGE(E102:E106)</f>
        <v>2.4425927149117614E-7</v>
      </c>
      <c r="F107" s="1">
        <v>250</v>
      </c>
      <c r="G107" s="1">
        <v>3.7</v>
      </c>
      <c r="H107" s="1">
        <v>7.0000000000000007E-2</v>
      </c>
      <c r="I107" s="1">
        <v>120</v>
      </c>
      <c r="J107" s="1">
        <v>1.4999999999999999E-4</v>
      </c>
      <c r="K107" s="1">
        <f t="shared" si="27"/>
        <v>7.0945945945945952E-7</v>
      </c>
      <c r="L107" s="1">
        <f t="shared" si="26"/>
        <v>2.0354939290931345E-9</v>
      </c>
      <c r="M107" s="1">
        <v>4</v>
      </c>
    </row>
    <row r="108" spans="1:13" x14ac:dyDescent="0.25">
      <c r="A108" s="1" t="s">
        <v>61</v>
      </c>
      <c r="C108" s="1">
        <v>2.9546064526430573</v>
      </c>
      <c r="D108" s="3">
        <v>1</v>
      </c>
      <c r="E108" s="1">
        <f t="shared" ref="E108:E114" si="28">C108/D108/365/24/60/60</f>
        <v>9.3689956007199952E-8</v>
      </c>
      <c r="F108" s="1">
        <v>250</v>
      </c>
      <c r="G108" s="1">
        <v>3.7</v>
      </c>
      <c r="H108" s="1">
        <v>7.0000000000000007E-2</v>
      </c>
      <c r="I108" s="1">
        <v>120</v>
      </c>
      <c r="J108" s="1">
        <v>1.4999999999999999E-4</v>
      </c>
      <c r="M108" s="1">
        <v>2</v>
      </c>
    </row>
    <row r="109" spans="1:13" x14ac:dyDescent="0.25">
      <c r="C109" s="1">
        <v>3.334802147054607</v>
      </c>
      <c r="D109" s="3">
        <v>1</v>
      </c>
      <c r="E109" s="1">
        <f t="shared" si="28"/>
        <v>1.0574588239011313E-7</v>
      </c>
      <c r="F109" s="1">
        <v>250</v>
      </c>
      <c r="G109" s="1">
        <v>3.7</v>
      </c>
      <c r="H109" s="1">
        <v>7.0000000000000007E-2</v>
      </c>
      <c r="I109" s="1">
        <v>120</v>
      </c>
      <c r="J109" s="1">
        <v>1.4999999999999999E-4</v>
      </c>
      <c r="M109" s="1">
        <v>2</v>
      </c>
    </row>
    <row r="110" spans="1:13" x14ac:dyDescent="0.25">
      <c r="C110" s="1">
        <v>2.8456340523686388</v>
      </c>
      <c r="D110" s="3">
        <v>1</v>
      </c>
      <c r="E110" s="1">
        <f t="shared" si="28"/>
        <v>9.0234463862526594E-8</v>
      </c>
      <c r="F110" s="1">
        <v>250</v>
      </c>
      <c r="G110" s="1">
        <v>3.7</v>
      </c>
      <c r="H110" s="1">
        <v>7.0000000000000007E-2</v>
      </c>
      <c r="I110" s="1">
        <v>120</v>
      </c>
      <c r="J110" s="1">
        <v>1.4999999999999999E-4</v>
      </c>
      <c r="M110" s="1">
        <v>2</v>
      </c>
    </row>
    <row r="111" spans="1:13" x14ac:dyDescent="0.25">
      <c r="C111" s="1">
        <v>2.7216401305095359</v>
      </c>
      <c r="D111" s="3">
        <v>1</v>
      </c>
      <c r="E111" s="1">
        <f t="shared" si="28"/>
        <v>8.6302642393123277E-8</v>
      </c>
      <c r="F111" s="1">
        <v>250</v>
      </c>
      <c r="G111" s="1">
        <v>3.7</v>
      </c>
      <c r="H111" s="1">
        <v>7.0000000000000007E-2</v>
      </c>
      <c r="I111" s="1">
        <v>120</v>
      </c>
      <c r="J111" s="1">
        <v>1.4999999999999999E-4</v>
      </c>
      <c r="M111" s="1">
        <v>2</v>
      </c>
    </row>
    <row r="112" spans="1:13" x14ac:dyDescent="0.25">
      <c r="C112" s="1">
        <v>5.6740961429993479</v>
      </c>
      <c r="D112" s="3">
        <v>1</v>
      </c>
      <c r="E112" s="1">
        <f t="shared" si="28"/>
        <v>1.7992440839039025E-7</v>
      </c>
      <c r="F112" s="1">
        <v>250</v>
      </c>
      <c r="G112" s="1">
        <v>3.7</v>
      </c>
      <c r="H112" s="1">
        <v>7.0000000000000007E-2</v>
      </c>
      <c r="I112" s="1">
        <v>120</v>
      </c>
      <c r="J112" s="1">
        <v>1.4999999999999999E-4</v>
      </c>
      <c r="M112" s="1">
        <v>2</v>
      </c>
    </row>
    <row r="113" spans="1:13" x14ac:dyDescent="0.25">
      <c r="C113" s="1">
        <v>13.650514695058197</v>
      </c>
      <c r="D113" s="3">
        <v>1</v>
      </c>
      <c r="E113" s="1">
        <f t="shared" si="28"/>
        <v>4.3285498145161714E-7</v>
      </c>
      <c r="F113" s="1">
        <v>250</v>
      </c>
      <c r="G113" s="1">
        <v>3.7</v>
      </c>
      <c r="H113" s="1">
        <v>7.0000000000000007E-2</v>
      </c>
      <c r="I113" s="1">
        <v>120</v>
      </c>
      <c r="J113" s="1">
        <v>1.4999999999999999E-4</v>
      </c>
      <c r="M113" s="1">
        <v>2</v>
      </c>
    </row>
    <row r="114" spans="1:13" x14ac:dyDescent="0.25">
      <c r="C114" s="1">
        <v>11.466212495850582</v>
      </c>
      <c r="D114" s="3">
        <v>1</v>
      </c>
      <c r="E114" s="1">
        <f t="shared" si="28"/>
        <v>3.6359121308506407E-7</v>
      </c>
      <c r="F114" s="1">
        <v>250</v>
      </c>
      <c r="G114" s="1">
        <v>3.7</v>
      </c>
      <c r="H114" s="1">
        <v>7.0000000000000007E-2</v>
      </c>
      <c r="I114" s="1">
        <v>120</v>
      </c>
      <c r="J114" s="1">
        <v>1.4999999999999999E-4</v>
      </c>
      <c r="M114" s="1">
        <v>2</v>
      </c>
    </row>
    <row r="115" spans="1:13" x14ac:dyDescent="0.25">
      <c r="A115" s="1" t="s">
        <v>46</v>
      </c>
      <c r="D115" s="3">
        <v>7</v>
      </c>
      <c r="E115" s="1">
        <f>AVERAGE(E108:E114)</f>
        <v>1.9319193536857636E-7</v>
      </c>
      <c r="F115" s="1">
        <v>250</v>
      </c>
      <c r="G115" s="1">
        <v>3.7</v>
      </c>
      <c r="H115" s="1">
        <v>7.0000000000000007E-2</v>
      </c>
      <c r="I115" s="1">
        <v>120</v>
      </c>
      <c r="J115" s="1">
        <v>1.4999999999999999E-4</v>
      </c>
      <c r="K115" s="1">
        <f t="shared" si="27"/>
        <v>7.0945945945945952E-7</v>
      </c>
      <c r="L115" s="1">
        <f t="shared" si="26"/>
        <v>1.6099327947381363E-9</v>
      </c>
      <c r="M115" s="1">
        <v>4</v>
      </c>
    </row>
    <row r="116" spans="1:13" x14ac:dyDescent="0.25">
      <c r="A116" s="1" t="s">
        <v>62</v>
      </c>
      <c r="B116" s="1" t="s">
        <v>86</v>
      </c>
      <c r="C116" s="1">
        <v>22.11</v>
      </c>
      <c r="D116" s="3">
        <v>1</v>
      </c>
      <c r="E116" s="1">
        <f>C116/D116/365/24/60/60</f>
        <v>7.01103500761035E-7</v>
      </c>
      <c r="F116" s="1">
        <v>9685</v>
      </c>
      <c r="G116" s="1">
        <v>2.5</v>
      </c>
      <c r="H116" s="1">
        <v>2E-3</v>
      </c>
      <c r="I116" s="1">
        <v>948.18000000000006</v>
      </c>
      <c r="J116" s="1">
        <v>5.0000000000000002E-5</v>
      </c>
      <c r="K116" s="1">
        <f t="shared" si="27"/>
        <v>3.8740000000000004E-7</v>
      </c>
      <c r="L116" s="1">
        <f t="shared" si="26"/>
        <v>7.3942025855959311E-10</v>
      </c>
      <c r="M116" s="1">
        <v>2</v>
      </c>
    </row>
    <row r="117" spans="1:13" x14ac:dyDescent="0.25">
      <c r="C117" s="1">
        <v>23.86</v>
      </c>
      <c r="D117" s="3">
        <v>1</v>
      </c>
      <c r="E117" s="1">
        <f t="shared" ref="E117:E120" si="29">C117/D117/365/24/60/60</f>
        <v>7.5659563673262308E-7</v>
      </c>
      <c r="F117" s="1">
        <v>9685</v>
      </c>
      <c r="G117" s="1">
        <v>2.5</v>
      </c>
      <c r="H117" s="1">
        <v>2E-3</v>
      </c>
      <c r="I117" s="1">
        <v>1186.33</v>
      </c>
      <c r="J117" s="1">
        <v>5.0000000000000002E-5</v>
      </c>
      <c r="K117" s="1">
        <f t="shared" si="27"/>
        <v>3.8740000000000004E-7</v>
      </c>
      <c r="L117" s="1">
        <f t="shared" si="26"/>
        <v>6.3776153071457617E-10</v>
      </c>
      <c r="M117" s="1">
        <v>2</v>
      </c>
    </row>
    <row r="118" spans="1:13" x14ac:dyDescent="0.25">
      <c r="C118" s="1">
        <v>22.46</v>
      </c>
      <c r="D118" s="3">
        <v>1</v>
      </c>
      <c r="E118" s="1">
        <f t="shared" si="29"/>
        <v>7.1220192795535262E-7</v>
      </c>
      <c r="F118" s="1">
        <v>9685</v>
      </c>
      <c r="G118" s="1">
        <v>2.5</v>
      </c>
      <c r="H118" s="1">
        <v>2E-3</v>
      </c>
      <c r="I118" s="1">
        <v>1179.7160000000001</v>
      </c>
      <c r="J118" s="1">
        <v>5.0000000000000002E-5</v>
      </c>
      <c r="K118" s="1">
        <f t="shared" si="27"/>
        <v>3.8740000000000004E-7</v>
      </c>
      <c r="L118" s="1">
        <f t="shared" si="26"/>
        <v>6.0370625468786768E-10</v>
      </c>
      <c r="M118" s="1">
        <v>2</v>
      </c>
    </row>
    <row r="119" spans="1:13" x14ac:dyDescent="0.25">
      <c r="C119" s="1">
        <v>23.51</v>
      </c>
      <c r="D119" s="3">
        <v>1</v>
      </c>
      <c r="E119" s="1">
        <f t="shared" si="29"/>
        <v>7.4549720953830546E-7</v>
      </c>
      <c r="F119" s="1">
        <v>9685</v>
      </c>
      <c r="G119" s="1">
        <v>2.5</v>
      </c>
      <c r="H119" s="1">
        <v>2E-3</v>
      </c>
      <c r="I119" s="1">
        <v>1076.08</v>
      </c>
      <c r="J119" s="1">
        <v>5.0000000000000002E-5</v>
      </c>
      <c r="K119" s="1">
        <f t="shared" si="27"/>
        <v>3.8740000000000004E-7</v>
      </c>
      <c r="L119" s="1">
        <f t="shared" si="26"/>
        <v>6.9278976427245694E-10</v>
      </c>
      <c r="M119" s="1">
        <v>2</v>
      </c>
    </row>
    <row r="120" spans="1:13" x14ac:dyDescent="0.25">
      <c r="A120" s="1" t="s">
        <v>63</v>
      </c>
      <c r="B120" s="1" t="s">
        <v>87</v>
      </c>
      <c r="C120" s="1">
        <f>4.28+5.34+1.06+1.32+6.13</f>
        <v>18.130000000000003</v>
      </c>
      <c r="D120" s="3">
        <v>3</v>
      </c>
      <c r="E120" s="1">
        <f t="shared" si="29"/>
        <v>1.9163284288855068E-7</v>
      </c>
      <c r="F120" s="1">
        <v>800</v>
      </c>
      <c r="G120" s="1">
        <v>2</v>
      </c>
      <c r="H120" s="1">
        <v>0.05</v>
      </c>
      <c r="I120" s="1">
        <v>250</v>
      </c>
      <c r="J120" s="1">
        <v>1.03E-4</v>
      </c>
      <c r="K120" s="1">
        <f t="shared" si="27"/>
        <v>2.0600000000000002E-6</v>
      </c>
      <c r="L120" s="1">
        <f t="shared" si="26"/>
        <v>7.6653137155420272E-10</v>
      </c>
      <c r="M120" s="1">
        <v>3</v>
      </c>
    </row>
    <row r="122" spans="1:13" x14ac:dyDescent="0.25">
      <c r="G122" s="9"/>
      <c r="H122" s="8"/>
      <c r="I122" s="8"/>
      <c r="J122" s="8"/>
    </row>
    <row r="123" spans="1:13" x14ac:dyDescent="0.25">
      <c r="G123" s="9"/>
      <c r="H123" s="8"/>
      <c r="I123" s="8"/>
      <c r="J123" s="8"/>
    </row>
    <row r="124" spans="1:13" x14ac:dyDescent="0.25">
      <c r="G124" s="9"/>
      <c r="H124" s="8"/>
      <c r="I124" s="8"/>
      <c r="J124" s="8"/>
    </row>
    <row r="125" spans="1:13" x14ac:dyDescent="0.25">
      <c r="G125" s="9"/>
      <c r="H125" s="8"/>
      <c r="I125" s="8"/>
      <c r="J125" s="8"/>
    </row>
    <row r="126" spans="1:13" x14ac:dyDescent="0.25">
      <c r="G126" s="9"/>
      <c r="H126" s="8"/>
      <c r="I126" s="8"/>
      <c r="J126" s="8"/>
    </row>
    <row r="127" spans="1:13" x14ac:dyDescent="0.25">
      <c r="G127" s="9"/>
      <c r="H127" s="8"/>
      <c r="I127" s="8"/>
      <c r="J127" s="8"/>
    </row>
    <row r="128" spans="1:13" x14ac:dyDescent="0.25">
      <c r="G128" s="9"/>
      <c r="H128" s="8"/>
      <c r="I128" s="8"/>
      <c r="J128" s="8"/>
    </row>
    <row r="129" spans="7:10" x14ac:dyDescent="0.25">
      <c r="G129" s="9"/>
      <c r="H129" s="8"/>
      <c r="I129" s="8"/>
      <c r="J129" s="8"/>
    </row>
    <row r="130" spans="7:10" x14ac:dyDescent="0.25">
      <c r="G130" s="9"/>
      <c r="H130" s="8"/>
      <c r="I130" s="8"/>
      <c r="J130" s="8"/>
    </row>
    <row r="131" spans="7:10" x14ac:dyDescent="0.25">
      <c r="G131" s="9"/>
      <c r="H131" s="8"/>
      <c r="I131" s="8"/>
      <c r="J131" s="8"/>
    </row>
    <row r="132" spans="7:10" x14ac:dyDescent="0.25">
      <c r="G132" s="9"/>
      <c r="H132" s="8"/>
      <c r="I132" s="8"/>
      <c r="J132" s="8"/>
    </row>
    <row r="133" spans="7:10" x14ac:dyDescent="0.25">
      <c r="G133" s="9"/>
      <c r="H133" s="8"/>
      <c r="I133" s="8"/>
      <c r="J133" s="8"/>
    </row>
    <row r="134" spans="7:10" x14ac:dyDescent="0.25">
      <c r="G134" s="9"/>
      <c r="H134" s="8"/>
      <c r="I134" s="8"/>
      <c r="J134" s="8"/>
    </row>
    <row r="135" spans="7:10" x14ac:dyDescent="0.25">
      <c r="G135" s="9"/>
      <c r="H135" s="8"/>
      <c r="I135" s="8"/>
      <c r="J135" s="8"/>
    </row>
    <row r="136" spans="7:10" x14ac:dyDescent="0.25">
      <c r="G136" s="9"/>
      <c r="H136" s="8"/>
      <c r="I136" s="8"/>
      <c r="J136" s="8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C491-F318-4725-8247-6F5AAD6D42D9}">
  <dimension ref="A1:N120"/>
  <sheetViews>
    <sheetView workbookViewId="0">
      <selection activeCell="M1" sqref="M1:N1048576"/>
    </sheetView>
  </sheetViews>
  <sheetFormatPr defaultRowHeight="15.75" x14ac:dyDescent="0.25"/>
  <cols>
    <col min="1" max="1" width="45.375" style="1" customWidth="1"/>
    <col min="2" max="2" width="24.125" style="1" customWidth="1"/>
    <col min="3" max="3" width="34.625" style="1" customWidth="1"/>
    <col min="4" max="4" width="20.75" style="1" customWidth="1"/>
    <col min="5" max="5" width="35.625" style="1" customWidth="1"/>
    <col min="6" max="6" width="20.875" style="1" customWidth="1"/>
    <col min="7" max="7" width="40.5" style="1" customWidth="1"/>
    <col min="8" max="8" width="21.625" style="1" customWidth="1"/>
    <col min="9" max="9" width="35.25" style="1" customWidth="1"/>
    <col min="10" max="10" width="22.875" style="1" customWidth="1"/>
    <col min="11" max="11" width="35.75" style="1" customWidth="1"/>
    <col min="12" max="12" width="24.625" style="1" customWidth="1"/>
    <col min="13" max="13" width="44.125" style="1" customWidth="1"/>
    <col min="14" max="14" width="35" style="1" customWidth="1"/>
    <col min="15" max="16384" width="9" style="1"/>
  </cols>
  <sheetData>
    <row r="1" spans="1:14" x14ac:dyDescent="0.25">
      <c r="A1" s="1" t="s">
        <v>102</v>
      </c>
      <c r="B1" s="1" t="s">
        <v>95</v>
      </c>
      <c r="C1" s="1" t="s">
        <v>96</v>
      </c>
      <c r="D1" s="1" t="s">
        <v>95</v>
      </c>
      <c r="E1" s="1" t="s">
        <v>97</v>
      </c>
      <c r="F1" s="1" t="s">
        <v>95</v>
      </c>
      <c r="G1" s="1" t="s">
        <v>98</v>
      </c>
      <c r="H1" s="1" t="s">
        <v>95</v>
      </c>
      <c r="I1" s="1" t="s">
        <v>99</v>
      </c>
      <c r="J1" s="1" t="s">
        <v>95</v>
      </c>
      <c r="K1" s="1" t="s">
        <v>100</v>
      </c>
      <c r="L1" s="1" t="s">
        <v>95</v>
      </c>
      <c r="M1" s="1" t="s">
        <v>103</v>
      </c>
      <c r="N1" s="1" t="s">
        <v>95</v>
      </c>
    </row>
    <row r="2" spans="1:14" x14ac:dyDescent="0.2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spans="1:14" x14ac:dyDescent="0.25">
      <c r="A3" s="1">
        <v>1.5736799999999999E-4</v>
      </c>
      <c r="B3" s="1">
        <v>1.9620667102681499E-4</v>
      </c>
      <c r="C3" s="1">
        <v>2.1000000000000001E-4</v>
      </c>
      <c r="D3" s="1">
        <v>1.9620667102681499E-4</v>
      </c>
      <c r="E3" s="1">
        <v>1.7899999999999999E-4</v>
      </c>
      <c r="F3" s="1">
        <v>1.9620667102681499E-4</v>
      </c>
      <c r="G3" s="2">
        <v>3.2016819427383498E-5</v>
      </c>
      <c r="H3" s="2">
        <v>2.7181057146810599E-6</v>
      </c>
      <c r="I3" s="2">
        <v>6.9945999999999997E-5</v>
      </c>
      <c r="J3" s="2">
        <v>2.7181057146810599E-6</v>
      </c>
      <c r="K3" s="2">
        <v>4.4026039493051301E-5</v>
      </c>
      <c r="L3" s="2">
        <v>2.7181057146810599E-6</v>
      </c>
    </row>
    <row r="4" spans="1:14" x14ac:dyDescent="0.25">
      <c r="A4" s="1">
        <v>2.7965999999999999E-4</v>
      </c>
      <c r="B4" s="1">
        <v>2.1596757681573999E-4</v>
      </c>
      <c r="C4" s="1">
        <v>2.1000000000000001E-4</v>
      </c>
      <c r="D4" s="1">
        <v>2.1596757681573999E-4</v>
      </c>
      <c r="E4" s="1">
        <v>1.5799999999999999E-4</v>
      </c>
      <c r="F4" s="1">
        <v>2.1596757681573999E-4</v>
      </c>
      <c r="G4" s="2">
        <v>4.1999999999999998E-5</v>
      </c>
      <c r="H4" s="2">
        <v>1.23792270531401E-5</v>
      </c>
      <c r="I4" s="2">
        <v>6.9969999999999996E-5</v>
      </c>
      <c r="J4" s="2">
        <v>1.23792270531401E-5</v>
      </c>
      <c r="K4" s="2">
        <v>4.6735905325443802E-5</v>
      </c>
      <c r="L4" s="2">
        <v>1.23792270531401E-5</v>
      </c>
    </row>
    <row r="5" spans="1:14" x14ac:dyDescent="0.25">
      <c r="A5" s="1">
        <v>4.0195200000000002E-4</v>
      </c>
      <c r="B5" s="1">
        <v>4.1744382271960201E-4</v>
      </c>
      <c r="C5" s="1">
        <v>2.1000000000000001E-4</v>
      </c>
      <c r="D5" s="1">
        <v>4.1744382271960201E-4</v>
      </c>
      <c r="E5" s="1">
        <v>1.37E-4</v>
      </c>
      <c r="F5" s="1">
        <v>4.1744382271960201E-4</v>
      </c>
      <c r="G5" s="2">
        <v>4.1999999999999998E-5</v>
      </c>
      <c r="H5" s="2">
        <v>1.5398550724637701E-5</v>
      </c>
      <c r="I5" s="2">
        <v>6.9969999999999996E-5</v>
      </c>
      <c r="J5" s="2">
        <v>1.5398550724637701E-5</v>
      </c>
      <c r="K5" s="2">
        <v>4.6735905325443802E-5</v>
      </c>
      <c r="L5" s="2">
        <v>1.5398550724637701E-5</v>
      </c>
    </row>
    <row r="6" spans="1:14" x14ac:dyDescent="0.25">
      <c r="A6" s="1">
        <v>1.5222E-4</v>
      </c>
      <c r="B6" s="2">
        <v>4.4726123862814501E-5</v>
      </c>
      <c r="C6" s="1">
        <v>1.2E-4</v>
      </c>
      <c r="D6" s="2">
        <v>4.4726123862814501E-5</v>
      </c>
      <c r="E6" s="1">
        <v>1.5799999999999999E-4</v>
      </c>
      <c r="F6" s="2">
        <v>4.4726123862814501E-5</v>
      </c>
      <c r="G6" s="2">
        <v>4.1999999999999998E-5</v>
      </c>
      <c r="H6" s="2">
        <v>1.81159420289855E-5</v>
      </c>
      <c r="I6" s="2">
        <v>6.9969999999999996E-5</v>
      </c>
      <c r="J6" s="2">
        <v>1.81159420289855E-5</v>
      </c>
      <c r="K6" s="2">
        <v>4.6735905325443802E-5</v>
      </c>
      <c r="L6" s="2">
        <v>1.81159420289855E-5</v>
      </c>
    </row>
    <row r="7" spans="1:14" x14ac:dyDescent="0.25">
      <c r="A7" s="2">
        <v>4.3139999999999904E-6</v>
      </c>
      <c r="B7" s="2">
        <v>1.50705088902514E-5</v>
      </c>
      <c r="C7" s="2">
        <v>1.5E-5</v>
      </c>
      <c r="D7" s="2">
        <v>1.50705088902514E-5</v>
      </c>
      <c r="E7" s="1">
        <v>1.4750000000000001E-4</v>
      </c>
      <c r="F7" s="2">
        <v>1.50705088902514E-5</v>
      </c>
      <c r="G7" s="2">
        <v>4.8000000000000001E-5</v>
      </c>
      <c r="H7" s="2">
        <v>4.0000000000000003E-5</v>
      </c>
      <c r="I7" s="2">
        <v>6.9992499999999998E-5</v>
      </c>
      <c r="J7" s="2">
        <v>4.0000000000000003E-5</v>
      </c>
      <c r="K7" s="2">
        <v>4.8698224852070997E-5</v>
      </c>
      <c r="L7" s="2">
        <v>4.0000000000000003E-5</v>
      </c>
    </row>
    <row r="8" spans="1:14" x14ac:dyDescent="0.25">
      <c r="A8" s="2">
        <v>4.3139999999999904E-6</v>
      </c>
      <c r="B8" s="2">
        <v>1.07522464698331E-5</v>
      </c>
      <c r="C8" s="2">
        <v>1.5E-5</v>
      </c>
      <c r="D8" s="2">
        <v>1.07522464698331E-5</v>
      </c>
      <c r="E8" s="1">
        <v>1.4750000000000001E-4</v>
      </c>
      <c r="F8" s="2">
        <v>1.07522464698331E-5</v>
      </c>
      <c r="G8" s="1">
        <v>1.3200000000000001E-4</v>
      </c>
      <c r="H8" s="1">
        <v>1E-4</v>
      </c>
      <c r="I8" s="2">
        <v>6.9979899999999997E-5</v>
      </c>
      <c r="J8" s="1">
        <v>1E-4</v>
      </c>
      <c r="K8" s="1">
        <v>1.02474130177515E-4</v>
      </c>
      <c r="L8" s="1">
        <v>1E-4</v>
      </c>
    </row>
    <row r="9" spans="1:14" x14ac:dyDescent="0.25">
      <c r="A9" s="2">
        <v>6.8939999999999902E-6</v>
      </c>
      <c r="B9" s="2">
        <v>8.1971303805364907E-6</v>
      </c>
      <c r="C9" s="2">
        <v>1.5E-5</v>
      </c>
      <c r="D9" s="2">
        <v>8.1971303805364907E-6</v>
      </c>
      <c r="E9" s="1">
        <v>1.125E-4</v>
      </c>
      <c r="F9" s="2">
        <v>8.1971303805364907E-6</v>
      </c>
      <c r="G9" s="1">
        <v>2.14E-4</v>
      </c>
      <c r="H9" s="1">
        <v>2.0000000000000001E-4</v>
      </c>
      <c r="I9" s="2">
        <v>6.9967600000000004E-5</v>
      </c>
      <c r="J9" s="1">
        <v>2.0000000000000001E-4</v>
      </c>
      <c r="K9" s="1">
        <v>2.0232975147928999E-4</v>
      </c>
      <c r="L9" s="1">
        <v>2.0000000000000001E-4</v>
      </c>
    </row>
    <row r="10" spans="1:14" x14ac:dyDescent="0.25">
      <c r="A10" s="2">
        <v>6.8939999999999902E-6</v>
      </c>
      <c r="B10" s="2">
        <v>8.4397163120567399E-6</v>
      </c>
      <c r="C10" s="2">
        <v>1.5E-5</v>
      </c>
      <c r="D10" s="2">
        <v>8.4397163120567399E-6</v>
      </c>
      <c r="E10" s="1">
        <v>1.125E-4</v>
      </c>
      <c r="F10" s="2">
        <v>8.4397163120567399E-6</v>
      </c>
      <c r="G10" s="1">
        <v>1.04666666666667E-4</v>
      </c>
      <c r="H10" s="1">
        <v>1.19756034291465E-4</v>
      </c>
      <c r="I10" s="2">
        <v>6.9880000000000002E-5</v>
      </c>
      <c r="J10" s="1">
        <v>1.19756034291465E-4</v>
      </c>
      <c r="K10" s="2">
        <v>7.9586587771203203E-5</v>
      </c>
      <c r="L10" s="1">
        <v>1.19756034291465E-4</v>
      </c>
    </row>
    <row r="11" spans="1:14" x14ac:dyDescent="0.25">
      <c r="A11" s="2">
        <v>9.4739999999999808E-6</v>
      </c>
      <c r="B11" s="2">
        <v>1.9853976531942601E-5</v>
      </c>
      <c r="C11" s="2">
        <v>1.5E-5</v>
      </c>
      <c r="D11" s="2">
        <v>1.9853976531942601E-5</v>
      </c>
      <c r="E11" s="2">
        <v>7.75E-5</v>
      </c>
      <c r="F11" s="2">
        <v>1.9853976531942601E-5</v>
      </c>
      <c r="G11" s="1">
        <v>1.04666666666667E-4</v>
      </c>
      <c r="H11" s="1">
        <v>1.88276489580276E-4</v>
      </c>
      <c r="I11" s="2">
        <v>6.9927999999999999E-5</v>
      </c>
      <c r="J11" s="1">
        <v>1.88276489580276E-4</v>
      </c>
      <c r="K11" s="2">
        <v>7.9586587771203203E-5</v>
      </c>
      <c r="L11" s="1">
        <v>1.88276489580276E-4</v>
      </c>
      <c r="M11" s="2">
        <v>2.5338300000000001E-8</v>
      </c>
      <c r="N11" s="2">
        <v>2.37823439878234E-8</v>
      </c>
    </row>
    <row r="12" spans="1:14" x14ac:dyDescent="0.25">
      <c r="A12" s="2">
        <v>9.4739999999999808E-6</v>
      </c>
      <c r="B12" s="2">
        <v>3.3031111111111098E-5</v>
      </c>
      <c r="C12" s="2">
        <v>1.5E-5</v>
      </c>
      <c r="D12" s="2">
        <v>3.3031111111111098E-5</v>
      </c>
      <c r="E12" s="2">
        <v>7.75E-5</v>
      </c>
      <c r="F12" s="2">
        <v>3.3031111111111098E-5</v>
      </c>
      <c r="G12" s="1">
        <v>1.04666666666667E-4</v>
      </c>
      <c r="H12" s="2">
        <v>8.4621559719064894E-5</v>
      </c>
      <c r="I12" s="2">
        <v>6.9880000000000002E-5</v>
      </c>
      <c r="J12" s="2">
        <v>8.4621559719064894E-5</v>
      </c>
      <c r="K12" s="2">
        <v>7.9586587771203203E-5</v>
      </c>
      <c r="L12" s="2">
        <v>8.4621559719064894E-5</v>
      </c>
      <c r="M12" s="2">
        <v>2.1146400000000001E-8</v>
      </c>
      <c r="N12" s="2">
        <v>3.30778430093499E-9</v>
      </c>
    </row>
    <row r="13" spans="1:14" x14ac:dyDescent="0.25">
      <c r="A13" s="2">
        <v>2.5332240000000001E-5</v>
      </c>
      <c r="B13" s="2">
        <v>2.7756829227417502E-6</v>
      </c>
      <c r="C13" s="2">
        <v>4.1999999999999998E-5</v>
      </c>
      <c r="D13" s="2">
        <v>2.7756829227417502E-6</v>
      </c>
      <c r="E13" s="1">
        <v>1.7689999999999999E-4</v>
      </c>
      <c r="F13" s="2">
        <v>2.7756829227417502E-6</v>
      </c>
      <c r="G13" s="1">
        <v>1.26888888888889E-4</v>
      </c>
      <c r="H13" s="1">
        <v>1.25454533333333E-4</v>
      </c>
      <c r="I13" s="2">
        <v>6.9826000000000005E-5</v>
      </c>
      <c r="J13" s="1">
        <v>1.25454533333333E-4</v>
      </c>
      <c r="K13" s="2">
        <v>9.7799167214551901E-5</v>
      </c>
      <c r="L13" s="1">
        <v>1.25454533333333E-4</v>
      </c>
      <c r="M13" s="2">
        <v>2.1085680000000002E-8</v>
      </c>
      <c r="N13" s="2">
        <v>2.9544466188301802E-9</v>
      </c>
    </row>
    <row r="14" spans="1:14" x14ac:dyDescent="0.25">
      <c r="A14" s="1">
        <v>1.8433008E-4</v>
      </c>
      <c r="B14" s="1">
        <v>1.1996146352747E-4</v>
      </c>
      <c r="C14" s="1">
        <v>2.1000000000000001E-4</v>
      </c>
      <c r="D14" s="2">
        <v>1.1996146352747E-4</v>
      </c>
      <c r="E14" s="1">
        <v>1.3349999999999999E-4</v>
      </c>
      <c r="F14" s="1">
        <v>1.1996146352747E-4</v>
      </c>
      <c r="G14" s="1">
        <v>1.40222222222222E-4</v>
      </c>
      <c r="H14" s="2">
        <v>8.4134030237190496E-5</v>
      </c>
      <c r="I14" s="2">
        <v>6.9808000000000007E-5</v>
      </c>
      <c r="J14" s="2">
        <v>8.4134030237190496E-5</v>
      </c>
      <c r="K14" s="1">
        <v>1.10376156037695E-4</v>
      </c>
      <c r="L14" s="2">
        <v>8.4134030237190496E-5</v>
      </c>
      <c r="M14" s="2">
        <v>2.3293080000000001E-8</v>
      </c>
      <c r="N14" s="2">
        <v>2.1743857360295699E-9</v>
      </c>
    </row>
    <row r="15" spans="1:14" x14ac:dyDescent="0.25">
      <c r="A15" s="1">
        <v>1.5764256E-4</v>
      </c>
      <c r="B15" s="1">
        <v>1.45019339779153E-4</v>
      </c>
      <c r="C15" s="1">
        <v>2.1000000000000001E-4</v>
      </c>
      <c r="D15" s="1">
        <v>1.45019339779153E-4</v>
      </c>
      <c r="E15" s="1">
        <v>1.44E-4</v>
      </c>
      <c r="F15" s="1">
        <v>1.45019339779153E-4</v>
      </c>
      <c r="G15" s="1">
        <v>1.2799999999999999E-4</v>
      </c>
      <c r="H15" s="2">
        <v>3.83022774327122E-5</v>
      </c>
      <c r="I15" s="2">
        <v>6.8650000000000002E-5</v>
      </c>
      <c r="J15" s="2">
        <v>3.83022774327122E-5</v>
      </c>
      <c r="K15" s="2">
        <v>9.8800000000000003E-5</v>
      </c>
      <c r="L15" s="2">
        <v>3.83022774327122E-5</v>
      </c>
    </row>
    <row r="16" spans="1:14" x14ac:dyDescent="0.25">
      <c r="A16" s="1">
        <v>1.2205920000000001E-4</v>
      </c>
      <c r="B16" s="1">
        <v>1.8412065739118399E-4</v>
      </c>
      <c r="C16" s="1">
        <v>2.1000000000000001E-4</v>
      </c>
      <c r="D16" s="1">
        <v>1.8412065739118399E-4</v>
      </c>
      <c r="E16" s="1">
        <v>1.5799999999999999E-4</v>
      </c>
      <c r="F16" s="1">
        <v>1.8412065739118399E-4</v>
      </c>
      <c r="G16" s="1">
        <v>1.5200000000000001E-4</v>
      </c>
      <c r="H16" s="2">
        <v>3.83022774327122E-5</v>
      </c>
      <c r="I16" s="2">
        <v>6.8200000000000004E-5</v>
      </c>
      <c r="J16" s="2">
        <v>3.83022774327122E-5</v>
      </c>
      <c r="K16" s="1">
        <v>1.22514840236686E-4</v>
      </c>
      <c r="L16" s="2">
        <v>3.83022774327122E-5</v>
      </c>
      <c r="M16" s="2">
        <v>7.9200000000000008E-9</v>
      </c>
      <c r="N16" s="2">
        <v>8.9999999999999999E-10</v>
      </c>
    </row>
    <row r="17" spans="1:14" x14ac:dyDescent="0.25">
      <c r="A17" s="1">
        <v>1.0426752000000001E-4</v>
      </c>
      <c r="B17" s="1">
        <v>1.4669378573584001E-4</v>
      </c>
      <c r="C17" s="1">
        <v>2.1000000000000001E-4</v>
      </c>
      <c r="D17" s="1">
        <v>1.4669378573584001E-4</v>
      </c>
      <c r="E17" s="1">
        <v>1.65E-4</v>
      </c>
      <c r="F17" s="1">
        <v>1.4669378573584001E-4</v>
      </c>
      <c r="G17" s="2">
        <v>6.7999999999999999E-5</v>
      </c>
      <c r="H17" s="2">
        <v>6.6308243727598597E-6</v>
      </c>
      <c r="I17" s="2">
        <v>6.9076000000000001E-5</v>
      </c>
      <c r="J17" s="2">
        <v>6.6308243727598597E-6</v>
      </c>
      <c r="K17" s="2">
        <v>5.7048520710059198E-5</v>
      </c>
      <c r="L17" s="2">
        <v>6.6308243727598597E-6</v>
      </c>
      <c r="M17" s="2">
        <v>8.4323076923076896E-9</v>
      </c>
      <c r="N17" s="2">
        <v>1.8E-9</v>
      </c>
    </row>
    <row r="18" spans="1:14" x14ac:dyDescent="0.25">
      <c r="A18" s="2">
        <v>8.6475840000000006E-5</v>
      </c>
      <c r="B18" s="2">
        <v>9.7903730936819196E-5</v>
      </c>
      <c r="C18" s="1">
        <v>2.1000000000000001E-4</v>
      </c>
      <c r="D18" s="2">
        <v>9.7903730936819196E-5</v>
      </c>
      <c r="E18" s="1">
        <v>1.7200000000000001E-4</v>
      </c>
      <c r="F18" s="2">
        <v>9.7903730936819196E-5</v>
      </c>
      <c r="G18" s="2">
        <v>6.7999999999999999E-5</v>
      </c>
      <c r="H18" s="1">
        <v>1.1412E-4</v>
      </c>
      <c r="I18" s="2">
        <v>6.622E-5</v>
      </c>
      <c r="J18" s="1">
        <v>1.1412E-4</v>
      </c>
      <c r="K18" s="2">
        <v>5.7048520710059198E-5</v>
      </c>
      <c r="L18" s="1">
        <v>1.1412E-4</v>
      </c>
      <c r="M18" s="2">
        <v>7.6903448275862108E-9</v>
      </c>
      <c r="N18" s="2">
        <v>9.1000000000000004E-9</v>
      </c>
    </row>
    <row r="19" spans="1:14" x14ac:dyDescent="0.25">
      <c r="A19" s="1">
        <v>0</v>
      </c>
      <c r="B19" s="2">
        <v>2.7181057146810599E-6</v>
      </c>
      <c r="C19" s="2">
        <v>6.1710000000000004E-5</v>
      </c>
      <c r="D19" s="2">
        <v>2.7181057146810599E-6</v>
      </c>
      <c r="G19" s="2">
        <v>6.7999999999999999E-5</v>
      </c>
      <c r="H19" s="1">
        <v>1.284E-4</v>
      </c>
      <c r="I19" s="2">
        <v>6.8109999999999997E-5</v>
      </c>
      <c r="J19" s="1">
        <v>1.284E-4</v>
      </c>
      <c r="K19" s="2">
        <v>5.7048520710059198E-5</v>
      </c>
      <c r="L19" s="1">
        <v>1.284E-4</v>
      </c>
      <c r="M19" s="2">
        <v>8.1666666666666703E-9</v>
      </c>
      <c r="N19" s="2">
        <v>1.7199999999999999E-8</v>
      </c>
    </row>
    <row r="20" spans="1:14" x14ac:dyDescent="0.25">
      <c r="A20" s="1">
        <v>0</v>
      </c>
      <c r="B20" s="2">
        <v>1.23792270531401E-5</v>
      </c>
      <c r="C20" s="2">
        <v>6.135E-5</v>
      </c>
      <c r="D20" s="2">
        <v>1.23792270531401E-5</v>
      </c>
      <c r="G20" s="2">
        <v>6.7999999999999999E-5</v>
      </c>
      <c r="H20" s="2">
        <v>5.0519999999999997E-5</v>
      </c>
      <c r="I20" s="2">
        <v>6.8109999999999997E-5</v>
      </c>
      <c r="J20" s="2">
        <v>5.0519999999999997E-5</v>
      </c>
      <c r="K20" s="2">
        <v>5.7048520710059198E-5</v>
      </c>
      <c r="L20" s="2">
        <v>5.0519999999999997E-5</v>
      </c>
      <c r="M20" s="2">
        <v>8.1666666666666703E-9</v>
      </c>
      <c r="N20" s="2">
        <v>7.6000000000000002E-9</v>
      </c>
    </row>
    <row r="21" spans="1:14" x14ac:dyDescent="0.25">
      <c r="A21" s="1">
        <v>0</v>
      </c>
      <c r="B21" s="2">
        <v>1.5398550724637701E-5</v>
      </c>
      <c r="C21" s="2">
        <v>6.135E-5</v>
      </c>
      <c r="D21" s="2">
        <v>1.5398550724637701E-5</v>
      </c>
      <c r="G21" s="2">
        <v>6.7999999999999999E-5</v>
      </c>
      <c r="H21" s="2">
        <v>3.0960000000000002E-5</v>
      </c>
      <c r="I21" s="2">
        <v>6.8109999999999997E-5</v>
      </c>
      <c r="J21" s="2">
        <v>3.0960000000000002E-5</v>
      </c>
      <c r="K21" s="2">
        <v>5.7048520710059198E-5</v>
      </c>
      <c r="L21" s="2">
        <v>3.0960000000000002E-5</v>
      </c>
      <c r="M21" s="2">
        <v>8.4323076923076896E-9</v>
      </c>
      <c r="N21" s="2">
        <v>7.6999999999999995E-9</v>
      </c>
    </row>
    <row r="22" spans="1:14" x14ac:dyDescent="0.25">
      <c r="A22" s="1">
        <v>0</v>
      </c>
      <c r="B22" s="2">
        <v>1.81159420289855E-5</v>
      </c>
      <c r="C22" s="2">
        <v>6.135E-5</v>
      </c>
      <c r="D22" s="2">
        <v>1.81159420289855E-5</v>
      </c>
      <c r="M22" s="2">
        <v>8.4323076923076896E-9</v>
      </c>
      <c r="N22" s="2">
        <v>5.7999999999999998E-9</v>
      </c>
    </row>
    <row r="23" spans="1:14" x14ac:dyDescent="0.25">
      <c r="A23" s="2">
        <v>5.6249999999999998E-5</v>
      </c>
      <c r="B23" s="2">
        <v>4.0000000000000003E-5</v>
      </c>
      <c r="C23" s="2">
        <v>6.3600000000000001E-5</v>
      </c>
      <c r="D23" s="2">
        <v>4.0000000000000003E-5</v>
      </c>
      <c r="M23" s="2">
        <v>8.1666666666666703E-9</v>
      </c>
      <c r="N23" s="2">
        <v>7.4000000000000001E-9</v>
      </c>
    </row>
    <row r="24" spans="1:14" x14ac:dyDescent="0.25">
      <c r="A24" s="1">
        <v>1.5075000000000001E-4</v>
      </c>
      <c r="B24" s="1">
        <v>1E-4</v>
      </c>
      <c r="C24" s="2">
        <v>6.3600000000000001E-5</v>
      </c>
      <c r="D24" s="1">
        <v>1E-4</v>
      </c>
      <c r="M24" s="2">
        <v>9.0300000000000005E-9</v>
      </c>
      <c r="N24" s="2">
        <v>2.8999999999999999E-9</v>
      </c>
    </row>
    <row r="25" spans="1:14" x14ac:dyDescent="0.25">
      <c r="A25" s="1">
        <v>2.43E-4</v>
      </c>
      <c r="B25" s="1">
        <v>2.0000000000000001E-4</v>
      </c>
      <c r="C25" s="2">
        <v>6.3600000000000001E-5</v>
      </c>
      <c r="D25" s="1">
        <v>2.0000000000000001E-4</v>
      </c>
    </row>
    <row r="26" spans="1:14" x14ac:dyDescent="0.25">
      <c r="A26" s="1">
        <v>1.0285714285714299E-4</v>
      </c>
      <c r="B26" s="1">
        <v>1.19756034291465E-4</v>
      </c>
      <c r="C26" s="2">
        <v>7.7999999999999999E-5</v>
      </c>
      <c r="D26" s="1">
        <v>1.19756034291465E-4</v>
      </c>
      <c r="M26" s="2">
        <v>1.82784E-7</v>
      </c>
      <c r="N26" s="2">
        <v>7.0466204408365701E-9</v>
      </c>
    </row>
    <row r="27" spans="1:14" x14ac:dyDescent="0.25">
      <c r="A27" s="1">
        <v>1.6000000000000001E-4</v>
      </c>
      <c r="B27" s="1">
        <v>1.88276489580276E-4</v>
      </c>
      <c r="C27" s="2">
        <v>7.3499999999999998E-5</v>
      </c>
      <c r="D27" s="1">
        <v>1.88276489580276E-4</v>
      </c>
      <c r="M27" s="2">
        <v>5.3352E-8</v>
      </c>
      <c r="N27" s="2">
        <v>6.1942541856925396E-8</v>
      </c>
    </row>
    <row r="28" spans="1:14" x14ac:dyDescent="0.25">
      <c r="A28" s="2">
        <v>9.6000000000000002E-5</v>
      </c>
      <c r="B28" s="2">
        <v>8.4621559719064894E-5</v>
      </c>
      <c r="C28" s="2">
        <v>7.3499999999999998E-5</v>
      </c>
      <c r="D28" s="2">
        <v>8.4621559719064894E-5</v>
      </c>
      <c r="M28" s="2">
        <v>6.9675882352941202E-8</v>
      </c>
      <c r="N28" s="2">
        <v>1.9342973110096401E-7</v>
      </c>
    </row>
    <row r="29" spans="1:14" x14ac:dyDescent="0.25">
      <c r="A29" s="2">
        <v>8.7000000000000001E-5</v>
      </c>
      <c r="B29" s="1">
        <v>1.25454533333333E-4</v>
      </c>
      <c r="C29" s="2">
        <v>7.3499999999999998E-5</v>
      </c>
      <c r="D29" s="1">
        <v>1.25454533333333E-4</v>
      </c>
      <c r="M29" s="2">
        <v>1.64503450171821E-7</v>
      </c>
      <c r="N29" s="2">
        <v>1.078132927448E-7</v>
      </c>
    </row>
    <row r="30" spans="1:14" x14ac:dyDescent="0.25">
      <c r="A30" s="2">
        <v>8.0000000000000007E-5</v>
      </c>
      <c r="B30" s="2">
        <v>8.4134030237190496E-5</v>
      </c>
      <c r="C30" s="2">
        <v>7.3499999999999998E-5</v>
      </c>
      <c r="D30" s="2">
        <v>8.4134030237190496E-5</v>
      </c>
    </row>
    <row r="31" spans="1:14" x14ac:dyDescent="0.25">
      <c r="A31" s="1">
        <v>1.7589E-4</v>
      </c>
      <c r="B31" s="2">
        <v>3.83022774327122E-5</v>
      </c>
      <c r="C31" s="2">
        <v>7.7999999999999999E-5</v>
      </c>
      <c r="D31" s="2">
        <v>3.83022774327122E-5</v>
      </c>
    </row>
    <row r="32" spans="1:14" x14ac:dyDescent="0.25">
      <c r="A32" s="1">
        <v>1.37214E-4</v>
      </c>
      <c r="B32" s="2">
        <v>3.83022774327122E-5</v>
      </c>
      <c r="C32" s="2">
        <v>7.7999999999999999E-5</v>
      </c>
      <c r="D32" s="2">
        <v>3.83022774327122E-5</v>
      </c>
    </row>
    <row r="33" spans="1:14" x14ac:dyDescent="0.25">
      <c r="A33" s="2">
        <v>2.016E-5</v>
      </c>
      <c r="B33" s="2">
        <v>6.6308243727598597E-6</v>
      </c>
      <c r="C33" s="2">
        <v>7.3499999999999998E-5</v>
      </c>
      <c r="D33" s="2">
        <v>6.6308243727598597E-6</v>
      </c>
      <c r="M33" s="2">
        <v>3.4774800000000001E-8</v>
      </c>
      <c r="N33" s="2">
        <v>2.2196854388635201E-7</v>
      </c>
    </row>
    <row r="34" spans="1:14" x14ac:dyDescent="0.25">
      <c r="A34" s="1">
        <v>1.26E-4</v>
      </c>
      <c r="B34" s="1">
        <v>1.1412E-4</v>
      </c>
      <c r="C34" s="1">
        <v>1.1400000000000001E-4</v>
      </c>
      <c r="D34" s="1">
        <v>1.1412E-4</v>
      </c>
    </row>
    <row r="35" spans="1:14" x14ac:dyDescent="0.25">
      <c r="A35" s="1">
        <v>1.8900000000000001E-4</v>
      </c>
      <c r="B35" s="1">
        <v>1.284E-4</v>
      </c>
      <c r="C35" s="1">
        <v>1.1400000000000001E-4</v>
      </c>
      <c r="D35" s="1">
        <v>1.284E-4</v>
      </c>
    </row>
    <row r="36" spans="1:14" x14ac:dyDescent="0.25">
      <c r="A36" s="1">
        <v>2.1042000000000001E-4</v>
      </c>
      <c r="B36" s="2">
        <v>5.0519999999999997E-5</v>
      </c>
      <c r="C36" s="2">
        <v>9.6000000000000002E-5</v>
      </c>
      <c r="D36" s="2">
        <v>5.0519999999999997E-5</v>
      </c>
    </row>
    <row r="37" spans="1:14" x14ac:dyDescent="0.25">
      <c r="A37" s="2">
        <v>8.3159999999999997E-5</v>
      </c>
      <c r="B37" s="2">
        <v>3.0960000000000002E-5</v>
      </c>
      <c r="C37" s="2">
        <v>7.7999999999999999E-5</v>
      </c>
      <c r="D37" s="2">
        <v>3.0960000000000002E-5</v>
      </c>
      <c r="M37" s="2">
        <v>1.117272E-8</v>
      </c>
      <c r="N37" s="2">
        <v>3.2766785049890101E-8</v>
      </c>
    </row>
    <row r="41" spans="1:14" x14ac:dyDescent="0.25">
      <c r="M41" s="2">
        <v>4.172976E-8</v>
      </c>
      <c r="N41" s="2">
        <v>5.6020632504650799E-8</v>
      </c>
    </row>
    <row r="42" spans="1:14" x14ac:dyDescent="0.25">
      <c r="M42" s="2">
        <v>1.19977348584554E-6</v>
      </c>
      <c r="N42" s="2">
        <v>1.00454227812718E-6</v>
      </c>
    </row>
    <row r="43" spans="1:14" x14ac:dyDescent="0.25">
      <c r="M43" s="2">
        <v>1.15191490145543E-6</v>
      </c>
      <c r="N43" s="2">
        <v>9.8270440251572301E-7</v>
      </c>
    </row>
    <row r="44" spans="1:14" x14ac:dyDescent="0.25">
      <c r="M44" s="2">
        <v>9.6412197792470206E-7</v>
      </c>
      <c r="N44" s="2">
        <v>1.26659678546471E-6</v>
      </c>
    </row>
    <row r="45" spans="1:14" x14ac:dyDescent="0.25">
      <c r="M45" s="2">
        <v>1.4995934409953001E-6</v>
      </c>
      <c r="N45" s="2">
        <v>1.1574074074074099E-6</v>
      </c>
    </row>
    <row r="46" spans="1:14" x14ac:dyDescent="0.25">
      <c r="M46" s="2">
        <v>1.2939950738635499E-6</v>
      </c>
      <c r="N46" s="2">
        <v>1.22292103424179E-6</v>
      </c>
    </row>
    <row r="47" spans="1:14" x14ac:dyDescent="0.25">
      <c r="M47" s="2">
        <v>1.2378622015364601E-6</v>
      </c>
      <c r="N47" s="2">
        <v>1.3074417009602201E-6</v>
      </c>
    </row>
    <row r="48" spans="1:14" x14ac:dyDescent="0.25">
      <c r="M48" s="2">
        <v>1.1884081454393801E-6</v>
      </c>
      <c r="N48" s="2">
        <v>1.2002743484224999E-6</v>
      </c>
    </row>
    <row r="49" spans="13:14" x14ac:dyDescent="0.25">
      <c r="M49" s="2">
        <v>9.9435472966713009E-7</v>
      </c>
      <c r="N49" s="2">
        <v>1.3288751714677599E-6</v>
      </c>
    </row>
    <row r="50" spans="13:14" x14ac:dyDescent="0.25">
      <c r="M50" s="2">
        <v>1.5476773176740701E-6</v>
      </c>
      <c r="N50" s="2">
        <v>1.6932441700960199E-6</v>
      </c>
    </row>
    <row r="51" spans="13:14" x14ac:dyDescent="0.25">
      <c r="M51" s="2">
        <v>1.33522487447759E-6</v>
      </c>
      <c r="N51" s="2">
        <v>1.54320987654321E-6</v>
      </c>
    </row>
    <row r="52" spans="13:14" x14ac:dyDescent="0.25">
      <c r="M52" s="2">
        <v>1.67949540879853E-6</v>
      </c>
      <c r="N52" s="2">
        <v>1.3503086419753101E-6</v>
      </c>
    </row>
    <row r="53" spans="13:14" x14ac:dyDescent="0.25">
      <c r="M53" s="2">
        <v>1.6121456698276001E-6</v>
      </c>
      <c r="N53" s="2">
        <v>1.30658436213992E-6</v>
      </c>
    </row>
    <row r="54" spans="13:14" x14ac:dyDescent="0.25">
      <c r="M54" s="2">
        <v>1.34787115060475E-6</v>
      </c>
      <c r="N54" s="2">
        <v>1.74897119341564E-6</v>
      </c>
    </row>
    <row r="55" spans="13:14" x14ac:dyDescent="0.25">
      <c r="M55" s="2">
        <v>2.1014217147045998E-6</v>
      </c>
      <c r="N55" s="2">
        <v>1.59465020576132E-6</v>
      </c>
    </row>
    <row r="56" spans="13:14" x14ac:dyDescent="0.25">
      <c r="M56" s="2">
        <v>1.8120902073975301E-6</v>
      </c>
      <c r="N56" s="2">
        <v>1.6718106995884799E-6</v>
      </c>
    </row>
    <row r="57" spans="13:14" x14ac:dyDescent="0.25">
      <c r="M57" s="2">
        <v>1.9965354584877698E-6</v>
      </c>
      <c r="N57" s="2">
        <v>2.77777777777778E-6</v>
      </c>
    </row>
    <row r="58" spans="13:14" x14ac:dyDescent="0.25">
      <c r="M58" s="2">
        <v>1.9163656824279001E-6</v>
      </c>
      <c r="N58" s="2">
        <v>2.3974867724867701E-6</v>
      </c>
    </row>
    <row r="59" spans="13:14" x14ac:dyDescent="0.25">
      <c r="M59" s="2">
        <v>1.60178645245385E-6</v>
      </c>
      <c r="N59" s="2">
        <v>1.8187830687830699E-6</v>
      </c>
    </row>
    <row r="60" spans="13:14" x14ac:dyDescent="0.25">
      <c r="M60" s="2">
        <v>2.49877552615694E-6</v>
      </c>
      <c r="N60" s="2">
        <v>3.9682539682539698E-6</v>
      </c>
    </row>
    <row r="61" spans="13:14" x14ac:dyDescent="0.25">
      <c r="M61" s="2">
        <v>2.1543697051056299E-6</v>
      </c>
      <c r="N61" s="2">
        <v>2.3974867724867701E-6</v>
      </c>
    </row>
    <row r="62" spans="13:14" x14ac:dyDescent="0.25">
      <c r="M62" s="2">
        <v>1.4206693654445701E-6</v>
      </c>
      <c r="N62" s="2">
        <v>1.27840909090909E-6</v>
      </c>
    </row>
    <row r="63" spans="13:14" x14ac:dyDescent="0.25">
      <c r="M63" s="2">
        <v>1.3638397700645799E-6</v>
      </c>
      <c r="N63" s="2">
        <v>1.2108936588103299E-6</v>
      </c>
    </row>
    <row r="64" spans="13:14" x14ac:dyDescent="0.25">
      <c r="M64" s="2">
        <v>1.14084537949742E-6</v>
      </c>
      <c r="N64" s="2">
        <v>1.47306397306397E-6</v>
      </c>
    </row>
    <row r="65" spans="13:14" x14ac:dyDescent="0.25">
      <c r="M65" s="2">
        <v>1.77669006591337E-6</v>
      </c>
      <c r="N65" s="2">
        <v>1.56513047138047E-6</v>
      </c>
    </row>
    <row r="66" spans="13:14" x14ac:dyDescent="0.25">
      <c r="M66" s="2">
        <v>1.5325526313489401E-6</v>
      </c>
      <c r="N66" s="2">
        <v>1.50375280583614E-6</v>
      </c>
    </row>
    <row r="74" spans="13:14" x14ac:dyDescent="0.25">
      <c r="M74" s="2">
        <v>1.7387027027027001E-7</v>
      </c>
      <c r="N74" s="2">
        <v>2.0593487272017699E-7</v>
      </c>
    </row>
    <row r="84" spans="13:14" x14ac:dyDescent="0.25">
      <c r="M84" s="2">
        <v>1.7387027027027001E-7</v>
      </c>
      <c r="N84" s="2">
        <v>1.70800952522475E-7</v>
      </c>
    </row>
    <row r="93" spans="13:14" x14ac:dyDescent="0.25">
      <c r="M93" s="2">
        <v>1.7387027027027001E-7</v>
      </c>
      <c r="N93" s="2">
        <v>1.4693796528405699E-7</v>
      </c>
    </row>
    <row r="101" spans="13:14" x14ac:dyDescent="0.25">
      <c r="M101" s="2">
        <v>1.7387027027027001E-7</v>
      </c>
      <c r="N101" s="2">
        <v>1.71935439877411E-7</v>
      </c>
    </row>
    <row r="107" spans="13:14" x14ac:dyDescent="0.25">
      <c r="M107" s="2">
        <v>1.7387027027027001E-7</v>
      </c>
      <c r="N107" s="2">
        <v>2.4425927149117598E-7</v>
      </c>
    </row>
    <row r="115" spans="13:14" x14ac:dyDescent="0.25">
      <c r="M115" s="2">
        <v>1.7387027027027001E-7</v>
      </c>
      <c r="N115" s="2">
        <v>1.9319193536857599E-7</v>
      </c>
    </row>
    <row r="116" spans="13:14" x14ac:dyDescent="0.25">
      <c r="M116" s="2">
        <v>7.6309526400000002E-7</v>
      </c>
      <c r="N116" s="2">
        <v>7.01103500761035E-7</v>
      </c>
    </row>
    <row r="117" spans="13:14" x14ac:dyDescent="0.25">
      <c r="M117" s="2">
        <v>9.5475838399999997E-7</v>
      </c>
      <c r="N117" s="2">
        <v>7.5659563673262297E-7</v>
      </c>
    </row>
    <row r="118" spans="13:14" x14ac:dyDescent="0.25">
      <c r="M118" s="2">
        <v>9.4943543680000004E-7</v>
      </c>
      <c r="N118" s="2">
        <v>7.1220192795535304E-7</v>
      </c>
    </row>
    <row r="119" spans="13:14" x14ac:dyDescent="0.25">
      <c r="M119" s="2">
        <v>8.6602918400000004E-7</v>
      </c>
      <c r="N119" s="2">
        <v>7.4549720953830599E-7</v>
      </c>
    </row>
    <row r="120" spans="13:14" x14ac:dyDescent="0.25">
      <c r="M120" s="2">
        <v>1.0375E-6</v>
      </c>
      <c r="N120" s="2">
        <v>1.91632842888551E-7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13C6-987C-49D4-91C1-AC2199B3EF6D}">
  <dimension ref="A1:F105"/>
  <sheetViews>
    <sheetView workbookViewId="0">
      <selection activeCell="A95" sqref="A95:XFD95"/>
    </sheetView>
  </sheetViews>
  <sheetFormatPr defaultColWidth="8.875" defaultRowHeight="15.75" x14ac:dyDescent="0.25"/>
  <cols>
    <col min="1" max="1" width="26.625" style="1" customWidth="1"/>
    <col min="2" max="2" width="18.25" style="1" customWidth="1"/>
    <col min="3" max="3" width="19.125" style="1" customWidth="1"/>
    <col min="4" max="4" width="21.125" style="1" customWidth="1"/>
    <col min="5" max="8" width="26.375" style="1" customWidth="1"/>
    <col min="9" max="16384" width="8.875" style="1"/>
  </cols>
  <sheetData>
    <row r="1" spans="1:6" x14ac:dyDescent="0.25">
      <c r="A1" s="3" t="s">
        <v>11</v>
      </c>
      <c r="B1" s="3" t="s">
        <v>39</v>
      </c>
      <c r="C1" s="3" t="s">
        <v>44</v>
      </c>
      <c r="D1" s="3" t="s">
        <v>41</v>
      </c>
      <c r="E1" s="3" t="s">
        <v>42</v>
      </c>
      <c r="F1" s="7" t="s">
        <v>73</v>
      </c>
    </row>
    <row r="2" spans="1:6" ht="18.75" x14ac:dyDescent="0.25">
      <c r="A2" s="3"/>
      <c r="B2" s="3" t="s">
        <v>40</v>
      </c>
      <c r="C2" s="3" t="s">
        <v>15</v>
      </c>
      <c r="D2" s="3" t="s">
        <v>14</v>
      </c>
      <c r="E2" s="3" t="s">
        <v>16</v>
      </c>
      <c r="F2" s="3" t="s">
        <v>74</v>
      </c>
    </row>
    <row r="3" spans="1:6" x14ac:dyDescent="0.25">
      <c r="A3" s="1" t="s">
        <v>54</v>
      </c>
      <c r="B3" s="1">
        <v>0.14520547945205478</v>
      </c>
      <c r="C3" s="1">
        <v>509.11740634916072</v>
      </c>
      <c r="D3" s="1">
        <v>1.004542278127184E-6</v>
      </c>
      <c r="E3" s="1">
        <v>393.98333333333335</v>
      </c>
      <c r="F3" s="1">
        <f>D3/E3</f>
        <v>2.5497075463272998E-9</v>
      </c>
    </row>
    <row r="4" spans="1:6" x14ac:dyDescent="0.25">
      <c r="B4" s="1">
        <v>0.14520547945205478</v>
      </c>
      <c r="C4" s="1">
        <v>509.11740634916072</v>
      </c>
      <c r="D4" s="1">
        <v>9.8270440251572343E-7</v>
      </c>
      <c r="E4" s="1">
        <v>393.98333333333335</v>
      </c>
      <c r="F4" s="1">
        <f t="shared" ref="F4:F62" si="0">D4/E4</f>
        <v>2.4942791214071409E-9</v>
      </c>
    </row>
    <row r="5" spans="1:6" x14ac:dyDescent="0.25">
      <c r="B5" s="1">
        <v>0.14520547945205478</v>
      </c>
      <c r="C5" s="1">
        <v>509.11740634916072</v>
      </c>
      <c r="D5" s="1">
        <v>1.26659678546471E-6</v>
      </c>
      <c r="E5" s="1">
        <v>393.98333333333335</v>
      </c>
      <c r="F5" s="1">
        <f t="shared" si="0"/>
        <v>3.2148486453692034E-9</v>
      </c>
    </row>
    <row r="6" spans="1:6" x14ac:dyDescent="0.25">
      <c r="B6" s="1">
        <v>0.14520547945205478</v>
      </c>
      <c r="C6" s="1">
        <v>509.11740634916072</v>
      </c>
      <c r="D6" s="1">
        <v>1.1574074074074074E-6</v>
      </c>
      <c r="E6" s="1">
        <v>393.98333333333335</v>
      </c>
      <c r="F6" s="1">
        <f t="shared" si="0"/>
        <v>2.9377065207684098E-9</v>
      </c>
    </row>
    <row r="7" spans="1:6" x14ac:dyDescent="0.25">
      <c r="B7" s="1">
        <v>0.14520547945205478</v>
      </c>
      <c r="C7" s="1">
        <v>509.11740634916072</v>
      </c>
      <c r="D7" s="1">
        <v>1.222921034241789E-6</v>
      </c>
      <c r="E7" s="1">
        <v>393.98333333333335</v>
      </c>
      <c r="F7" s="1">
        <f t="shared" si="0"/>
        <v>3.103991795528886E-9</v>
      </c>
    </row>
    <row r="8" spans="1:6" x14ac:dyDescent="0.25">
      <c r="B8" s="1">
        <v>7.3972602739726029E-2</v>
      </c>
      <c r="C8" s="1">
        <v>462.47710445527952</v>
      </c>
      <c r="D8" s="1">
        <v>1.3074417009602195E-6</v>
      </c>
      <c r="E8" s="1">
        <v>448.17500000000001</v>
      </c>
      <c r="F8" s="1">
        <f t="shared" si="0"/>
        <v>2.9172571003742275E-9</v>
      </c>
    </row>
    <row r="9" spans="1:6" x14ac:dyDescent="0.25">
      <c r="B9" s="1">
        <v>7.3972602739726029E-2</v>
      </c>
      <c r="C9" s="1">
        <v>462.47710445527952</v>
      </c>
      <c r="D9" s="1">
        <v>1.2002743484224963E-6</v>
      </c>
      <c r="E9" s="1">
        <v>448.17500000000001</v>
      </c>
      <c r="F9" s="1">
        <f t="shared" si="0"/>
        <v>2.6781376659173233E-9</v>
      </c>
    </row>
    <row r="10" spans="1:6" x14ac:dyDescent="0.25">
      <c r="B10" s="1">
        <v>7.3972602739726029E-2</v>
      </c>
      <c r="C10" s="1">
        <v>462.47710445527952</v>
      </c>
      <c r="D10" s="1">
        <v>1.3288751714677641E-6</v>
      </c>
      <c r="E10" s="1">
        <v>448.17500000000001</v>
      </c>
      <c r="F10" s="1">
        <f t="shared" si="0"/>
        <v>2.9650809872656084E-9</v>
      </c>
    </row>
    <row r="11" spans="1:6" x14ac:dyDescent="0.25">
      <c r="B11" s="1">
        <v>7.3972602739726029E-2</v>
      </c>
      <c r="C11" s="1">
        <v>462.47710445527952</v>
      </c>
      <c r="D11" s="1">
        <v>1.6932441700960223E-6</v>
      </c>
      <c r="E11" s="1">
        <v>448.17500000000001</v>
      </c>
      <c r="F11" s="1">
        <f t="shared" si="0"/>
        <v>3.778087064419082E-9</v>
      </c>
    </row>
    <row r="12" spans="1:6" x14ac:dyDescent="0.25">
      <c r="B12" s="1">
        <v>7.3972602739726029E-2</v>
      </c>
      <c r="C12" s="1">
        <v>462.47710445527952</v>
      </c>
      <c r="D12" s="1">
        <v>1.54320987654321E-6</v>
      </c>
      <c r="E12" s="1">
        <v>448.17500000000001</v>
      </c>
      <c r="F12" s="1">
        <f t="shared" si="0"/>
        <v>3.4433198561794164E-9</v>
      </c>
    </row>
    <row r="13" spans="1:6" x14ac:dyDescent="0.25">
      <c r="B13" s="1">
        <v>0.12328767123287671</v>
      </c>
      <c r="C13" s="1">
        <v>419.64564227337945</v>
      </c>
      <c r="D13" s="1">
        <v>1.3503086419753086E-6</v>
      </c>
      <c r="E13" s="1">
        <v>672.65</v>
      </c>
      <c r="F13" s="1">
        <f t="shared" si="0"/>
        <v>2.0074461339111106E-9</v>
      </c>
    </row>
    <row r="14" spans="1:6" x14ac:dyDescent="0.25">
      <c r="B14" s="1">
        <v>0.12328767123287671</v>
      </c>
      <c r="C14" s="1">
        <v>419.64564227337945</v>
      </c>
      <c r="D14" s="1">
        <v>1.3065843621399179E-6</v>
      </c>
      <c r="E14" s="1">
        <v>672.65</v>
      </c>
      <c r="F14" s="1">
        <f t="shared" si="0"/>
        <v>1.9424431162416085E-9</v>
      </c>
    </row>
    <row r="15" spans="1:6" x14ac:dyDescent="0.25">
      <c r="B15" s="1">
        <v>0.12328767123287671</v>
      </c>
      <c r="C15" s="1">
        <v>419.64564227337945</v>
      </c>
      <c r="D15" s="1">
        <v>1.7489711934156379E-6</v>
      </c>
      <c r="E15" s="1">
        <v>672.65</v>
      </c>
      <c r="F15" s="1">
        <f t="shared" si="0"/>
        <v>2.6001207067801056E-9</v>
      </c>
    </row>
    <row r="16" spans="1:6" x14ac:dyDescent="0.25">
      <c r="B16" s="1">
        <v>0.12328767123287671</v>
      </c>
      <c r="C16" s="1">
        <v>419.64564227337945</v>
      </c>
      <c r="D16" s="1">
        <v>1.5946502057613169E-6</v>
      </c>
      <c r="E16" s="1">
        <v>672.65</v>
      </c>
      <c r="F16" s="1">
        <f t="shared" si="0"/>
        <v>2.3706982914759786E-9</v>
      </c>
    </row>
    <row r="17" spans="1:6" x14ac:dyDescent="0.25">
      <c r="B17" s="1">
        <v>0.12328767123287671</v>
      </c>
      <c r="C17" s="1">
        <v>419.64564227337945</v>
      </c>
      <c r="D17" s="1">
        <v>1.6718106995884778E-6</v>
      </c>
      <c r="E17" s="1">
        <v>672.65</v>
      </c>
      <c r="F17" s="1">
        <f t="shared" si="0"/>
        <v>2.4854094991280427E-9</v>
      </c>
    </row>
    <row r="18" spans="1:6" x14ac:dyDescent="0.25">
      <c r="B18" s="1">
        <v>1.9178082191780823E-2</v>
      </c>
      <c r="C18" s="1">
        <v>411.11670020120727</v>
      </c>
      <c r="D18" s="1">
        <v>2.7777777777777775E-6</v>
      </c>
      <c r="E18" s="1">
        <v>817.3</v>
      </c>
      <c r="F18" s="1">
        <f t="shared" si="0"/>
        <v>3.3987247984556194E-9</v>
      </c>
    </row>
    <row r="19" spans="1:6" x14ac:dyDescent="0.25">
      <c r="B19" s="1">
        <v>1.9178082191780823E-2</v>
      </c>
      <c r="C19" s="1">
        <v>411.11670020120727</v>
      </c>
      <c r="D19" s="1">
        <v>2.3974867724867723E-6</v>
      </c>
      <c r="E19" s="1">
        <v>817.3</v>
      </c>
      <c r="F19" s="1">
        <f t="shared" si="0"/>
        <v>2.9334231891432431E-9</v>
      </c>
    </row>
    <row r="20" spans="1:6" x14ac:dyDescent="0.25">
      <c r="B20" s="1">
        <v>1.9178082191780823E-2</v>
      </c>
      <c r="C20" s="1">
        <v>411.11670020120727</v>
      </c>
      <c r="D20" s="1">
        <v>1.8187830687830691E-6</v>
      </c>
      <c r="E20" s="1">
        <v>817.3</v>
      </c>
      <c r="F20" s="1">
        <f t="shared" si="0"/>
        <v>2.2253555227983228E-9</v>
      </c>
    </row>
    <row r="21" spans="1:6" x14ac:dyDescent="0.25">
      <c r="B21" s="1">
        <v>1.9178082191780823E-2</v>
      </c>
      <c r="C21" s="1">
        <v>411.11670020120727</v>
      </c>
      <c r="D21" s="1">
        <v>3.9682539682539681E-6</v>
      </c>
      <c r="E21" s="1">
        <v>817.3</v>
      </c>
      <c r="F21" s="1">
        <f t="shared" si="0"/>
        <v>4.8553211406508847E-9</v>
      </c>
    </row>
    <row r="22" spans="1:6" x14ac:dyDescent="0.25">
      <c r="B22" s="1">
        <v>1.9178082191780823E-2</v>
      </c>
      <c r="C22" s="1">
        <v>411.11670020120727</v>
      </c>
      <c r="D22" s="1">
        <v>2.3974867724867723E-6</v>
      </c>
      <c r="E22" s="1">
        <v>817.3</v>
      </c>
      <c r="F22" s="1">
        <f t="shared" si="0"/>
        <v>2.9334231891432431E-9</v>
      </c>
    </row>
    <row r="23" spans="1:6" x14ac:dyDescent="0.25">
      <c r="B23" s="1">
        <v>0.36164383561643837</v>
      </c>
      <c r="C23" s="1">
        <v>471.22932632246273</v>
      </c>
      <c r="D23" s="1">
        <v>1.2784090909090907E-6</v>
      </c>
      <c r="E23" s="1">
        <v>505.45</v>
      </c>
      <c r="F23" s="1">
        <f t="shared" si="0"/>
        <v>2.5292493637532706E-9</v>
      </c>
    </row>
    <row r="24" spans="1:6" x14ac:dyDescent="0.25">
      <c r="B24" s="1">
        <v>0.36164383561643837</v>
      </c>
      <c r="C24" s="1">
        <v>471.22932632246273</v>
      </c>
      <c r="D24" s="1">
        <v>1.2108936588103257E-6</v>
      </c>
      <c r="E24" s="1">
        <v>505.45</v>
      </c>
      <c r="F24" s="1">
        <f t="shared" si="0"/>
        <v>2.3956744659418851E-9</v>
      </c>
    </row>
    <row r="25" spans="1:6" x14ac:dyDescent="0.25">
      <c r="B25" s="1">
        <v>0.36164383561643837</v>
      </c>
      <c r="C25" s="1">
        <v>471.22932632246273</v>
      </c>
      <c r="D25" s="1">
        <v>1.4730639730639728E-6</v>
      </c>
      <c r="E25" s="1">
        <v>505.45</v>
      </c>
      <c r="F25" s="1">
        <f t="shared" si="0"/>
        <v>2.9143614067938923E-9</v>
      </c>
    </row>
    <row r="26" spans="1:6" x14ac:dyDescent="0.25">
      <c r="B26" s="1">
        <v>0.36164383561643837</v>
      </c>
      <c r="C26" s="1">
        <v>471.22932632246273</v>
      </c>
      <c r="D26" s="1">
        <v>1.5651304713804713E-6</v>
      </c>
      <c r="E26" s="1">
        <v>505.45</v>
      </c>
      <c r="F26" s="1">
        <f t="shared" si="0"/>
        <v>3.0965089947185107E-9</v>
      </c>
    </row>
    <row r="27" spans="1:6" x14ac:dyDescent="0.25">
      <c r="B27" s="1">
        <v>0.36164383561643837</v>
      </c>
      <c r="C27" s="1">
        <v>471.22932632246273</v>
      </c>
      <c r="D27" s="1">
        <v>1.5037528058361392E-6</v>
      </c>
      <c r="E27" s="1">
        <v>505.45</v>
      </c>
      <c r="F27" s="1">
        <f t="shared" si="0"/>
        <v>2.9750772694354323E-9</v>
      </c>
    </row>
    <row r="28" spans="1:6" x14ac:dyDescent="0.25">
      <c r="A28" s="1" t="s">
        <v>56</v>
      </c>
      <c r="B28" s="1">
        <v>7</v>
      </c>
      <c r="C28" s="1">
        <v>120</v>
      </c>
      <c r="D28" s="1">
        <v>2.0593487272017736E-7</v>
      </c>
      <c r="E28" s="1">
        <v>250</v>
      </c>
      <c r="F28" s="1">
        <f t="shared" si="0"/>
        <v>8.2373949088070943E-10</v>
      </c>
    </row>
    <row r="29" spans="1:6" x14ac:dyDescent="0.25">
      <c r="B29" s="1">
        <v>9</v>
      </c>
      <c r="C29" s="1">
        <v>120</v>
      </c>
      <c r="D29" s="1">
        <v>1.7080095252247545E-7</v>
      </c>
      <c r="E29" s="1">
        <v>250</v>
      </c>
      <c r="F29" s="1">
        <f t="shared" si="0"/>
        <v>6.8320381008990181E-10</v>
      </c>
    </row>
    <row r="30" spans="1:6" x14ac:dyDescent="0.25">
      <c r="B30" s="1">
        <v>8</v>
      </c>
      <c r="C30" s="1">
        <v>120</v>
      </c>
      <c r="D30" s="1">
        <v>1.4693796528405736E-7</v>
      </c>
      <c r="E30" s="1">
        <v>250</v>
      </c>
      <c r="F30" s="1">
        <f t="shared" si="0"/>
        <v>5.8775186113622943E-10</v>
      </c>
    </row>
    <row r="31" spans="1:6" x14ac:dyDescent="0.25">
      <c r="B31" s="1">
        <v>7</v>
      </c>
      <c r="C31" s="1">
        <v>120</v>
      </c>
      <c r="D31" s="1">
        <v>1.719354398774109E-7</v>
      </c>
      <c r="E31" s="1">
        <v>250</v>
      </c>
      <c r="F31" s="1">
        <f t="shared" si="0"/>
        <v>6.8774175950964364E-10</v>
      </c>
    </row>
    <row r="32" spans="1:6" x14ac:dyDescent="0.25">
      <c r="B32" s="1">
        <v>5</v>
      </c>
      <c r="C32" s="1">
        <v>120</v>
      </c>
      <c r="D32" s="1">
        <v>2.4425927149117614E-7</v>
      </c>
      <c r="E32" s="1">
        <v>250</v>
      </c>
      <c r="F32" s="1">
        <f t="shared" si="0"/>
        <v>9.7703708596470447E-10</v>
      </c>
    </row>
    <row r="33" spans="1:6" x14ac:dyDescent="0.25">
      <c r="B33" s="1">
        <v>7</v>
      </c>
      <c r="C33" s="1">
        <v>120</v>
      </c>
      <c r="D33" s="1">
        <v>1.9319193536857636E-7</v>
      </c>
      <c r="E33" s="1">
        <v>250</v>
      </c>
      <c r="F33" s="1">
        <f t="shared" si="0"/>
        <v>7.7276774147430538E-10</v>
      </c>
    </row>
    <row r="34" spans="1:6" x14ac:dyDescent="0.25">
      <c r="A34" s="1" t="s">
        <v>53</v>
      </c>
      <c r="B34" s="1">
        <v>3</v>
      </c>
      <c r="C34" s="1">
        <v>50</v>
      </c>
      <c r="D34" s="1">
        <v>2.2196854388635209E-7</v>
      </c>
      <c r="E34" s="1">
        <v>27</v>
      </c>
      <c r="F34" s="1">
        <f t="shared" si="0"/>
        <v>8.2210571809760036E-9</v>
      </c>
    </row>
    <row r="35" spans="1:6" x14ac:dyDescent="0.25">
      <c r="B35" s="1">
        <v>3</v>
      </c>
      <c r="C35" s="1">
        <v>52</v>
      </c>
      <c r="D35" s="1">
        <v>3.2766785049890081E-8</v>
      </c>
      <c r="E35" s="1">
        <v>27</v>
      </c>
      <c r="F35" s="1">
        <f t="shared" si="0"/>
        <v>1.2135846314774103E-9</v>
      </c>
    </row>
    <row r="36" spans="1:6" x14ac:dyDescent="0.25">
      <c r="B36" s="1">
        <v>3</v>
      </c>
      <c r="C36" s="1">
        <v>60</v>
      </c>
      <c r="D36" s="1">
        <v>5.6020632504650773E-8</v>
      </c>
      <c r="E36" s="1">
        <v>27</v>
      </c>
      <c r="F36" s="1">
        <f t="shared" si="0"/>
        <v>2.0748382409129918E-9</v>
      </c>
    </row>
    <row r="37" spans="1:6" x14ac:dyDescent="0.25">
      <c r="A37" s="1" t="s">
        <v>48</v>
      </c>
      <c r="B37" s="1">
        <v>2</v>
      </c>
      <c r="C37" s="1">
        <v>42</v>
      </c>
      <c r="D37" s="1">
        <v>8.9999999999999999E-10</v>
      </c>
      <c r="E37" s="1">
        <v>11.1</v>
      </c>
      <c r="F37" s="1">
        <f t="shared" si="0"/>
        <v>8.1081081081081087E-11</v>
      </c>
    </row>
    <row r="38" spans="1:6" x14ac:dyDescent="0.25">
      <c r="B38" s="1">
        <v>2</v>
      </c>
      <c r="C38" s="1">
        <v>42</v>
      </c>
      <c r="D38" s="1">
        <v>1.8E-9</v>
      </c>
      <c r="E38" s="1">
        <v>11.1</v>
      </c>
      <c r="F38" s="1">
        <f t="shared" si="0"/>
        <v>1.6216216216216217E-10</v>
      </c>
    </row>
    <row r="39" spans="1:6" x14ac:dyDescent="0.25">
      <c r="B39" s="1">
        <v>2</v>
      </c>
      <c r="C39" s="1">
        <v>42</v>
      </c>
      <c r="D39" s="1">
        <v>9.1000000000000004E-9</v>
      </c>
      <c r="E39" s="1">
        <v>11.1</v>
      </c>
      <c r="F39" s="1">
        <f t="shared" si="0"/>
        <v>8.1981981981981989E-10</v>
      </c>
    </row>
    <row r="40" spans="1:6" x14ac:dyDescent="0.25">
      <c r="B40" s="1">
        <v>2</v>
      </c>
      <c r="C40" s="1">
        <v>42</v>
      </c>
      <c r="D40" s="1">
        <v>1.7199999999999999E-8</v>
      </c>
      <c r="E40" s="1">
        <v>11.1</v>
      </c>
      <c r="F40" s="1">
        <f t="shared" si="0"/>
        <v>1.5495495495495494E-9</v>
      </c>
    </row>
    <row r="41" spans="1:6" x14ac:dyDescent="0.25">
      <c r="B41" s="1">
        <v>2</v>
      </c>
      <c r="C41" s="1">
        <v>42</v>
      </c>
      <c r="D41" s="1">
        <v>7.6000000000000002E-9</v>
      </c>
      <c r="E41" s="1">
        <v>11.1</v>
      </c>
      <c r="F41" s="1">
        <f t="shared" si="0"/>
        <v>6.8468468468468469E-10</v>
      </c>
    </row>
    <row r="42" spans="1:6" x14ac:dyDescent="0.25">
      <c r="B42" s="1">
        <v>2</v>
      </c>
      <c r="C42" s="1">
        <v>42</v>
      </c>
      <c r="D42" s="1">
        <v>7.6999999999999995E-9</v>
      </c>
      <c r="E42" s="1">
        <v>11.1</v>
      </c>
      <c r="F42" s="1">
        <f t="shared" si="0"/>
        <v>6.9369369369369366E-10</v>
      </c>
    </row>
    <row r="43" spans="1:6" x14ac:dyDescent="0.25">
      <c r="B43" s="1">
        <v>2</v>
      </c>
      <c r="C43" s="1">
        <v>42</v>
      </c>
      <c r="D43" s="1">
        <v>5.7999999999999998E-9</v>
      </c>
      <c r="E43" s="1">
        <v>11.1</v>
      </c>
      <c r="F43" s="1">
        <f t="shared" si="0"/>
        <v>5.2252252252252257E-10</v>
      </c>
    </row>
    <row r="44" spans="1:6" x14ac:dyDescent="0.25">
      <c r="B44" s="1">
        <v>2</v>
      </c>
      <c r="C44" s="1">
        <v>42</v>
      </c>
      <c r="D44" s="1">
        <v>7.4000000000000001E-9</v>
      </c>
      <c r="E44" s="1">
        <v>11.1</v>
      </c>
      <c r="F44" s="1">
        <f t="shared" si="0"/>
        <v>6.6666666666666674E-10</v>
      </c>
    </row>
    <row r="45" spans="1:6" x14ac:dyDescent="0.25">
      <c r="B45" s="1">
        <v>2</v>
      </c>
      <c r="C45" s="1">
        <v>42</v>
      </c>
      <c r="D45" s="1">
        <v>2.8999999999999999E-9</v>
      </c>
      <c r="E45" s="1">
        <v>11.1</v>
      </c>
      <c r="F45" s="1">
        <f t="shared" si="0"/>
        <v>2.6126126126126128E-10</v>
      </c>
    </row>
    <row r="46" spans="1:6" x14ac:dyDescent="0.25">
      <c r="A46" s="1" t="s">
        <v>47</v>
      </c>
      <c r="B46" s="1">
        <f>14/12</f>
        <v>1.1666666666666667</v>
      </c>
      <c r="C46" s="1">
        <v>13.2</v>
      </c>
      <c r="D46" s="1">
        <v>3.3077843009349855E-9</v>
      </c>
      <c r="E46" s="1">
        <v>7.86</v>
      </c>
      <c r="F46" s="1">
        <f t="shared" si="0"/>
        <v>4.2083769731997267E-10</v>
      </c>
    </row>
    <row r="47" spans="1:6" x14ac:dyDescent="0.25">
      <c r="B47" s="1">
        <f t="shared" ref="B47:B48" si="1">14/12</f>
        <v>1.1666666666666667</v>
      </c>
      <c r="C47" s="1">
        <v>19.559999999999999</v>
      </c>
      <c r="D47" s="1">
        <v>2.9544466188301802E-9</v>
      </c>
      <c r="E47" s="1">
        <v>7.86</v>
      </c>
      <c r="F47" s="1">
        <f t="shared" si="0"/>
        <v>3.7588379374429769E-10</v>
      </c>
    </row>
    <row r="48" spans="1:6" x14ac:dyDescent="0.25">
      <c r="B48" s="1">
        <f t="shared" si="1"/>
        <v>1.1666666666666667</v>
      </c>
      <c r="C48" s="1">
        <v>14.54</v>
      </c>
      <c r="D48" s="1">
        <v>2.174385736029572E-9</v>
      </c>
      <c r="E48" s="1">
        <v>7.86</v>
      </c>
      <c r="F48" s="1">
        <f t="shared" si="0"/>
        <v>2.7663940661953839E-10</v>
      </c>
    </row>
    <row r="49" spans="1:6" x14ac:dyDescent="0.25">
      <c r="A49" s="1" t="s">
        <v>36</v>
      </c>
      <c r="B49" s="1">
        <f>19/12</f>
        <v>1.5833333333333333</v>
      </c>
      <c r="C49" s="1">
        <v>3</v>
      </c>
      <c r="D49" s="1">
        <v>2.8038131859328684E-8</v>
      </c>
      <c r="E49" s="1">
        <v>0.18</v>
      </c>
      <c r="F49" s="1">
        <f t="shared" si="0"/>
        <v>1.5576739921849269E-7</v>
      </c>
    </row>
    <row r="50" spans="1:6" x14ac:dyDescent="0.25">
      <c r="B50" s="1">
        <f t="shared" ref="B50:B56" si="2">19/12</f>
        <v>1.5833333333333333</v>
      </c>
      <c r="C50" s="1">
        <v>3.9</v>
      </c>
      <c r="D50" s="1">
        <v>1.6021789633902108E-8</v>
      </c>
      <c r="E50" s="1">
        <v>0.18</v>
      </c>
      <c r="F50" s="1">
        <f t="shared" si="0"/>
        <v>8.9009942410567274E-8</v>
      </c>
    </row>
    <row r="51" spans="1:6" x14ac:dyDescent="0.25">
      <c r="B51" s="1">
        <f t="shared" si="2"/>
        <v>1.5833333333333333</v>
      </c>
      <c r="C51" s="1">
        <v>4.5</v>
      </c>
      <c r="D51" s="1">
        <v>4.005447408475527E-8</v>
      </c>
      <c r="E51" s="1">
        <v>0.18</v>
      </c>
      <c r="F51" s="1">
        <f t="shared" si="0"/>
        <v>2.2252485602641816E-7</v>
      </c>
    </row>
    <row r="52" spans="1:6" x14ac:dyDescent="0.25">
      <c r="B52" s="1">
        <f t="shared" si="2"/>
        <v>1.5833333333333333</v>
      </c>
      <c r="C52" s="1">
        <v>3.9</v>
      </c>
      <c r="D52" s="1">
        <v>3.2043579267804217E-8</v>
      </c>
      <c r="E52" s="1">
        <v>0.18</v>
      </c>
      <c r="F52" s="1">
        <f t="shared" si="0"/>
        <v>1.7801988482113455E-7</v>
      </c>
    </row>
    <row r="53" spans="1:6" x14ac:dyDescent="0.25">
      <c r="B53" s="1">
        <f t="shared" si="2"/>
        <v>1.5833333333333333</v>
      </c>
      <c r="C53" s="1">
        <v>3.4</v>
      </c>
      <c r="D53" s="1">
        <v>1.6021789633902108E-8</v>
      </c>
      <c r="E53" s="1">
        <v>0.18</v>
      </c>
      <c r="F53" s="1">
        <f t="shared" si="0"/>
        <v>8.9009942410567274E-8</v>
      </c>
    </row>
    <row r="54" spans="1:6" x14ac:dyDescent="0.25">
      <c r="B54" s="1">
        <f t="shared" si="2"/>
        <v>1.5833333333333333</v>
      </c>
      <c r="C54" s="1">
        <v>4.2</v>
      </c>
      <c r="D54" s="1">
        <v>3.4046302972041977E-8</v>
      </c>
      <c r="E54" s="1">
        <v>0.18</v>
      </c>
      <c r="F54" s="1">
        <f t="shared" si="0"/>
        <v>1.8914612762245543E-7</v>
      </c>
    </row>
    <row r="55" spans="1:6" x14ac:dyDescent="0.25">
      <c r="B55" s="1">
        <f t="shared" si="2"/>
        <v>1.5833333333333333</v>
      </c>
      <c r="C55" s="1">
        <v>3.1</v>
      </c>
      <c r="D55" s="1">
        <v>1.4019065929664342E-8</v>
      </c>
      <c r="E55" s="1">
        <v>0.18</v>
      </c>
      <c r="F55" s="1">
        <f t="shared" si="0"/>
        <v>7.7883699609246345E-8</v>
      </c>
    </row>
    <row r="56" spans="1:6" x14ac:dyDescent="0.25">
      <c r="B56" s="1">
        <f t="shared" si="2"/>
        <v>1.5833333333333333</v>
      </c>
      <c r="C56" s="1">
        <v>3.2</v>
      </c>
      <c r="D56" s="1">
        <v>1.0013618521188817E-8</v>
      </c>
      <c r="E56" s="1">
        <v>0.18</v>
      </c>
      <c r="F56" s="1">
        <f t="shared" si="0"/>
        <v>5.563121400660454E-8</v>
      </c>
    </row>
    <row r="57" spans="1:6" x14ac:dyDescent="0.25">
      <c r="A57" s="1" t="s">
        <v>75</v>
      </c>
      <c r="B57" s="2">
        <v>4.4400000000000004E-3</v>
      </c>
      <c r="C57" s="1">
        <v>60</v>
      </c>
      <c r="D57" s="1">
        <v>1.0711225364181663E-4</v>
      </c>
      <c r="E57" s="1">
        <v>130</v>
      </c>
      <c r="F57" s="1">
        <f t="shared" si="0"/>
        <v>8.2394041262935873E-7</v>
      </c>
    </row>
    <row r="58" spans="1:6" x14ac:dyDescent="0.25">
      <c r="B58" s="2">
        <v>4.4400000000000004E-3</v>
      </c>
      <c r="C58" s="1">
        <v>60</v>
      </c>
      <c r="D58" s="1">
        <v>1.4281633818908883E-4</v>
      </c>
      <c r="E58" s="1">
        <v>130</v>
      </c>
      <c r="F58" s="1">
        <f t="shared" si="0"/>
        <v>1.0985872168391449E-6</v>
      </c>
    </row>
    <row r="59" spans="1:6" x14ac:dyDescent="0.25">
      <c r="A59" s="1" t="s">
        <v>65</v>
      </c>
      <c r="B59" s="1">
        <v>1</v>
      </c>
      <c r="C59" s="1">
        <v>948.18000000000006</v>
      </c>
      <c r="D59" s="1">
        <v>7.01103500761035E-7</v>
      </c>
      <c r="E59" s="1">
        <v>9685</v>
      </c>
      <c r="F59" s="1">
        <f t="shared" si="0"/>
        <v>7.2390655731650485E-11</v>
      </c>
    </row>
    <row r="60" spans="1:6" x14ac:dyDescent="0.25">
      <c r="B60" s="1">
        <v>1</v>
      </c>
      <c r="C60" s="1">
        <v>1186.33</v>
      </c>
      <c r="D60" s="1">
        <v>7.5659563673262308E-7</v>
      </c>
      <c r="E60" s="1">
        <v>9685</v>
      </c>
      <c r="F60" s="1">
        <f t="shared" si="0"/>
        <v>7.8120354851071044E-11</v>
      </c>
    </row>
    <row r="61" spans="1:6" x14ac:dyDescent="0.25">
      <c r="B61" s="1">
        <v>1</v>
      </c>
      <c r="C61" s="1">
        <v>1179.7160000000001</v>
      </c>
      <c r="D61" s="1">
        <v>7.1220192795535262E-7</v>
      </c>
      <c r="E61" s="1">
        <v>9685</v>
      </c>
      <c r="F61" s="1">
        <f t="shared" si="0"/>
        <v>7.3536595555534607E-11</v>
      </c>
    </row>
    <row r="62" spans="1:6" x14ac:dyDescent="0.25">
      <c r="B62" s="1">
        <v>1</v>
      </c>
      <c r="C62" s="1">
        <v>1076.08</v>
      </c>
      <c r="D62" s="1">
        <v>7.4549720953830546E-7</v>
      </c>
      <c r="E62" s="1">
        <v>9685</v>
      </c>
      <c r="F62" s="1">
        <f t="shared" si="0"/>
        <v>7.6974415027186935E-11</v>
      </c>
    </row>
    <row r="63" spans="1:6" ht="18.75" x14ac:dyDescent="0.25">
      <c r="A63" s="1" t="s">
        <v>72</v>
      </c>
      <c r="B63" s="1">
        <v>2.5099999999999998</v>
      </c>
      <c r="C63" s="1">
        <v>64.84</v>
      </c>
      <c r="D63" s="1">
        <f>0.71/365/24/60/60</f>
        <v>2.2513952308472856E-8</v>
      </c>
      <c r="E63" s="1">
        <v>25</v>
      </c>
      <c r="F63" s="1">
        <f>D63/E63</f>
        <v>9.005580923389142E-10</v>
      </c>
    </row>
    <row r="64" spans="1:6" x14ac:dyDescent="0.25">
      <c r="B64" s="1">
        <v>2.5099999999999998</v>
      </c>
      <c r="C64" s="1">
        <v>54.35</v>
      </c>
      <c r="D64" s="1">
        <f>1.1/365/24/60/60</f>
        <v>3.4880771182141051E-8</v>
      </c>
      <c r="E64" s="1">
        <v>25</v>
      </c>
      <c r="F64" s="1">
        <f t="shared" ref="F64:F74" si="3">D64/E64</f>
        <v>1.395230847285642E-9</v>
      </c>
    </row>
    <row r="65" spans="1:6" x14ac:dyDescent="0.25">
      <c r="B65" s="1">
        <v>2.5099999999999998</v>
      </c>
      <c r="C65" s="1">
        <v>51.7</v>
      </c>
      <c r="D65" s="1">
        <f>2.58/365/24/60/60</f>
        <v>8.1811263318112638E-8</v>
      </c>
      <c r="E65" s="1">
        <v>25</v>
      </c>
      <c r="F65" s="1">
        <f t="shared" si="3"/>
        <v>3.2724505327245053E-9</v>
      </c>
    </row>
    <row r="66" spans="1:6" x14ac:dyDescent="0.25">
      <c r="B66" s="1">
        <v>2.5099999999999998</v>
      </c>
      <c r="C66" s="1">
        <v>79.650000000000006</v>
      </c>
      <c r="D66" s="1">
        <f>2.4/365/24/60/60</f>
        <v>7.6103500761034993E-8</v>
      </c>
      <c r="E66" s="1">
        <v>25</v>
      </c>
      <c r="F66" s="1">
        <f t="shared" si="3"/>
        <v>3.0441400304413998E-9</v>
      </c>
    </row>
    <row r="67" spans="1:6" x14ac:dyDescent="0.25">
      <c r="B67" s="1">
        <v>2.5099999999999998</v>
      </c>
      <c r="C67" s="1">
        <v>62.634999999999998</v>
      </c>
      <c r="D67" s="1">
        <f>AVERAGE(D63:D66)</f>
        <v>5.382737189244039E-8</v>
      </c>
      <c r="E67" s="1">
        <v>25</v>
      </c>
      <c r="F67" s="1">
        <f t="shared" si="3"/>
        <v>2.1530948756976155E-9</v>
      </c>
    </row>
    <row r="68" spans="1:6" x14ac:dyDescent="0.25">
      <c r="B68" s="1">
        <v>2.44</v>
      </c>
      <c r="C68" s="1">
        <v>16.78</v>
      </c>
      <c r="D68" s="1">
        <f>0.51/365/24/60/60</f>
        <v>1.6171993911719942E-8</v>
      </c>
      <c r="E68" s="1">
        <v>10</v>
      </c>
      <c r="F68" s="1">
        <f t="shared" si="3"/>
        <v>1.6171993911719943E-9</v>
      </c>
    </row>
    <row r="69" spans="1:6" x14ac:dyDescent="0.25">
      <c r="B69" s="1">
        <v>2.44</v>
      </c>
      <c r="C69" s="1">
        <v>11.29</v>
      </c>
      <c r="D69" s="1">
        <f>0.63/365/24/60/60</f>
        <v>1.9977168949771689E-8</v>
      </c>
      <c r="E69" s="1">
        <v>10</v>
      </c>
      <c r="F69" s="1">
        <f t="shared" si="3"/>
        <v>1.9977168949771689E-9</v>
      </c>
    </row>
    <row r="70" spans="1:6" x14ac:dyDescent="0.25">
      <c r="B70" s="1">
        <v>1.34</v>
      </c>
      <c r="C70" s="1">
        <v>18.59</v>
      </c>
      <c r="D70" s="1">
        <f>0.49/365/24/60/60</f>
        <v>1.5537798072044647E-8</v>
      </c>
      <c r="E70" s="1">
        <v>20</v>
      </c>
      <c r="F70" s="1">
        <f t="shared" si="3"/>
        <v>7.7688990360223235E-10</v>
      </c>
    </row>
    <row r="71" spans="1:6" x14ac:dyDescent="0.25">
      <c r="B71" s="1">
        <v>1.34</v>
      </c>
      <c r="C71" s="1">
        <v>15.76</v>
      </c>
      <c r="D71" s="1">
        <f>1.16/365/24/60/60</f>
        <v>3.6783358701166913E-8</v>
      </c>
      <c r="E71" s="1">
        <v>20</v>
      </c>
      <c r="F71" s="1">
        <f t="shared" si="3"/>
        <v>1.8391679350583456E-9</v>
      </c>
    </row>
    <row r="72" spans="1:6" x14ac:dyDescent="0.25">
      <c r="B72" s="1">
        <v>1.34</v>
      </c>
      <c r="C72" s="1">
        <v>12.96</v>
      </c>
      <c r="D72" s="1">
        <f>0.6/365/24/60/60</f>
        <v>1.9025875190258748E-8</v>
      </c>
      <c r="E72" s="1">
        <v>20</v>
      </c>
      <c r="F72" s="1">
        <f t="shared" si="3"/>
        <v>9.5129375951293737E-10</v>
      </c>
    </row>
    <row r="73" spans="1:6" x14ac:dyDescent="0.25">
      <c r="B73" s="1">
        <v>1.34</v>
      </c>
      <c r="C73" s="1">
        <v>12.07</v>
      </c>
      <c r="D73" s="1">
        <f>1/365/24/60/60</f>
        <v>3.1709791983764586E-8</v>
      </c>
      <c r="E73" s="1">
        <v>20</v>
      </c>
      <c r="F73" s="1">
        <f t="shared" si="3"/>
        <v>1.5854895991882293E-9</v>
      </c>
    </row>
    <row r="74" spans="1:6" x14ac:dyDescent="0.25">
      <c r="B74" s="1">
        <v>1.34</v>
      </c>
      <c r="C74" s="1">
        <v>18.420000000000002</v>
      </c>
      <c r="D74" s="1">
        <f>0.69/365/24/60/60</f>
        <v>2.1879756468797564E-8</v>
      </c>
      <c r="E74" s="1">
        <v>20</v>
      </c>
      <c r="F74" s="1">
        <f t="shared" si="3"/>
        <v>1.0939878234398782E-9</v>
      </c>
    </row>
    <row r="75" spans="1:6" x14ac:dyDescent="0.25">
      <c r="A75" s="1" t="s">
        <v>66</v>
      </c>
      <c r="B75" s="1">
        <v>27</v>
      </c>
      <c r="C75" s="1">
        <v>37</v>
      </c>
      <c r="D75" s="1">
        <v>1.8074581430745811E-8</v>
      </c>
      <c r="E75" s="1">
        <v>44</v>
      </c>
      <c r="F75" s="1">
        <f t="shared" ref="F75:F105" si="4">D75/E75</f>
        <v>4.1078594160785935E-10</v>
      </c>
    </row>
    <row r="76" spans="1:6" x14ac:dyDescent="0.25">
      <c r="B76" s="1">
        <v>27</v>
      </c>
      <c r="C76" s="1">
        <v>48</v>
      </c>
      <c r="D76" s="1">
        <v>5.3272450532724504E-8</v>
      </c>
      <c r="E76" s="1">
        <v>78</v>
      </c>
      <c r="F76" s="1">
        <f t="shared" si="4"/>
        <v>6.8298013503492949E-10</v>
      </c>
    </row>
    <row r="77" spans="1:6" x14ac:dyDescent="0.25">
      <c r="B77" s="1">
        <v>27</v>
      </c>
      <c r="C77" s="1">
        <v>40</v>
      </c>
      <c r="D77" s="1">
        <v>3.7417554540842211E-8</v>
      </c>
      <c r="E77" s="1">
        <v>101</v>
      </c>
      <c r="F77" s="1">
        <f t="shared" si="4"/>
        <v>3.7047083703804167E-10</v>
      </c>
    </row>
    <row r="78" spans="1:6" x14ac:dyDescent="0.25">
      <c r="B78" s="1">
        <v>27</v>
      </c>
      <c r="C78" s="1">
        <v>30</v>
      </c>
      <c r="D78" s="1">
        <v>2.7270421106037544E-8</v>
      </c>
      <c r="E78" s="1">
        <v>102</v>
      </c>
      <c r="F78" s="1">
        <f t="shared" si="4"/>
        <v>2.6735706966703475E-10</v>
      </c>
    </row>
    <row r="79" spans="1:6" x14ac:dyDescent="0.25">
      <c r="B79" s="1">
        <v>27</v>
      </c>
      <c r="C79" s="1">
        <v>52</v>
      </c>
      <c r="D79" s="1">
        <v>4.4710806697108069E-8</v>
      </c>
      <c r="E79" s="1">
        <v>244</v>
      </c>
      <c r="F79" s="1">
        <f t="shared" si="4"/>
        <v>1.8324101105372161E-10</v>
      </c>
    </row>
    <row r="80" spans="1:6" x14ac:dyDescent="0.25">
      <c r="B80" s="1">
        <v>27</v>
      </c>
      <c r="C80" s="1">
        <v>70</v>
      </c>
      <c r="D80" s="1">
        <v>1.2461948249619483E-7</v>
      </c>
      <c r="E80" s="1">
        <v>247</v>
      </c>
      <c r="F80" s="1">
        <f t="shared" si="4"/>
        <v>5.0453231779835965E-10</v>
      </c>
    </row>
    <row r="81" spans="1:6" x14ac:dyDescent="0.25">
      <c r="B81" s="1">
        <v>27</v>
      </c>
      <c r="C81" s="1">
        <v>49</v>
      </c>
      <c r="D81" s="1">
        <v>4.2491121258244545E-8</v>
      </c>
      <c r="E81" s="1">
        <v>272</v>
      </c>
      <c r="F81" s="1">
        <f t="shared" si="4"/>
        <v>1.5621735756707553E-10</v>
      </c>
    </row>
    <row r="82" spans="1:6" x14ac:dyDescent="0.25">
      <c r="B82" s="1">
        <v>27</v>
      </c>
      <c r="C82" s="1">
        <v>50</v>
      </c>
      <c r="D82" s="1">
        <v>2.2513952308472856E-8</v>
      </c>
      <c r="E82" s="1">
        <v>272</v>
      </c>
      <c r="F82" s="1">
        <f t="shared" si="4"/>
        <v>8.2771883487032555E-11</v>
      </c>
    </row>
    <row r="83" spans="1:6" x14ac:dyDescent="0.25">
      <c r="B83" s="1">
        <v>27</v>
      </c>
      <c r="C83" s="1">
        <v>46</v>
      </c>
      <c r="D83" s="1">
        <v>4.8198883815322171E-8</v>
      </c>
      <c r="E83" s="1">
        <v>275</v>
      </c>
      <c r="F83" s="1">
        <f t="shared" si="4"/>
        <v>1.7526866841935334E-10</v>
      </c>
    </row>
    <row r="84" spans="1:6" x14ac:dyDescent="0.25">
      <c r="B84" s="1">
        <v>27</v>
      </c>
      <c r="C84" s="1">
        <v>63</v>
      </c>
      <c r="D84" s="1">
        <v>5.4857940131912737E-8</v>
      </c>
      <c r="E84" s="1">
        <v>306</v>
      </c>
      <c r="F84" s="1">
        <f t="shared" si="4"/>
        <v>1.7927431415657757E-10</v>
      </c>
    </row>
    <row r="85" spans="1:6" x14ac:dyDescent="0.25">
      <c r="B85" s="1">
        <v>27</v>
      </c>
      <c r="C85" s="1">
        <v>79</v>
      </c>
      <c r="D85" s="1">
        <v>8.2445459157787937E-8</v>
      </c>
      <c r="E85" s="1">
        <v>369</v>
      </c>
      <c r="F85" s="1">
        <f t="shared" si="4"/>
        <v>2.2342942861189143E-10</v>
      </c>
    </row>
    <row r="86" spans="1:6" x14ac:dyDescent="0.25">
      <c r="B86" s="1">
        <v>27</v>
      </c>
      <c r="C86" s="1">
        <v>49</v>
      </c>
      <c r="D86" s="1">
        <v>8.4030948756976156E-8</v>
      </c>
      <c r="E86" s="1">
        <v>377</v>
      </c>
      <c r="F86" s="1">
        <f t="shared" si="4"/>
        <v>2.2289376328110386E-10</v>
      </c>
    </row>
    <row r="87" spans="1:6" x14ac:dyDescent="0.25">
      <c r="B87" s="1">
        <v>27</v>
      </c>
      <c r="C87" s="1">
        <v>93</v>
      </c>
      <c r="D87" s="1">
        <v>2.3021308980213089E-7</v>
      </c>
      <c r="E87" s="1">
        <v>383</v>
      </c>
      <c r="F87" s="1">
        <f t="shared" si="4"/>
        <v>6.0107856345203889E-10</v>
      </c>
    </row>
    <row r="88" spans="1:6" x14ac:dyDescent="0.25">
      <c r="B88" s="1">
        <v>27</v>
      </c>
      <c r="C88" s="1">
        <v>92</v>
      </c>
      <c r="D88" s="1">
        <v>5.9931506849315071E-8</v>
      </c>
      <c r="E88" s="1">
        <v>454</v>
      </c>
      <c r="F88" s="1">
        <f t="shared" si="4"/>
        <v>1.3200772433769839E-10</v>
      </c>
    </row>
    <row r="89" spans="1:6" x14ac:dyDescent="0.25">
      <c r="B89" s="1">
        <v>27</v>
      </c>
      <c r="C89" s="1">
        <v>90</v>
      </c>
      <c r="D89" s="1">
        <v>3.2661085743277527E-8</v>
      </c>
      <c r="E89" s="1">
        <v>766</v>
      </c>
      <c r="F89" s="1">
        <f t="shared" si="4"/>
        <v>4.2638493137438027E-11</v>
      </c>
    </row>
    <row r="90" spans="1:6" x14ac:dyDescent="0.25">
      <c r="B90" s="1">
        <v>27</v>
      </c>
      <c r="C90" s="1">
        <v>140</v>
      </c>
      <c r="D90" s="1">
        <v>7.4200913242009124E-8</v>
      </c>
      <c r="E90" s="1">
        <v>830</v>
      </c>
      <c r="F90" s="1">
        <f t="shared" si="4"/>
        <v>8.9398690653023036E-11</v>
      </c>
    </row>
    <row r="91" spans="1:6" x14ac:dyDescent="0.25">
      <c r="B91" s="1">
        <v>27</v>
      </c>
      <c r="C91" s="1">
        <v>127</v>
      </c>
      <c r="D91" s="1">
        <v>9.2592592592592578E-8</v>
      </c>
      <c r="E91" s="1">
        <v>1259</v>
      </c>
      <c r="F91" s="1">
        <f t="shared" si="4"/>
        <v>7.3544553290383302E-11</v>
      </c>
    </row>
    <row r="92" spans="1:6" x14ac:dyDescent="0.25">
      <c r="B92" s="1">
        <v>27</v>
      </c>
      <c r="C92" s="1">
        <v>278</v>
      </c>
      <c r="D92" s="1">
        <v>1.4079147640791477E-7</v>
      </c>
      <c r="E92" s="1">
        <v>3972</v>
      </c>
      <c r="F92" s="1">
        <f t="shared" si="4"/>
        <v>3.5445991039253465E-11</v>
      </c>
    </row>
    <row r="93" spans="1:6" x14ac:dyDescent="0.25">
      <c r="A93" s="1" t="s">
        <v>52</v>
      </c>
      <c r="B93" s="1">
        <v>1</v>
      </c>
      <c r="C93" s="1">
        <v>64.2</v>
      </c>
      <c r="D93" s="1">
        <v>1.9342973110096398E-7</v>
      </c>
      <c r="E93" s="1">
        <v>20.93</v>
      </c>
      <c r="F93" s="1">
        <f t="shared" si="4"/>
        <v>9.2417453942171035E-9</v>
      </c>
    </row>
    <row r="94" spans="1:6" x14ac:dyDescent="0.25">
      <c r="B94" s="1">
        <v>1</v>
      </c>
      <c r="C94" s="1">
        <v>96.8</v>
      </c>
      <c r="D94" s="1">
        <v>1.0781329274479959E-7</v>
      </c>
      <c r="E94" s="1">
        <v>34.700000000000003</v>
      </c>
      <c r="F94" s="1">
        <f t="shared" si="4"/>
        <v>3.1070113182939359E-9</v>
      </c>
    </row>
    <row r="95" spans="1:6" x14ac:dyDescent="0.25">
      <c r="B95" s="1">
        <v>9</v>
      </c>
      <c r="C95" s="1">
        <v>500</v>
      </c>
      <c r="D95" s="1">
        <v>3.5762923289960069E-7</v>
      </c>
      <c r="E95" s="1">
        <f>147*10^8/365/24/60/60</f>
        <v>466.13394216133946</v>
      </c>
      <c r="F95" s="1">
        <f t="shared" si="4"/>
        <v>7.6722418290624529E-10</v>
      </c>
    </row>
    <row r="96" spans="1:6" x14ac:dyDescent="0.25">
      <c r="A96" s="1" t="s">
        <v>67</v>
      </c>
      <c r="B96" s="6">
        <v>2</v>
      </c>
      <c r="C96" s="6">
        <v>17</v>
      </c>
      <c r="D96" s="6">
        <v>2.0294266869609335E-8</v>
      </c>
      <c r="E96" s="6">
        <v>4</v>
      </c>
      <c r="F96" s="1">
        <f t="shared" si="4"/>
        <v>5.0735667174023337E-9</v>
      </c>
    </row>
    <row r="97" spans="1:6" x14ac:dyDescent="0.25">
      <c r="A97" s="1" t="s">
        <v>68</v>
      </c>
      <c r="B97" s="1">
        <v>63</v>
      </c>
      <c r="C97" s="1">
        <v>13</v>
      </c>
      <c r="D97" s="1">
        <v>5.0735667174023337E-9</v>
      </c>
      <c r="E97" s="1">
        <v>39</v>
      </c>
      <c r="F97" s="1">
        <f t="shared" si="4"/>
        <v>1.3009145429236754E-10</v>
      </c>
    </row>
    <row r="98" spans="1:6" x14ac:dyDescent="0.25">
      <c r="A98" s="1" t="s">
        <v>69</v>
      </c>
      <c r="B98" s="1">
        <v>6</v>
      </c>
      <c r="C98" s="1">
        <v>120</v>
      </c>
      <c r="D98" s="1">
        <v>5.0735667174023344E-8</v>
      </c>
      <c r="E98" s="1">
        <v>650</v>
      </c>
      <c r="F98" s="1">
        <f t="shared" si="4"/>
        <v>7.8054872575420528E-11</v>
      </c>
    </row>
    <row r="99" spans="1:6" x14ac:dyDescent="0.25">
      <c r="B99" s="1">
        <v>50</v>
      </c>
      <c r="C99" s="1">
        <v>120</v>
      </c>
      <c r="D99" s="1">
        <v>7.2932521562658556E-9</v>
      </c>
      <c r="E99" s="1">
        <v>650</v>
      </c>
      <c r="F99" s="1">
        <f t="shared" si="4"/>
        <v>1.1220387932716701E-11</v>
      </c>
    </row>
    <row r="100" spans="1:6" x14ac:dyDescent="0.25">
      <c r="A100" s="1" t="s">
        <v>49</v>
      </c>
      <c r="B100" s="1">
        <v>0.28999999999999998</v>
      </c>
      <c r="C100" s="1">
        <v>64</v>
      </c>
      <c r="D100" s="2">
        <v>6.34196E-8</v>
      </c>
      <c r="E100" s="1">
        <v>15.7</v>
      </c>
      <c r="F100" s="1">
        <f t="shared" si="4"/>
        <v>4.0394649681528664E-9</v>
      </c>
    </row>
    <row r="101" spans="1:6" x14ac:dyDescent="0.25">
      <c r="A101" s="1" t="s">
        <v>70</v>
      </c>
      <c r="B101" s="1">
        <v>1.5</v>
      </c>
      <c r="C101" s="1">
        <v>31.2</v>
      </c>
      <c r="D101" s="1">
        <v>2.1843818704549385E-8</v>
      </c>
      <c r="E101" s="1">
        <v>12</v>
      </c>
      <c r="F101" s="1">
        <f t="shared" si="4"/>
        <v>1.8203182253791153E-9</v>
      </c>
    </row>
    <row r="102" spans="1:6" x14ac:dyDescent="0.25">
      <c r="B102" s="1">
        <v>0.25</v>
      </c>
      <c r="C102" s="1">
        <v>31.2</v>
      </c>
      <c r="D102" s="1">
        <v>2.8188736681887325E-7</v>
      </c>
      <c r="E102" s="1">
        <v>12</v>
      </c>
      <c r="F102" s="1">
        <f t="shared" si="4"/>
        <v>2.3490613901572771E-8</v>
      </c>
    </row>
    <row r="103" spans="1:6" x14ac:dyDescent="0.25">
      <c r="A103" s="1" t="s">
        <v>71</v>
      </c>
      <c r="B103" s="1">
        <v>3.6874999999999991E-2</v>
      </c>
      <c r="C103" s="1">
        <v>35.61</v>
      </c>
      <c r="D103" s="1">
        <v>4.3796661765085271E-6</v>
      </c>
      <c r="E103" s="1">
        <v>3.6</v>
      </c>
      <c r="F103" s="1">
        <f t="shared" si="4"/>
        <v>1.2165739379190353E-6</v>
      </c>
    </row>
    <row r="104" spans="1:6" x14ac:dyDescent="0.25">
      <c r="B104" s="1">
        <v>0.40124166666666666</v>
      </c>
      <c r="C104" s="1">
        <v>35.61</v>
      </c>
      <c r="D104" s="1">
        <v>5.4010345802206507E-7</v>
      </c>
      <c r="E104" s="1">
        <v>3.6</v>
      </c>
      <c r="F104" s="1">
        <f t="shared" si="4"/>
        <v>1.5002873833946251E-7</v>
      </c>
    </row>
    <row r="105" spans="1:6" x14ac:dyDescent="0.25">
      <c r="B105" s="1">
        <v>0.44505</v>
      </c>
      <c r="C105" s="1">
        <v>35.61</v>
      </c>
      <c r="D105" s="1">
        <v>2.2443735478903139E-7</v>
      </c>
      <c r="E105" s="1">
        <v>3.6</v>
      </c>
      <c r="F105" s="1">
        <f t="shared" si="4"/>
        <v>6.234370966361983E-8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 correlation</vt:lpstr>
      <vt:lpstr>Field correlation</vt:lpstr>
      <vt:lpstr>Comparison</vt:lpstr>
      <vt:lpstr>Spatial and temporal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zk1357</dc:creator>
  <cp:lastModifiedBy>zk1357</cp:lastModifiedBy>
  <dcterms:created xsi:type="dcterms:W3CDTF">2015-06-05T18:19:34Z</dcterms:created>
  <dcterms:modified xsi:type="dcterms:W3CDTF">2020-10-21T22:29:29Z</dcterms:modified>
</cp:coreProperties>
</file>