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8330" windowHeight="7540"/>
  </bookViews>
  <sheets>
    <sheet name="Sheet1" sheetId="1" r:id="rId1"/>
  </sheets>
  <definedNames>
    <definedName name="solver_opt" localSheetId="0" hidden="1">Sheet1!$J$50</definedName>
    <definedName name="solver_typ" localSheetId="0" hidden="1">1</definedName>
    <definedName name="solver_val" localSheetId="0" hidden="1">0</definedName>
    <definedName name="solver_neg" localSheetId="0" hidden="1">1</definedName>
    <definedName name="solver_num" localSheetId="0" hidden="1">0</definedName>
    <definedName name="solver_lin" localSheetId="0" hidden="1">0</definedName>
    <definedName name="solver_eng" localSheetId="0" hidden="1">1</definedName>
    <definedName name="solver_ver" localSheetId="0" hidden="1">3</definedName>
  </definedNames>
  <calcPr calcId="144525"/>
</workbook>
</file>

<file path=xl/sharedStrings.xml><?xml version="1.0" encoding="utf-8"?>
<sst xmlns="http://schemas.openxmlformats.org/spreadsheetml/2006/main" count="231" uniqueCount="123">
  <si>
    <t>零息债券久期就是他的期限。</t>
  </si>
  <si>
    <t>下面是付息债权的久期计算，通过收益表算出贴现因子，在以贴现后的现金流总和算出付息债券的价值，从而计算出权重，最后算出久期</t>
  </si>
  <si>
    <t>第几次付息</t>
  </si>
  <si>
    <t>时点</t>
  </si>
  <si>
    <t>半年复利收益率</t>
  </si>
  <si>
    <t>现金流</t>
  </si>
  <si>
    <t>贴现率</t>
  </si>
  <si>
    <t>贴现后现金流</t>
  </si>
  <si>
    <t>权重</t>
  </si>
  <si>
    <t>权重*t</t>
  </si>
  <si>
    <t>Pc</t>
  </si>
  <si>
    <t>久期</t>
  </si>
  <si>
    <t>接下来3题关于浮动债券</t>
  </si>
  <si>
    <t>上浮为s的浮动债券价格：100+求和s*z（0，t）</t>
  </si>
  <si>
    <t>时间</t>
  </si>
  <si>
    <t>yield</t>
  </si>
  <si>
    <t>dicount</t>
  </si>
  <si>
    <t>0.35*Z(0,T)/2</t>
  </si>
  <si>
    <t>权重*时间</t>
  </si>
  <si>
    <t>后来发现算s部分在投资组合的久期可以约分，也就是答案里的公式。</t>
  </si>
  <si>
    <t>左边这个是s部分的久期</t>
  </si>
  <si>
    <t>除s</t>
  </si>
  <si>
    <t>s贴现求和</t>
  </si>
  <si>
    <t>red-贴现后的债券价格</t>
  </si>
  <si>
    <t>总久期</t>
  </si>
  <si>
    <t>(什么意思，分成了100的和s的两个投资组合，100/p是0spread部分在投资组合的权重，0.5是0 spread 浮动债券的久期。这部分算出来是0.4834)</t>
  </si>
  <si>
    <t>0.5*Z(0,T)/2</t>
  </si>
  <si>
    <t>s部分的总和价值贴现</t>
  </si>
  <si>
    <t>右边是s部分的久期</t>
  </si>
  <si>
    <t>100部分的现值</t>
  </si>
  <si>
    <t>浮动债券的现在P</t>
  </si>
  <si>
    <t>久期为两部分之和</t>
  </si>
  <si>
    <t>第二题</t>
  </si>
  <si>
    <t>算ytm，麦考利久期、修正久期</t>
  </si>
  <si>
    <t>ytm就是财务管理中的必要报酬率</t>
  </si>
  <si>
    <t>bond</t>
  </si>
  <si>
    <t>ytm</t>
  </si>
  <si>
    <t>durantion</t>
  </si>
  <si>
    <t>modifiied duration</t>
  </si>
  <si>
    <t>Macault duration</t>
  </si>
  <si>
    <t>债券价格为</t>
  </si>
  <si>
    <t>a</t>
  </si>
  <si>
    <t>b</t>
  </si>
  <si>
    <t>c</t>
  </si>
  <si>
    <t>d</t>
  </si>
  <si>
    <t>e</t>
  </si>
  <si>
    <t>f</t>
  </si>
  <si>
    <t>第三题</t>
  </si>
  <si>
    <t>算美元久期</t>
  </si>
  <si>
    <t>time</t>
  </si>
  <si>
    <t>价格见右边</t>
  </si>
  <si>
    <t>久期见左边</t>
  </si>
  <si>
    <t>美元久期为p*d</t>
  </si>
  <si>
    <t>零息债券</t>
  </si>
  <si>
    <t>价格</t>
  </si>
  <si>
    <t>美元久期</t>
  </si>
  <si>
    <t>付息债权</t>
  </si>
  <si>
    <t>m</t>
  </si>
  <si>
    <t>z</t>
  </si>
  <si>
    <t>0s 浮动债券</t>
  </si>
  <si>
    <t>0s浮动债券</t>
  </si>
  <si>
    <t>期限4又1/4年</t>
  </si>
  <si>
    <t>假设r（0）匹配z（0，0.25）</t>
  </si>
  <si>
    <t>价格应为100*（1+r（0）/2）*z</t>
  </si>
  <si>
    <t>价格为100</t>
  </si>
  <si>
    <t>久期为到下一个付息日的时间1/4</t>
  </si>
  <si>
    <t>所以美元久期为45</t>
  </si>
  <si>
    <t>25s浮动债券</t>
  </si>
  <si>
    <t>5 1/4年</t>
  </si>
  <si>
    <t>s/2*z</t>
  </si>
  <si>
    <t>s部分久期</t>
  </si>
  <si>
    <t>总价值</t>
  </si>
  <si>
    <t>第四题</t>
  </si>
  <si>
    <t>资产组合的总价值</t>
  </si>
  <si>
    <t>2000+2000-3000=1000万</t>
  </si>
  <si>
    <t>资产组合的美元久期</t>
  </si>
  <si>
    <t>10万*组合久期</t>
  </si>
  <si>
    <t>花了多少钱买</t>
  </si>
  <si>
    <t>数量</t>
  </si>
  <si>
    <t>美元久期*n（单位数量）</t>
  </si>
  <si>
    <t>6年逆向浮动债券</t>
  </si>
  <si>
    <t>4年浮动利息债券</t>
  </si>
  <si>
    <t>5年零息债券空头</t>
  </si>
  <si>
    <t>资产组合价值</t>
  </si>
  <si>
    <t>10mn</t>
  </si>
  <si>
    <t>总美元久期</t>
  </si>
  <si>
    <t>注意，该债券为每季度付息</t>
  </si>
  <si>
    <t>贴现后s</t>
  </si>
  <si>
    <t>逆向浮动债券分为3部分</t>
  </si>
  <si>
    <t>加权后久期</t>
  </si>
  <si>
    <t>浮动债券</t>
  </si>
  <si>
    <t>总价格</t>
  </si>
  <si>
    <t>加权后美元久期</t>
  </si>
  <si>
    <t>逆向中的付息债券</t>
  </si>
  <si>
    <t>第五题</t>
  </si>
  <si>
    <t>所以应该买使得总美元久期为0</t>
  </si>
  <si>
    <t>总美元久期/这个久期</t>
  </si>
  <si>
    <t>左边这个是美元久期除以久期算出来的一个价格也就是你买这个债券所花的钱</t>
  </si>
  <si>
    <t>用这个价格除以该债券的总价就是应该买的量</t>
  </si>
  <si>
    <t>量也可以这么算，美元久期除以美元久期</t>
  </si>
  <si>
    <t>然后数量乘以价格算出花的钱</t>
  </si>
  <si>
    <t>所以现在的资产组合价值是</t>
  </si>
  <si>
    <t>单位是mn</t>
  </si>
  <si>
    <t>第六题</t>
  </si>
  <si>
    <t>这是书中的表格</t>
  </si>
  <si>
    <t>这里计算浮动债券</t>
  </si>
  <si>
    <t>yield1</t>
  </si>
  <si>
    <t>z1</t>
  </si>
  <si>
    <t>yield2</t>
  </si>
  <si>
    <t>z2</t>
  </si>
  <si>
    <t>左边这个是久期</t>
  </si>
  <si>
    <t>100部分的价格</t>
  </si>
  <si>
    <t>r(0)取7%</t>
  </si>
  <si>
    <t>这里计算零息债券</t>
  </si>
  <si>
    <t>original</t>
  </si>
  <si>
    <t>now</t>
  </si>
  <si>
    <t>value变化</t>
  </si>
  <si>
    <t>unhedge</t>
  </si>
  <si>
    <t>hedge</t>
  </si>
  <si>
    <t>total</t>
  </si>
  <si>
    <t>5月份时候的</t>
  </si>
  <si>
    <t>数量没变</t>
  </si>
  <si>
    <t>价格*数量</t>
  </si>
</sst>
</file>

<file path=xl/styles.xml><?xml version="1.0" encoding="utf-8"?>
<styleSheet xmlns="http://schemas.openxmlformats.org/spreadsheetml/2006/main">
  <numFmts count="11">
    <numFmt numFmtId="41" formatCode="_ * #,##0_ ;_ * \-#,##0_ ;_ * &quot;-&quot;_ ;_ @_ "/>
    <numFmt numFmtId="176" formatCode="0.0000_);[Red]\(0.0000\)"/>
    <numFmt numFmtId="177" formatCode="0.000%"/>
    <numFmt numFmtId="178" formatCode="#\ ?/?"/>
    <numFmt numFmtId="179" formatCode="0.00_);[Red]\(0.00\)"/>
    <numFmt numFmtId="44" formatCode="_ &quot;￥&quot;* #,##0.00_ ;_ &quot;￥&quot;* \-#,##0.00_ ;_ &quot;￥&quot;* &quot;-&quot;??_ ;_ @_ "/>
    <numFmt numFmtId="42" formatCode="_ &quot;￥&quot;* #,##0_ ;_ &quot;￥&quot;* \-#,##0_ ;_ &quot;￥&quot;* &quot;-&quot;_ ;_ @_ "/>
    <numFmt numFmtId="43" formatCode="_ * #,##0.00_ ;_ * \-#,##0.00_ ;_ * &quot;-&quot;??_ ;_ @_ "/>
    <numFmt numFmtId="180" formatCode="#,##0.0000_ "/>
    <numFmt numFmtId="181" formatCode="0.000000_);[Red]\(0.000000\)"/>
    <numFmt numFmtId="182" formatCode="#,##0.000_ "/>
  </numFmts>
  <fonts count="24">
    <font>
      <sz val="11"/>
      <color theme="1"/>
      <name val="宋体"/>
      <charset val="134"/>
      <scheme val="minor"/>
    </font>
    <font>
      <sz val="11"/>
      <color rgb="FFFF0000"/>
      <name val="宋体"/>
      <charset val="134"/>
      <scheme val="minor"/>
    </font>
    <font>
      <b/>
      <sz val="9"/>
      <color rgb="FF000000"/>
      <name val="Helvetica"/>
      <charset val="134"/>
    </font>
    <font>
      <b/>
      <sz val="9"/>
      <color rgb="FF000000"/>
      <name val="宋体"/>
      <charset val="134"/>
    </font>
    <font>
      <sz val="9"/>
      <color rgb="FF000000"/>
      <name val="Helvetica"/>
      <charset val="134"/>
    </font>
    <font>
      <sz val="11"/>
      <color theme="1"/>
      <name val="宋体"/>
      <charset val="0"/>
      <scheme val="minor"/>
    </font>
    <font>
      <sz val="11"/>
      <color theme="0"/>
      <name val="宋体"/>
      <charset val="0"/>
      <scheme val="minor"/>
    </font>
    <font>
      <b/>
      <sz val="11"/>
      <color rgb="FFFA7D00"/>
      <name val="宋体"/>
      <charset val="0"/>
      <scheme val="minor"/>
    </font>
    <font>
      <sz val="11"/>
      <color rgb="FF9C0006"/>
      <name val="宋体"/>
      <charset val="0"/>
      <scheme val="minor"/>
    </font>
    <font>
      <sz val="11"/>
      <color rgb="FF9C6500"/>
      <name val="宋体"/>
      <charset val="0"/>
      <scheme val="minor"/>
    </font>
    <font>
      <i/>
      <sz val="11"/>
      <color rgb="FF7F7F7F"/>
      <name val="宋体"/>
      <charset val="0"/>
      <scheme val="minor"/>
    </font>
    <font>
      <b/>
      <sz val="11"/>
      <color theme="3"/>
      <name val="宋体"/>
      <charset val="134"/>
      <scheme val="minor"/>
    </font>
    <font>
      <sz val="11"/>
      <color rgb="FF3F3F76"/>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u/>
      <sz val="11"/>
      <color rgb="FF0000FF"/>
      <name val="宋体"/>
      <charset val="0"/>
      <scheme val="minor"/>
    </font>
    <font>
      <sz val="11"/>
      <color rgb="FF006100"/>
      <name val="宋体"/>
      <charset val="0"/>
      <scheme val="minor"/>
    </font>
    <font>
      <b/>
      <sz val="15"/>
      <color theme="3"/>
      <name val="宋体"/>
      <charset val="134"/>
      <scheme val="minor"/>
    </font>
    <font>
      <b/>
      <sz val="11"/>
      <color rgb="FF3F3F3F"/>
      <name val="宋体"/>
      <charset val="0"/>
      <scheme val="minor"/>
    </font>
    <font>
      <u/>
      <sz val="11"/>
      <color rgb="FF800080"/>
      <name val="宋体"/>
      <charset val="0"/>
      <scheme val="minor"/>
    </font>
    <font>
      <sz val="11"/>
      <color rgb="FFFA7D00"/>
      <name val="宋体"/>
      <charset val="0"/>
      <scheme val="minor"/>
    </font>
    <font>
      <b/>
      <sz val="11"/>
      <color rgb="FFFFFFFF"/>
      <name val="宋体"/>
      <charset val="0"/>
      <scheme val="minor"/>
    </font>
    <font>
      <b/>
      <sz val="18"/>
      <color theme="3"/>
      <name val="宋体"/>
      <charset val="134"/>
      <scheme val="minor"/>
    </font>
  </fonts>
  <fills count="35">
    <fill>
      <patternFill patternType="none"/>
    </fill>
    <fill>
      <patternFill patternType="gray125"/>
    </fill>
    <fill>
      <patternFill patternType="solid">
        <fgColor rgb="FFFFFFFF"/>
        <bgColor indexed="64"/>
      </patternFill>
    </fill>
    <fill>
      <patternFill patternType="solid">
        <fgColor rgb="FFF5F5F5"/>
        <bgColor indexed="64"/>
      </patternFill>
    </fill>
    <fill>
      <patternFill patternType="solid">
        <fgColor theme="7" tint="0.799981688894314"/>
        <bgColor indexed="64"/>
      </patternFill>
    </fill>
    <fill>
      <patternFill patternType="solid">
        <fgColor theme="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7"/>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rgb="FFFFFFCC"/>
        <bgColor indexed="64"/>
      </patternFill>
    </fill>
    <fill>
      <patternFill patternType="solid">
        <fgColor theme="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A5A5A5"/>
        <bgColor indexed="64"/>
      </patternFill>
    </fill>
  </fills>
  <borders count="3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7" borderId="0" applyNumberFormat="0" applyBorder="0" applyAlignment="0" applyProtection="0">
      <alignment vertical="center"/>
    </xf>
    <xf numFmtId="0" fontId="12" fillId="18" borderId="2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4" borderId="0" applyNumberFormat="0" applyBorder="0" applyAlignment="0" applyProtection="0">
      <alignment vertical="center"/>
    </xf>
    <xf numFmtId="0" fontId="8" fillId="11" borderId="0" applyNumberFormat="0" applyBorder="0" applyAlignment="0" applyProtection="0">
      <alignment vertical="center"/>
    </xf>
    <xf numFmtId="43" fontId="0" fillId="0" borderId="0" applyFont="0" applyFill="0" applyBorder="0" applyAlignment="0" applyProtection="0">
      <alignment vertical="center"/>
    </xf>
    <xf numFmtId="0" fontId="6" fillId="10"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26" borderId="25" applyNumberFormat="0" applyFont="0" applyAlignment="0" applyProtection="0">
      <alignment vertical="center"/>
    </xf>
    <xf numFmtId="0" fontId="6" fillId="9" borderId="0" applyNumberFormat="0" applyBorder="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8" fillId="0" borderId="24" applyNumberFormat="0" applyFill="0" applyAlignment="0" applyProtection="0">
      <alignment vertical="center"/>
    </xf>
    <xf numFmtId="0" fontId="14" fillId="0" borderId="24" applyNumberFormat="0" applyFill="0" applyAlignment="0" applyProtection="0">
      <alignment vertical="center"/>
    </xf>
    <xf numFmtId="0" fontId="6" fillId="17" borderId="0" applyNumberFormat="0" applyBorder="0" applyAlignment="0" applyProtection="0">
      <alignment vertical="center"/>
    </xf>
    <xf numFmtId="0" fontId="11" fillId="0" borderId="29" applyNumberFormat="0" applyFill="0" applyAlignment="0" applyProtection="0">
      <alignment vertical="center"/>
    </xf>
    <xf numFmtId="0" fontId="6" fillId="13" borderId="0" applyNumberFormat="0" applyBorder="0" applyAlignment="0" applyProtection="0">
      <alignment vertical="center"/>
    </xf>
    <xf numFmtId="0" fontId="19" fillId="6" borderId="26" applyNumberFormat="0" applyAlignment="0" applyProtection="0">
      <alignment vertical="center"/>
    </xf>
    <xf numFmtId="0" fontId="7" fillId="6" borderId="22" applyNumberFormat="0" applyAlignment="0" applyProtection="0">
      <alignment vertical="center"/>
    </xf>
    <xf numFmtId="0" fontId="22" fillId="34" borderId="28" applyNumberFormat="0" applyAlignment="0" applyProtection="0">
      <alignment vertical="center"/>
    </xf>
    <xf numFmtId="0" fontId="5" fillId="25" borderId="0" applyNumberFormat="0" applyBorder="0" applyAlignment="0" applyProtection="0">
      <alignment vertical="center"/>
    </xf>
    <xf numFmtId="0" fontId="6" fillId="30" borderId="0" applyNumberFormat="0" applyBorder="0" applyAlignment="0" applyProtection="0">
      <alignment vertical="center"/>
    </xf>
    <xf numFmtId="0" fontId="21" fillId="0" borderId="27" applyNumberFormat="0" applyFill="0" applyAlignment="0" applyProtection="0">
      <alignment vertical="center"/>
    </xf>
    <xf numFmtId="0" fontId="13" fillId="0" borderId="23" applyNumberFormat="0" applyFill="0" applyAlignment="0" applyProtection="0">
      <alignment vertical="center"/>
    </xf>
    <xf numFmtId="0" fontId="17" fillId="24" borderId="0" applyNumberFormat="0" applyBorder="0" applyAlignment="0" applyProtection="0">
      <alignment vertical="center"/>
    </xf>
    <xf numFmtId="0" fontId="9" fillId="12" borderId="0" applyNumberFormat="0" applyBorder="0" applyAlignment="0" applyProtection="0">
      <alignment vertical="center"/>
    </xf>
    <xf numFmtId="0" fontId="5" fillId="33" borderId="0" applyNumberFormat="0" applyBorder="0" applyAlignment="0" applyProtection="0">
      <alignment vertical="center"/>
    </xf>
    <xf numFmtId="0" fontId="6" fillId="5" borderId="0" applyNumberFormat="0" applyBorder="0" applyAlignment="0" applyProtection="0">
      <alignment vertical="center"/>
    </xf>
    <xf numFmtId="0" fontId="5" fillId="29" borderId="0" applyNumberFormat="0" applyBorder="0" applyAlignment="0" applyProtection="0">
      <alignment vertical="center"/>
    </xf>
    <xf numFmtId="0" fontId="5" fillId="22" borderId="0" applyNumberFormat="0" applyBorder="0" applyAlignment="0" applyProtection="0">
      <alignment vertical="center"/>
    </xf>
    <xf numFmtId="0" fontId="5" fillId="28" borderId="0" applyNumberFormat="0" applyBorder="0" applyAlignment="0" applyProtection="0">
      <alignment vertical="center"/>
    </xf>
    <xf numFmtId="0" fontId="5" fillId="23" borderId="0" applyNumberFormat="0" applyBorder="0" applyAlignment="0" applyProtection="0">
      <alignment vertical="center"/>
    </xf>
    <xf numFmtId="0" fontId="6" fillId="21" borderId="0" applyNumberFormat="0" applyBorder="0" applyAlignment="0" applyProtection="0">
      <alignment vertical="center"/>
    </xf>
    <xf numFmtId="0" fontId="6" fillId="16" borderId="0" applyNumberFormat="0" applyBorder="0" applyAlignment="0" applyProtection="0">
      <alignment vertical="center"/>
    </xf>
    <xf numFmtId="0" fontId="5" fillId="4" borderId="0" applyNumberFormat="0" applyBorder="0" applyAlignment="0" applyProtection="0">
      <alignment vertical="center"/>
    </xf>
    <xf numFmtId="0" fontId="5" fillId="32" borderId="0" applyNumberFormat="0" applyBorder="0" applyAlignment="0" applyProtection="0">
      <alignment vertical="center"/>
    </xf>
    <xf numFmtId="0" fontId="6" fillId="15" borderId="0" applyNumberFormat="0" applyBorder="0" applyAlignment="0" applyProtection="0">
      <alignment vertical="center"/>
    </xf>
    <xf numFmtId="0" fontId="5" fillId="8" borderId="0" applyNumberFormat="0" applyBorder="0" applyAlignment="0" applyProtection="0">
      <alignment vertical="center"/>
    </xf>
    <xf numFmtId="0" fontId="6" fillId="20" borderId="0" applyNumberFormat="0" applyBorder="0" applyAlignment="0" applyProtection="0">
      <alignment vertical="center"/>
    </xf>
    <xf numFmtId="0" fontId="6" fillId="27" borderId="0" applyNumberFormat="0" applyBorder="0" applyAlignment="0" applyProtection="0">
      <alignment vertical="center"/>
    </xf>
    <xf numFmtId="0" fontId="5" fillId="19" borderId="0" applyNumberFormat="0" applyBorder="0" applyAlignment="0" applyProtection="0">
      <alignment vertical="center"/>
    </xf>
    <xf numFmtId="0" fontId="6" fillId="31" borderId="0" applyNumberFormat="0" applyBorder="0" applyAlignment="0" applyProtection="0">
      <alignment vertical="center"/>
    </xf>
  </cellStyleXfs>
  <cellXfs count="74">
    <xf numFmtId="0" fontId="0" fillId="0" borderId="0" xfId="0">
      <alignment vertical="center"/>
    </xf>
    <xf numFmtId="179" fontId="0" fillId="0" borderId="0" xfId="0" applyNumberFormat="1">
      <alignment vertical="center"/>
    </xf>
    <xf numFmtId="178" fontId="0" fillId="0" borderId="0" xfId="0" applyNumberFormat="1">
      <alignment vertical="center"/>
    </xf>
    <xf numFmtId="176" fontId="0" fillId="0" borderId="0" xfId="0" applyNumberFormat="1">
      <alignment vertical="center"/>
    </xf>
    <xf numFmtId="180" fontId="0" fillId="0" borderId="0" xfId="0" applyNumberFormat="1">
      <alignment vertical="center"/>
    </xf>
    <xf numFmtId="0" fontId="0" fillId="0" borderId="0" xfId="0" applyNumberFormat="1">
      <alignment vertical="center"/>
    </xf>
    <xf numFmtId="10" fontId="0" fillId="0" borderId="0" xfId="0" applyNumberFormat="1">
      <alignment vertical="center"/>
    </xf>
    <xf numFmtId="180" fontId="1" fillId="0" borderId="0" xfId="0" applyNumberFormat="1" applyFont="1">
      <alignment vertical="center"/>
    </xf>
    <xf numFmtId="0" fontId="1" fillId="0" borderId="0" xfId="0" applyFont="1">
      <alignment vertical="center"/>
    </xf>
    <xf numFmtId="181" fontId="1" fillId="0" borderId="0" xfId="0" applyNumberFormat="1" applyFont="1">
      <alignment vertical="center"/>
    </xf>
    <xf numFmtId="177" fontId="0" fillId="0" borderId="0" xfId="0" applyNumberFormat="1">
      <alignment vertical="center"/>
    </xf>
    <xf numFmtId="0" fontId="2" fillId="2" borderId="0" xfId="0" applyFont="1" applyFill="1" applyAlignment="1">
      <alignment horizontal="right" vertical="center" wrapText="1"/>
    </xf>
    <xf numFmtId="0" fontId="3" fillId="2" borderId="0" xfId="0" applyFont="1" applyFill="1" applyAlignment="1">
      <alignment horizontal="right" vertical="center" wrapText="1"/>
    </xf>
    <xf numFmtId="0" fontId="4" fillId="3" borderId="0" xfId="0" applyFont="1" applyFill="1" applyAlignment="1">
      <alignment horizontal="right" vertical="center" wrapText="1"/>
    </xf>
    <xf numFmtId="0" fontId="4" fillId="2" borderId="0" xfId="0" applyFont="1" applyFill="1" applyAlignment="1">
      <alignment horizontal="right" vertical="center" wrapText="1"/>
    </xf>
    <xf numFmtId="180" fontId="0" fillId="0" borderId="0" xfId="0" applyNumberFormat="1" applyFont="1">
      <alignment vertical="center"/>
    </xf>
    <xf numFmtId="176" fontId="1" fillId="0" borderId="0" xfId="0" applyNumberFormat="1" applyFont="1">
      <alignment vertical="center"/>
    </xf>
    <xf numFmtId="178" fontId="0" fillId="0" borderId="1" xfId="0" applyNumberFormat="1" applyBorder="1">
      <alignment vertical="center"/>
    </xf>
    <xf numFmtId="176" fontId="0" fillId="0" borderId="2" xfId="0" applyNumberFormat="1" applyBorder="1">
      <alignment vertical="center"/>
    </xf>
    <xf numFmtId="0" fontId="0" fillId="0" borderId="2" xfId="0" applyBorder="1">
      <alignment vertical="center"/>
    </xf>
    <xf numFmtId="180" fontId="0" fillId="0" borderId="2" xfId="0" applyNumberFormat="1" applyBorder="1">
      <alignment vertical="center"/>
    </xf>
    <xf numFmtId="0" fontId="0" fillId="0" borderId="3" xfId="0" applyBorder="1">
      <alignment vertical="center"/>
    </xf>
    <xf numFmtId="176" fontId="0" fillId="0" borderId="4" xfId="0" applyNumberFormat="1" applyBorder="1">
      <alignment vertical="center"/>
    </xf>
    <xf numFmtId="0" fontId="0" fillId="0" borderId="5" xfId="0" applyBorder="1">
      <alignment vertical="center"/>
    </xf>
    <xf numFmtId="176" fontId="0" fillId="0" borderId="6" xfId="0" applyNumberFormat="1" applyBorder="1">
      <alignment vertical="center"/>
    </xf>
    <xf numFmtId="176" fontId="0" fillId="0" borderId="7" xfId="0" applyNumberFormat="1" applyBorder="1">
      <alignment vertical="center"/>
    </xf>
    <xf numFmtId="0" fontId="0" fillId="0" borderId="7" xfId="0" applyBorder="1">
      <alignment vertical="center"/>
    </xf>
    <xf numFmtId="180" fontId="1" fillId="0" borderId="7" xfId="0" applyNumberFormat="1" applyFont="1" applyBorder="1">
      <alignment vertical="center"/>
    </xf>
    <xf numFmtId="0" fontId="0" fillId="0" borderId="8" xfId="0" applyBorder="1">
      <alignment vertical="center"/>
    </xf>
    <xf numFmtId="0" fontId="0" fillId="0" borderId="4" xfId="0" applyBorder="1">
      <alignment vertical="center"/>
    </xf>
    <xf numFmtId="179" fontId="0" fillId="0" borderId="1" xfId="0" applyNumberFormat="1" applyBorder="1">
      <alignment vertical="center"/>
    </xf>
    <xf numFmtId="178" fontId="0" fillId="0" borderId="2" xfId="0" applyNumberFormat="1" applyBorder="1">
      <alignment vertical="center"/>
    </xf>
    <xf numFmtId="176" fontId="0" fillId="0" borderId="3" xfId="0" applyNumberFormat="1" applyBorder="1">
      <alignment vertical="center"/>
    </xf>
    <xf numFmtId="0" fontId="1" fillId="0" borderId="4" xfId="0" applyFont="1" applyBorder="1">
      <alignment vertical="center"/>
    </xf>
    <xf numFmtId="179" fontId="0" fillId="0" borderId="4" xfId="0" applyNumberFormat="1" applyBorder="1">
      <alignment vertical="center"/>
    </xf>
    <xf numFmtId="176" fontId="0" fillId="0" borderId="0" xfId="0" applyNumberFormat="1" applyBorder="1">
      <alignment vertical="center"/>
    </xf>
    <xf numFmtId="0" fontId="0" fillId="0" borderId="0" xfId="0" applyBorder="1">
      <alignment vertical="center"/>
    </xf>
    <xf numFmtId="176" fontId="0" fillId="0" borderId="5" xfId="0" applyNumberFormat="1" applyBorder="1">
      <alignment vertical="center"/>
    </xf>
    <xf numFmtId="0" fontId="0" fillId="0" borderId="6" xfId="0" applyBorder="1">
      <alignment vertical="center"/>
    </xf>
    <xf numFmtId="178" fontId="0" fillId="0" borderId="0" xfId="0" applyNumberFormat="1" applyBorder="1">
      <alignment vertical="center"/>
    </xf>
    <xf numFmtId="0" fontId="1" fillId="0" borderId="0" xfId="0" applyFont="1" applyBorder="1">
      <alignment vertical="center"/>
    </xf>
    <xf numFmtId="176" fontId="1" fillId="0" borderId="0" xfId="0" applyNumberFormat="1" applyFont="1" applyBorder="1">
      <alignment vertical="center"/>
    </xf>
    <xf numFmtId="179" fontId="0" fillId="0" borderId="6" xfId="0" applyNumberFormat="1" applyBorder="1">
      <alignment vertical="center"/>
    </xf>
    <xf numFmtId="178" fontId="0" fillId="0" borderId="7" xfId="0" applyNumberFormat="1" applyBorder="1">
      <alignment vertical="center"/>
    </xf>
    <xf numFmtId="176" fontId="0" fillId="0" borderId="8" xfId="0" applyNumberFormat="1" applyBorder="1">
      <alignment vertical="center"/>
    </xf>
    <xf numFmtId="176" fontId="0" fillId="0" borderId="1" xfId="0" applyNumberFormat="1" applyBorder="1">
      <alignment vertical="center"/>
    </xf>
    <xf numFmtId="178" fontId="0" fillId="0" borderId="4" xfId="0" applyNumberFormat="1" applyBorder="1">
      <alignment vertical="center"/>
    </xf>
    <xf numFmtId="178" fontId="0" fillId="0" borderId="6" xfId="0" applyNumberFormat="1" applyBorder="1">
      <alignment vertical="center"/>
    </xf>
    <xf numFmtId="180" fontId="0" fillId="0" borderId="7" xfId="0" applyNumberFormat="1" applyBorder="1">
      <alignment vertical="center"/>
    </xf>
    <xf numFmtId="178" fontId="0" fillId="0" borderId="9" xfId="0" applyNumberFormat="1" applyBorder="1">
      <alignment vertical="center"/>
    </xf>
    <xf numFmtId="176" fontId="0" fillId="0" borderId="10" xfId="0" applyNumberFormat="1" applyBorder="1">
      <alignment vertical="center"/>
    </xf>
    <xf numFmtId="0" fontId="0" fillId="0" borderId="10" xfId="0" applyBorder="1">
      <alignment vertical="center"/>
    </xf>
    <xf numFmtId="180" fontId="0" fillId="0" borderId="11" xfId="0" applyNumberFormat="1" applyBorder="1">
      <alignment vertical="center"/>
    </xf>
    <xf numFmtId="178" fontId="0" fillId="0" borderId="12" xfId="0" applyNumberFormat="1" applyBorder="1">
      <alignment vertical="center"/>
    </xf>
    <xf numFmtId="180" fontId="0" fillId="0" borderId="13" xfId="0" applyNumberFormat="1" applyBorder="1">
      <alignment vertical="center"/>
    </xf>
    <xf numFmtId="178" fontId="0" fillId="0" borderId="14" xfId="0" applyNumberFormat="1" applyBorder="1">
      <alignment vertical="center"/>
    </xf>
    <xf numFmtId="176" fontId="0" fillId="0" borderId="15" xfId="0" applyNumberFormat="1" applyBorder="1">
      <alignment vertical="center"/>
    </xf>
    <xf numFmtId="0" fontId="0" fillId="0" borderId="15" xfId="0" applyBorder="1">
      <alignment vertical="center"/>
    </xf>
    <xf numFmtId="180" fontId="0" fillId="0" borderId="16" xfId="0" applyNumberFormat="1" applyBorder="1">
      <alignment vertical="center"/>
    </xf>
    <xf numFmtId="178" fontId="0" fillId="0" borderId="10" xfId="0" applyNumberFormat="1" applyBorder="1">
      <alignment vertical="center"/>
    </xf>
    <xf numFmtId="0" fontId="0" fillId="0" borderId="11" xfId="0" applyBorder="1">
      <alignment vertical="center"/>
    </xf>
    <xf numFmtId="178" fontId="0" fillId="0" borderId="17" xfId="0" applyNumberFormat="1" applyBorder="1">
      <alignment vertical="center"/>
    </xf>
    <xf numFmtId="178" fontId="0" fillId="0" borderId="18" xfId="0" applyNumberFormat="1" applyBorder="1">
      <alignment vertical="center"/>
    </xf>
    <xf numFmtId="0" fontId="0" fillId="0" borderId="18" xfId="0" applyBorder="1">
      <alignment vertical="center"/>
    </xf>
    <xf numFmtId="182" fontId="0" fillId="0" borderId="19" xfId="0" applyNumberFormat="1" applyBorder="1">
      <alignment vertical="center"/>
    </xf>
    <xf numFmtId="178" fontId="0" fillId="0" borderId="20" xfId="0" applyNumberFormat="1" applyBorder="1">
      <alignment vertical="center"/>
    </xf>
    <xf numFmtId="178" fontId="0" fillId="0" borderId="21" xfId="0" applyNumberFormat="1" applyBorder="1">
      <alignment vertical="center"/>
    </xf>
    <xf numFmtId="178" fontId="0" fillId="0" borderId="15" xfId="0" applyNumberFormat="1" applyBorder="1">
      <alignment vertical="center"/>
    </xf>
    <xf numFmtId="178" fontId="0" fillId="0" borderId="16" xfId="0" applyNumberFormat="1" applyBorder="1">
      <alignment vertical="center"/>
    </xf>
    <xf numFmtId="0" fontId="0" fillId="0" borderId="0" xfId="0" applyFont="1">
      <alignment vertical="center"/>
    </xf>
    <xf numFmtId="176" fontId="0" fillId="0" borderId="0" xfId="0" applyNumberFormat="1" applyAlignment="1">
      <alignment horizontal="right" vertical="center"/>
    </xf>
    <xf numFmtId="180" fontId="0" fillId="0" borderId="0" xfId="0" applyNumberFormat="1" applyBorder="1">
      <alignment vertical="center"/>
    </xf>
    <xf numFmtId="179" fontId="1" fillId="0" borderId="0" xfId="0" applyNumberFormat="1" applyFont="1">
      <alignment vertical="center"/>
    </xf>
    <xf numFmtId="180" fontId="1" fillId="0" borderId="0" xfId="0" applyNumberFormat="1"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50"/>
  <sheetViews>
    <sheetView tabSelected="1" zoomScale="55" zoomScaleNormal="55" topLeftCell="F196" workbookViewId="0">
      <selection activeCell="I209" sqref="I209"/>
    </sheetView>
  </sheetViews>
  <sheetFormatPr defaultColWidth="8.72727272727273" defaultRowHeight="14"/>
  <cols>
    <col min="1" max="1" width="26.9727272727273" style="1" customWidth="1"/>
    <col min="2" max="2" width="12.7272727272727" style="2" customWidth="1"/>
    <col min="3" max="3" width="21.9454545454545" style="3" customWidth="1"/>
    <col min="4" max="4" width="38.1818181818182" customWidth="1"/>
    <col min="5" max="5" width="21.3636363636364" customWidth="1"/>
    <col min="6" max="6" width="12.8181818181818" style="3"/>
    <col min="7" max="7" width="13.0909090909091" style="4" customWidth="1"/>
    <col min="8" max="8" width="24.9545454545455" customWidth="1"/>
    <col min="9" max="9" width="19.8454545454545" customWidth="1"/>
    <col min="10" max="10" width="14"/>
    <col min="11" max="11" width="18.6272727272727" customWidth="1"/>
    <col min="12" max="15" width="12.8181818181818"/>
  </cols>
  <sheetData>
    <row r="1" spans="1:1">
      <c r="A1" s="1" t="s">
        <v>0</v>
      </c>
    </row>
    <row r="2" spans="1:1">
      <c r="A2" s="1" t="s">
        <v>1</v>
      </c>
    </row>
    <row r="3" spans="1:9">
      <c r="A3" s="1" t="s">
        <v>2</v>
      </c>
      <c r="B3" s="2" t="s">
        <v>3</v>
      </c>
      <c r="D3" t="s">
        <v>4</v>
      </c>
      <c r="E3" t="s">
        <v>5</v>
      </c>
      <c r="F3" s="3" t="s">
        <v>6</v>
      </c>
      <c r="G3" s="4" t="s">
        <v>7</v>
      </c>
      <c r="H3" t="s">
        <v>8</v>
      </c>
      <c r="I3" t="s">
        <v>9</v>
      </c>
    </row>
    <row r="4" ht="27" customHeight="1" spans="1:9">
      <c r="A4" s="5">
        <v>1</v>
      </c>
      <c r="B4" s="2">
        <v>0.25</v>
      </c>
      <c r="D4" s="6">
        <v>0.0633</v>
      </c>
      <c r="E4">
        <v>3</v>
      </c>
      <c r="F4" s="3">
        <f>1/((1+D4/2)^(2*B4))</f>
        <v>0.984541005060761</v>
      </c>
      <c r="G4" s="4">
        <f>E4*F4</f>
        <v>2.95362301518228</v>
      </c>
      <c r="H4">
        <f>G4/$G$11</f>
        <v>0.0297790281755199</v>
      </c>
      <c r="I4">
        <f>H4*B4</f>
        <v>0.00744475704387998</v>
      </c>
    </row>
    <row r="5" ht="27" customHeight="1" spans="1:9">
      <c r="A5" s="5">
        <v>2</v>
      </c>
      <c r="B5" s="2">
        <v>0.75</v>
      </c>
      <c r="D5" s="6">
        <v>0.0662</v>
      </c>
      <c r="E5">
        <v>3</v>
      </c>
      <c r="F5" s="3">
        <f t="shared" ref="F5:F10" si="0">1/((1+D5/2)^(2*B5))</f>
        <v>0.95232778992149</v>
      </c>
      <c r="G5" s="4">
        <f t="shared" ref="G5:G10" si="1">E5*F5</f>
        <v>2.85698336976447</v>
      </c>
      <c r="H5">
        <f t="shared" ref="H5:H11" si="2">G5/$G$11</f>
        <v>0.0288046876083668</v>
      </c>
      <c r="I5">
        <f t="shared" ref="I5:I10" si="3">H5*B5</f>
        <v>0.0216035157062751</v>
      </c>
    </row>
    <row r="6" ht="26" customHeight="1" spans="1:9">
      <c r="A6" s="5">
        <v>3</v>
      </c>
      <c r="B6" s="2">
        <v>1.25</v>
      </c>
      <c r="D6" s="6">
        <v>0.0679</v>
      </c>
      <c r="E6">
        <v>3</v>
      </c>
      <c r="F6" s="3">
        <f t="shared" si="0"/>
        <v>0.919922319763022</v>
      </c>
      <c r="G6" s="4">
        <f t="shared" si="1"/>
        <v>2.75976695928907</v>
      </c>
      <c r="H6">
        <f t="shared" si="2"/>
        <v>0.0278245319785559</v>
      </c>
      <c r="I6">
        <f t="shared" si="3"/>
        <v>0.0347806649731948</v>
      </c>
    </row>
    <row r="7" spans="1:9">
      <c r="A7" s="5">
        <v>4</v>
      </c>
      <c r="B7" s="2">
        <v>1.75</v>
      </c>
      <c r="D7" s="6">
        <v>0.0687</v>
      </c>
      <c r="E7">
        <v>3</v>
      </c>
      <c r="F7" s="3">
        <f t="shared" si="0"/>
        <v>0.888512790949803</v>
      </c>
      <c r="G7" s="4">
        <f t="shared" si="1"/>
        <v>2.66553837284941</v>
      </c>
      <c r="H7">
        <f t="shared" si="2"/>
        <v>0.0268745001985683</v>
      </c>
      <c r="I7">
        <f t="shared" si="3"/>
        <v>0.0470303753474945</v>
      </c>
    </row>
    <row r="8" spans="1:9">
      <c r="A8" s="5">
        <v>5</v>
      </c>
      <c r="B8" s="2">
        <v>2.25</v>
      </c>
      <c r="D8" s="6">
        <v>0.0689</v>
      </c>
      <c r="E8">
        <v>3</v>
      </c>
      <c r="F8" s="3">
        <f t="shared" si="0"/>
        <v>0.858632320808621</v>
      </c>
      <c r="G8" s="4">
        <f t="shared" si="1"/>
        <v>2.57589696242586</v>
      </c>
      <c r="H8">
        <f t="shared" si="2"/>
        <v>0.02597071726047</v>
      </c>
      <c r="I8">
        <f t="shared" si="3"/>
        <v>0.0584341138360575</v>
      </c>
    </row>
    <row r="9" spans="1:9">
      <c r="A9" s="5">
        <v>6</v>
      </c>
      <c r="B9" s="2">
        <v>2.75</v>
      </c>
      <c r="D9" s="6">
        <v>0.0686</v>
      </c>
      <c r="E9">
        <v>3</v>
      </c>
      <c r="F9" s="3">
        <f t="shared" si="0"/>
        <v>0.830699815940323</v>
      </c>
      <c r="G9" s="4">
        <f t="shared" si="1"/>
        <v>2.49209944782097</v>
      </c>
      <c r="H9">
        <f t="shared" si="2"/>
        <v>0.0251258536689992</v>
      </c>
      <c r="I9">
        <f t="shared" si="3"/>
        <v>0.0690960975897478</v>
      </c>
    </row>
    <row r="10" spans="1:9">
      <c r="A10" s="5">
        <v>7</v>
      </c>
      <c r="B10" s="2">
        <v>3.25</v>
      </c>
      <c r="D10" s="6">
        <v>0.068</v>
      </c>
      <c r="E10">
        <v>103</v>
      </c>
      <c r="F10" s="3">
        <f t="shared" si="0"/>
        <v>0.804667569046304</v>
      </c>
      <c r="G10" s="4">
        <f t="shared" si="1"/>
        <v>82.8807596117694</v>
      </c>
      <c r="H10">
        <f t="shared" si="2"/>
        <v>0.83562068110952</v>
      </c>
      <c r="I10">
        <f t="shared" si="3"/>
        <v>2.71576721360594</v>
      </c>
    </row>
    <row r="11" spans="6:9">
      <c r="F11" s="3" t="s">
        <v>10</v>
      </c>
      <c r="G11" s="7">
        <f>SUM(G4:G10)</f>
        <v>99.1846677391014</v>
      </c>
      <c r="H11" t="s">
        <v>11</v>
      </c>
      <c r="I11" s="8">
        <f>SUM(I4:I10)</f>
        <v>2.95415673810259</v>
      </c>
    </row>
    <row r="13" spans="1:9">
      <c r="A13" s="1" t="s">
        <v>2</v>
      </c>
      <c r="B13" s="2" t="s">
        <v>3</v>
      </c>
      <c r="D13" t="s">
        <v>4</v>
      </c>
      <c r="E13" t="s">
        <v>5</v>
      </c>
      <c r="F13" s="3" t="s">
        <v>6</v>
      </c>
      <c r="G13" s="4" t="s">
        <v>7</v>
      </c>
      <c r="H13" t="s">
        <v>8</v>
      </c>
      <c r="I13" t="s">
        <v>9</v>
      </c>
    </row>
    <row r="14" spans="1:9">
      <c r="A14" s="5">
        <v>1</v>
      </c>
      <c r="B14" s="2">
        <v>0.25</v>
      </c>
      <c r="D14" s="6">
        <v>0.0633</v>
      </c>
      <c r="E14">
        <v>1</v>
      </c>
      <c r="F14" s="3">
        <f>1/((1+D14/2)^(4*B14))</f>
        <v>0.969320990646052</v>
      </c>
      <c r="G14" s="4">
        <f>E14*F14</f>
        <v>0.969320990646052</v>
      </c>
      <c r="H14">
        <f>G14/$G$18</f>
        <v>0.0106139717319737</v>
      </c>
      <c r="I14">
        <f>H14*B14</f>
        <v>0.00265349293299342</v>
      </c>
    </row>
    <row r="15" spans="1:9">
      <c r="A15" s="5">
        <v>2</v>
      </c>
      <c r="B15" s="2">
        <v>0.5</v>
      </c>
      <c r="D15" s="6">
        <v>0.0649</v>
      </c>
      <c r="E15">
        <v>1</v>
      </c>
      <c r="F15" s="3">
        <f>1/((1+D15/2)^(4*B15))</f>
        <v>0.938127663841352</v>
      </c>
      <c r="G15" s="4">
        <f>E15*F15</f>
        <v>0.938127663841352</v>
      </c>
      <c r="H15">
        <f>G15/$G$18</f>
        <v>0.0102724077999777</v>
      </c>
      <c r="I15">
        <f>H15*B15</f>
        <v>0.00513620389998884</v>
      </c>
    </row>
    <row r="16" spans="1:9">
      <c r="A16" s="5">
        <v>3</v>
      </c>
      <c r="B16" s="2">
        <v>0.75</v>
      </c>
      <c r="D16" s="6">
        <v>0.0662</v>
      </c>
      <c r="E16">
        <v>1</v>
      </c>
      <c r="F16" s="3">
        <f>1/((1+D16/2)^(4*B16))</f>
        <v>0.90692821945675</v>
      </c>
      <c r="G16" s="4">
        <f>E16*F16</f>
        <v>0.90692821945675</v>
      </c>
      <c r="H16">
        <f>G16/$G$18</f>
        <v>0.00993077688106945</v>
      </c>
      <c r="I16">
        <f>H16*B16</f>
        <v>0.00744808266080209</v>
      </c>
    </row>
    <row r="17" spans="1:9">
      <c r="A17" s="5">
        <v>4</v>
      </c>
      <c r="B17" s="2">
        <v>1</v>
      </c>
      <c r="D17" s="6">
        <v>0.0671</v>
      </c>
      <c r="E17">
        <v>101</v>
      </c>
      <c r="F17" s="3">
        <f>1/((1+D17/2)^(4*B17))</f>
        <v>0.87634282395899</v>
      </c>
      <c r="G17" s="4">
        <f>E17*F17</f>
        <v>88.510625219858</v>
      </c>
      <c r="H17">
        <f>G17/$G$18</f>
        <v>0.969182843586979</v>
      </c>
      <c r="I17">
        <f>H17*B17</f>
        <v>0.969182843586979</v>
      </c>
    </row>
    <row r="18" spans="6:9">
      <c r="F18" s="3" t="s">
        <v>10</v>
      </c>
      <c r="G18" s="7">
        <f>SUM(G14:G17)</f>
        <v>91.3250020938022</v>
      </c>
      <c r="H18" t="s">
        <v>11</v>
      </c>
      <c r="I18" s="8">
        <f>SUM(I14:I17)</f>
        <v>0.984420623080764</v>
      </c>
    </row>
    <row r="20" spans="1:1">
      <c r="A20" s="1" t="s">
        <v>12</v>
      </c>
    </row>
    <row r="21" spans="1:1">
      <c r="A21" s="1" t="s">
        <v>13</v>
      </c>
    </row>
    <row r="22" spans="1:6">
      <c r="A22" s="1" t="s">
        <v>14</v>
      </c>
      <c r="B22" t="s">
        <v>15</v>
      </c>
      <c r="C22" s="3" t="s">
        <v>16</v>
      </c>
      <c r="D22" t="s">
        <v>17</v>
      </c>
      <c r="E22" t="s">
        <v>8</v>
      </c>
      <c r="F22" s="3" t="s">
        <v>18</v>
      </c>
    </row>
    <row r="23" spans="1:6">
      <c r="A23" s="1">
        <v>0.5</v>
      </c>
      <c r="B23" s="6">
        <v>0.0649</v>
      </c>
      <c r="C23" s="3">
        <f t="shared" ref="C23:C28" si="4">1/((1+B23/2)^(2*A23))</f>
        <v>0.968569906533004</v>
      </c>
      <c r="D23">
        <f t="shared" ref="D23:D28" si="5">0.35*C23/2</f>
        <v>0.169499733643276</v>
      </c>
      <c r="E23">
        <f t="shared" ref="E23:E28" si="6">D23/$D$29</f>
        <v>0.181239494810484</v>
      </c>
      <c r="F23" s="3">
        <f t="shared" ref="F23:F28" si="7">E23*A23</f>
        <v>0.090619747405242</v>
      </c>
    </row>
    <row r="24" spans="1:6">
      <c r="A24" s="1">
        <v>1</v>
      </c>
      <c r="B24" s="6">
        <v>0.0671</v>
      </c>
      <c r="C24" s="3">
        <f t="shared" si="4"/>
        <v>0.936131841120144</v>
      </c>
      <c r="D24">
        <f t="shared" si="5"/>
        <v>0.163823072196025</v>
      </c>
      <c r="E24">
        <f t="shared" si="6"/>
        <v>0.175169660771245</v>
      </c>
      <c r="F24" s="3">
        <f t="shared" si="7"/>
        <v>0.175169660771245</v>
      </c>
    </row>
    <row r="25" spans="1:6">
      <c r="A25" s="1">
        <v>1.5</v>
      </c>
      <c r="B25" s="6">
        <v>0.0684</v>
      </c>
      <c r="C25" s="3">
        <f t="shared" si="4"/>
        <v>0.904037404361417</v>
      </c>
      <c r="D25">
        <f t="shared" si="5"/>
        <v>0.158206545763248</v>
      </c>
      <c r="E25">
        <f t="shared" si="6"/>
        <v>0.16916412677195</v>
      </c>
      <c r="F25" s="3">
        <f t="shared" si="7"/>
        <v>0.253746190157924</v>
      </c>
    </row>
    <row r="26" spans="1:8">
      <c r="A26" s="1">
        <v>2</v>
      </c>
      <c r="B26" s="6">
        <v>0.0688</v>
      </c>
      <c r="C26" s="3">
        <f t="shared" si="4"/>
        <v>0.873465895300281</v>
      </c>
      <c r="D26">
        <f t="shared" si="5"/>
        <v>0.152856531677549</v>
      </c>
      <c r="E26">
        <f t="shared" si="6"/>
        <v>0.163443564094478</v>
      </c>
      <c r="F26" s="3">
        <f t="shared" si="7"/>
        <v>0.326887128188957</v>
      </c>
      <c r="H26" t="s">
        <v>19</v>
      </c>
    </row>
    <row r="27" spans="1:6">
      <c r="A27" s="1">
        <v>2.5</v>
      </c>
      <c r="B27" s="6">
        <v>0.0688</v>
      </c>
      <c r="C27" s="3">
        <f t="shared" si="4"/>
        <v>0.844417918890449</v>
      </c>
      <c r="D27">
        <f t="shared" si="5"/>
        <v>0.147773135805829</v>
      </c>
      <c r="E27">
        <f t="shared" si="6"/>
        <v>0.158008085938204</v>
      </c>
      <c r="F27" s="3">
        <f t="shared" si="7"/>
        <v>0.39502021484551</v>
      </c>
    </row>
    <row r="28" spans="1:6">
      <c r="A28" s="1">
        <v>3</v>
      </c>
      <c r="B28" s="6">
        <v>0.0683</v>
      </c>
      <c r="C28" s="3">
        <f t="shared" si="4"/>
        <v>0.817520745659523</v>
      </c>
      <c r="D28">
        <f t="shared" si="5"/>
        <v>0.143066130490417</v>
      </c>
      <c r="E28">
        <f t="shared" si="6"/>
        <v>0.152975067613639</v>
      </c>
      <c r="F28" s="3">
        <f t="shared" si="7"/>
        <v>0.458925202840916</v>
      </c>
    </row>
    <row r="29" spans="3:9">
      <c r="C29" s="3">
        <v>100</v>
      </c>
      <c r="D29">
        <f>SUM(D23:D28)</f>
        <v>0.935225149576343</v>
      </c>
      <c r="E29" s="8">
        <f>C29+D29</f>
        <v>100.935225149576</v>
      </c>
      <c r="F29" s="3">
        <f>SUM(F23:F28)</f>
        <v>1.7003681442098</v>
      </c>
      <c r="G29" s="4" t="s">
        <v>20</v>
      </c>
      <c r="I29">
        <f>F29*D29/E29</f>
        <v>0.0157549264852473</v>
      </c>
    </row>
    <row r="30" spans="3:7">
      <c r="C30" s="3" t="s">
        <v>21</v>
      </c>
      <c r="D30" t="s">
        <v>22</v>
      </c>
      <c r="E30" t="s">
        <v>23</v>
      </c>
      <c r="F30" s="9">
        <f>C31+I29</f>
        <v>0.511122127835468</v>
      </c>
      <c r="G30" s="4" t="s">
        <v>24</v>
      </c>
    </row>
    <row r="31" spans="3:3">
      <c r="C31" s="3">
        <f>0.5*100/E29</f>
        <v>0.49536720135022</v>
      </c>
    </row>
    <row r="32" spans="3:3">
      <c r="C32" s="3" t="s">
        <v>25</v>
      </c>
    </row>
    <row r="34" spans="1:6">
      <c r="A34" s="1" t="s">
        <v>14</v>
      </c>
      <c r="B34" t="s">
        <v>15</v>
      </c>
      <c r="C34" s="3" t="s">
        <v>16</v>
      </c>
      <c r="D34" t="s">
        <v>26</v>
      </c>
      <c r="E34" t="s">
        <v>8</v>
      </c>
      <c r="F34" s="3" t="s">
        <v>18</v>
      </c>
    </row>
    <row r="35" spans="1:6">
      <c r="A35" s="1">
        <v>0.25</v>
      </c>
      <c r="B35" s="6">
        <v>0.0633</v>
      </c>
      <c r="C35" s="3">
        <f>1/((1+B35/2)^(2*A35))</f>
        <v>0.984541005060761</v>
      </c>
      <c r="D35">
        <f>0.5*C35/2</f>
        <v>0.24613525126519</v>
      </c>
      <c r="E35">
        <f>D35/$D$44</f>
        <v>0.126580480833054</v>
      </c>
      <c r="F35" s="3">
        <f>E35*A35</f>
        <v>0.0316451202082635</v>
      </c>
    </row>
    <row r="36" spans="1:6">
      <c r="A36" s="1">
        <v>0.75</v>
      </c>
      <c r="B36" s="6">
        <v>0.0662</v>
      </c>
      <c r="C36" s="3">
        <f t="shared" ref="C36:C43" si="8">1/((1+B36/2)^(2*A36))</f>
        <v>0.95232778992149</v>
      </c>
      <c r="D36">
        <f t="shared" ref="D36:D43" si="9">0.5*C36/2</f>
        <v>0.238081947480373</v>
      </c>
      <c r="E36">
        <f>D36/$D$44</f>
        <v>0.122438891767136</v>
      </c>
      <c r="F36" s="3">
        <f>E36*A36</f>
        <v>0.0918291688253521</v>
      </c>
    </row>
    <row r="37" spans="1:6">
      <c r="A37" s="1">
        <v>1.25</v>
      </c>
      <c r="B37" s="6">
        <v>0.0679</v>
      </c>
      <c r="C37" s="3">
        <f t="shared" si="8"/>
        <v>0.919922319763022</v>
      </c>
      <c r="D37">
        <f t="shared" si="9"/>
        <v>0.229980579940755</v>
      </c>
      <c r="E37">
        <f>D37/$D$44</f>
        <v>0.118272584855392</v>
      </c>
      <c r="F37" s="3">
        <f>E37*A37</f>
        <v>0.14784073106924</v>
      </c>
    </row>
    <row r="38" spans="1:6">
      <c r="A38" s="1">
        <v>1.75</v>
      </c>
      <c r="B38" s="6">
        <v>0.0687</v>
      </c>
      <c r="C38" s="3">
        <f t="shared" si="8"/>
        <v>0.888512790949803</v>
      </c>
      <c r="D38">
        <f t="shared" si="9"/>
        <v>0.222128197737451</v>
      </c>
      <c r="E38">
        <f t="shared" ref="E36:E44" si="10">D38/$D$44</f>
        <v>0.114234324143568</v>
      </c>
      <c r="F38" s="3">
        <f t="shared" ref="F38:F43" si="11">E38*A38</f>
        <v>0.199910067251243</v>
      </c>
    </row>
    <row r="39" spans="1:6">
      <c r="A39" s="1">
        <v>2.25</v>
      </c>
      <c r="B39" s="6">
        <v>0.0689</v>
      </c>
      <c r="C39" s="3">
        <f t="shared" si="8"/>
        <v>0.858632320808621</v>
      </c>
      <c r="D39">
        <f t="shared" si="9"/>
        <v>0.214658080202155</v>
      </c>
      <c r="E39">
        <f t="shared" si="10"/>
        <v>0.110392651467116</v>
      </c>
      <c r="F39" s="3">
        <f t="shared" si="11"/>
        <v>0.24838346580101</v>
      </c>
    </row>
    <row r="40" spans="1:6">
      <c r="A40" s="1">
        <v>2.75</v>
      </c>
      <c r="B40" s="6">
        <v>0.0686</v>
      </c>
      <c r="C40" s="3">
        <f t="shared" si="8"/>
        <v>0.830699815940323</v>
      </c>
      <c r="D40">
        <f t="shared" si="9"/>
        <v>0.207674953985081</v>
      </c>
      <c r="E40">
        <f t="shared" si="10"/>
        <v>0.10680142481538</v>
      </c>
      <c r="F40" s="3">
        <f t="shared" si="11"/>
        <v>0.293703918242295</v>
      </c>
    </row>
    <row r="41" spans="1:6">
      <c r="A41" s="1">
        <v>3.25</v>
      </c>
      <c r="B41" s="6">
        <v>0.068</v>
      </c>
      <c r="C41" s="3">
        <f t="shared" si="8"/>
        <v>0.804667569046304</v>
      </c>
      <c r="D41">
        <f t="shared" si="9"/>
        <v>0.201166892261576</v>
      </c>
      <c r="E41">
        <f t="shared" si="10"/>
        <v>0.103454510555769</v>
      </c>
      <c r="F41" s="3">
        <f t="shared" si="11"/>
        <v>0.336227159306249</v>
      </c>
    </row>
    <row r="42" spans="1:6">
      <c r="A42" s="1">
        <v>3.75</v>
      </c>
      <c r="B42" s="6">
        <v>0.0672</v>
      </c>
      <c r="C42" s="3">
        <f t="shared" si="8"/>
        <v>0.780470055661786</v>
      </c>
      <c r="D42">
        <f t="shared" si="9"/>
        <v>0.195117513915446</v>
      </c>
      <c r="E42">
        <f t="shared" si="10"/>
        <v>0.100343484338037</v>
      </c>
      <c r="F42" s="3">
        <f t="shared" si="11"/>
        <v>0.376288066267637</v>
      </c>
    </row>
    <row r="43" spans="1:6">
      <c r="A43" s="1">
        <v>4.25</v>
      </c>
      <c r="B43" s="6">
        <v>0.0662</v>
      </c>
      <c r="C43" s="3">
        <f t="shared" si="8"/>
        <v>0.758210731242333</v>
      </c>
      <c r="D43">
        <f t="shared" si="9"/>
        <v>0.189552682810583</v>
      </c>
      <c r="E43">
        <f t="shared" si="10"/>
        <v>0.097481647224549</v>
      </c>
      <c r="F43" s="3">
        <f t="shared" si="11"/>
        <v>0.414297000704333</v>
      </c>
    </row>
    <row r="44" spans="3:7">
      <c r="C44" s="3" t="s">
        <v>27</v>
      </c>
      <c r="D44">
        <f>SUM(D35:D43)</f>
        <v>1.94449609959861</v>
      </c>
      <c r="E44" t="s">
        <v>28</v>
      </c>
      <c r="F44" s="3">
        <f>SUM(F35:F43)</f>
        <v>2.14012469767562</v>
      </c>
      <c r="G44" s="4">
        <f>F44*D44/D46</f>
        <v>0.0401883068918135</v>
      </c>
    </row>
    <row r="45" spans="3:5">
      <c r="C45" s="3" t="s">
        <v>29</v>
      </c>
      <c r="D45">
        <f>100*(1+6.4%/2)*C35</f>
        <v>101.604631722271</v>
      </c>
      <c r="E45">
        <f>D45/D46/4</f>
        <v>0.245305377890426</v>
      </c>
    </row>
    <row r="46" spans="3:6">
      <c r="C46" s="3" t="s">
        <v>30</v>
      </c>
      <c r="D46" s="8">
        <f>D44+D45</f>
        <v>103.549127821869</v>
      </c>
      <c r="E46" t="s">
        <v>31</v>
      </c>
      <c r="F46" s="9">
        <f>E45+G44</f>
        <v>0.285493684782239</v>
      </c>
    </row>
    <row r="48" spans="1:4">
      <c r="A48" s="1" t="s">
        <v>32</v>
      </c>
      <c r="B48" s="2" t="s">
        <v>33</v>
      </c>
      <c r="D48" t="s">
        <v>34</v>
      </c>
    </row>
    <row r="49" spans="1:9">
      <c r="A49" s="1" t="s">
        <v>35</v>
      </c>
      <c r="B49" s="1" t="s">
        <v>36</v>
      </c>
      <c r="C49" s="2" t="s">
        <v>37</v>
      </c>
      <c r="D49" s="3" t="s">
        <v>38</v>
      </c>
      <c r="E49" t="s">
        <v>39</v>
      </c>
      <c r="I49" t="s">
        <v>40</v>
      </c>
    </row>
    <row r="50" spans="1:10">
      <c r="A50" s="1" t="s">
        <v>41</v>
      </c>
      <c r="B50" s="6">
        <v>0.0694660717782007</v>
      </c>
      <c r="C50" s="1">
        <v>3</v>
      </c>
      <c r="D50">
        <f>3/(1+B50/2)</f>
        <v>2.89929855909378</v>
      </c>
      <c r="E50">
        <v>3</v>
      </c>
      <c r="I50" s="3">
        <v>81.75</v>
      </c>
      <c r="J50" s="1">
        <f>100/(1+B50)^3</f>
        <v>81.752109130363</v>
      </c>
    </row>
    <row r="51" spans="1:10">
      <c r="A51" s="1" t="s">
        <v>42</v>
      </c>
      <c r="B51" s="6">
        <v>0.0626302036983717</v>
      </c>
      <c r="C51" s="3">
        <v>2.9542</v>
      </c>
      <c r="I51" s="15">
        <v>99.1847</v>
      </c>
      <c r="J51">
        <f>E4/(1+B51/2)+E5/(1+B51/2)^2+E6/(1+B51/2)^3+E7/(1+B51/2)^4+E8/(1+B51/2)^5+E9/(1+B51/2)^6+E10/(1+B51/2)^7</f>
        <v>99.1847000178126</v>
      </c>
    </row>
    <row r="52" spans="1:10">
      <c r="A52" s="1" t="s">
        <v>43</v>
      </c>
      <c r="B52" s="6">
        <v>0.134142978767569</v>
      </c>
      <c r="C52" s="3">
        <v>0.985</v>
      </c>
      <c r="I52">
        <v>91.325</v>
      </c>
      <c r="J52">
        <f>1/((1+B52/4))+1/((1+B52/4)^2)+1/((1+B52/4)^3)+101/((1+B52/4)^4)</f>
        <v>91.3250002220679</v>
      </c>
    </row>
    <row r="53" spans="1:9">
      <c r="A53" s="1" t="s">
        <v>44</v>
      </c>
      <c r="B53" s="6">
        <v>0</v>
      </c>
      <c r="C53" s="3">
        <v>0.5</v>
      </c>
      <c r="D53">
        <v>0.5</v>
      </c>
      <c r="E53">
        <v>0.5</v>
      </c>
      <c r="I53">
        <v>100</v>
      </c>
    </row>
    <row r="54" spans="1:10">
      <c r="A54" s="1" t="s">
        <v>45</v>
      </c>
      <c r="B54" s="10">
        <v>0.0350288261508507</v>
      </c>
      <c r="C54" s="3">
        <v>0.51111</v>
      </c>
      <c r="I54">
        <v>100.9352</v>
      </c>
      <c r="J54">
        <f>100+0.175/(1+B54/2)+0.175/(1+B54)^2+0.175/(1+B54)^3+0.175/(1+B54)^4+0.175/(1+B54)^5+0.175/(1+B54)^6</f>
        <v>100.935318808561</v>
      </c>
    </row>
    <row r="55" spans="1:10">
      <c r="A55" s="1" t="s">
        <v>46</v>
      </c>
      <c r="B55" s="6">
        <v>0.0706013125463359</v>
      </c>
      <c r="C55" s="3">
        <v>0.2855</v>
      </c>
      <c r="I55">
        <v>103.5491</v>
      </c>
      <c r="J55">
        <f>100*(1+6.4%/2)/(1+B55/4)+0.25/(1+B55/2)^0.5+0.25/(1+B55/2)^1.5+0.25/(1+B55/2)^2.5+0.25/(1+B55/2)^3.5+0.25/(1+B55/2)^4.5+0.25/(1+B55/2)^5.5+0.25/(1+B55/2)^5.5+0.25/(1+B55/2)^6.5+0.25/(1+B55/2)^7.5+0.25/(1+B55/2)^8.5</f>
        <v>103.54917295432</v>
      </c>
    </row>
    <row r="58" spans="1:2">
      <c r="A58" s="1" t="s">
        <v>47</v>
      </c>
      <c r="B58" s="2" t="s">
        <v>48</v>
      </c>
    </row>
    <row r="59" spans="1:6">
      <c r="A59" s="11" t="s">
        <v>49</v>
      </c>
      <c r="B59" s="11" t="s">
        <v>15</v>
      </c>
      <c r="C59" s="11" t="s">
        <v>16</v>
      </c>
      <c r="D59" s="12" t="s">
        <v>5</v>
      </c>
      <c r="E59" t="s">
        <v>7</v>
      </c>
      <c r="F59" s="3" t="s">
        <v>18</v>
      </c>
    </row>
    <row r="60" spans="1:7">
      <c r="A60" s="13">
        <v>0.5</v>
      </c>
      <c r="B60" s="13">
        <v>0.0649</v>
      </c>
      <c r="C60" s="13">
        <f>1/(1+B60/2)^(2*A60)</f>
        <v>0.968569906533004</v>
      </c>
      <c r="D60">
        <v>2</v>
      </c>
      <c r="E60" s="3">
        <f>D60*C60</f>
        <v>1.93713981306601</v>
      </c>
      <c r="F60" s="4">
        <f>(E60/$E$70)*A60</f>
        <v>0.0108140387108199</v>
      </c>
      <c r="G60"/>
    </row>
    <row r="61" spans="1:7">
      <c r="A61" s="14">
        <v>1</v>
      </c>
      <c r="B61" s="14">
        <v>0.0671</v>
      </c>
      <c r="C61" s="13">
        <f t="shared" ref="C61:C69" si="12">1/(1+B61/2)^(2*A61)</f>
        <v>0.936131841120144</v>
      </c>
      <c r="D61">
        <v>2</v>
      </c>
      <c r="E61" s="3">
        <f t="shared" ref="E61:E69" si="13">D61*C61</f>
        <v>1.87226368224029</v>
      </c>
      <c r="F61" s="4">
        <f t="shared" ref="F61:F69" si="14">(E61/$E$70)*A61</f>
        <v>0.0209037383879516</v>
      </c>
      <c r="G61"/>
    </row>
    <row r="62" spans="1:7">
      <c r="A62" s="13">
        <v>1.5</v>
      </c>
      <c r="B62" s="13">
        <v>0.0684</v>
      </c>
      <c r="C62" s="13">
        <f t="shared" si="12"/>
        <v>0.904037404361417</v>
      </c>
      <c r="D62">
        <v>2</v>
      </c>
      <c r="E62" s="3">
        <f t="shared" si="13"/>
        <v>1.80807480872283</v>
      </c>
      <c r="F62" s="4">
        <f t="shared" si="14"/>
        <v>0.0302806088260198</v>
      </c>
      <c r="G62"/>
    </row>
    <row r="63" spans="1:7">
      <c r="A63" s="14">
        <v>2</v>
      </c>
      <c r="B63" s="14">
        <v>0.0688</v>
      </c>
      <c r="C63" s="13">
        <f t="shared" si="12"/>
        <v>0.873465895300281</v>
      </c>
      <c r="D63">
        <v>2</v>
      </c>
      <c r="E63" s="3">
        <f t="shared" si="13"/>
        <v>1.74693179060056</v>
      </c>
      <c r="F63" s="4">
        <f t="shared" si="14"/>
        <v>0.0390088270991985</v>
      </c>
      <c r="G63"/>
    </row>
    <row r="64" spans="1:7">
      <c r="A64" s="13">
        <v>2.5</v>
      </c>
      <c r="B64" s="13">
        <v>0.0688</v>
      </c>
      <c r="C64" s="13">
        <f t="shared" si="12"/>
        <v>0.844417918890449</v>
      </c>
      <c r="D64">
        <v>2</v>
      </c>
      <c r="E64" s="3">
        <f t="shared" si="13"/>
        <v>1.6888358377809</v>
      </c>
      <c r="F64" s="4">
        <f t="shared" si="14"/>
        <v>0.0471394372331768</v>
      </c>
      <c r="G64"/>
    </row>
    <row r="65" spans="1:7">
      <c r="A65" s="14">
        <v>3</v>
      </c>
      <c r="B65" s="14">
        <v>0.0683</v>
      </c>
      <c r="C65" s="13">
        <f t="shared" si="12"/>
        <v>0.817520745659523</v>
      </c>
      <c r="D65">
        <v>2</v>
      </c>
      <c r="E65" s="3">
        <f t="shared" si="13"/>
        <v>1.63504149131905</v>
      </c>
      <c r="F65" s="4">
        <f t="shared" si="14"/>
        <v>0.0547654904256052</v>
      </c>
      <c r="G65"/>
    </row>
    <row r="66" spans="1:7">
      <c r="A66" s="13">
        <v>3.5</v>
      </c>
      <c r="B66" s="13">
        <v>0.0676</v>
      </c>
      <c r="C66" s="13">
        <f t="shared" si="12"/>
        <v>0.792399704988844</v>
      </c>
      <c r="D66">
        <v>2</v>
      </c>
      <c r="E66" s="3">
        <f t="shared" si="13"/>
        <v>1.58479940997769</v>
      </c>
      <c r="F66" s="4">
        <f t="shared" si="14"/>
        <v>0.0619297452716154</v>
      </c>
      <c r="G66"/>
    </row>
    <row r="67" spans="1:7">
      <c r="A67" s="14">
        <v>4</v>
      </c>
      <c r="B67" s="14">
        <v>0.0667</v>
      </c>
      <c r="C67" s="13">
        <f t="shared" si="12"/>
        <v>0.769166657030408</v>
      </c>
      <c r="D67">
        <v>2</v>
      </c>
      <c r="E67" s="3">
        <f t="shared" si="13"/>
        <v>1.53833331406082</v>
      </c>
      <c r="F67" s="4">
        <f t="shared" si="14"/>
        <v>0.0687016843954801</v>
      </c>
      <c r="G67"/>
    </row>
    <row r="68" spans="1:7">
      <c r="A68" s="13">
        <v>4.5</v>
      </c>
      <c r="B68" s="13">
        <v>0.0657</v>
      </c>
      <c r="C68" s="13">
        <f t="shared" si="12"/>
        <v>0.747592120518149</v>
      </c>
      <c r="D68">
        <v>2</v>
      </c>
      <c r="E68" s="3">
        <f t="shared" si="13"/>
        <v>1.4951842410363</v>
      </c>
      <c r="F68" s="4">
        <f t="shared" si="14"/>
        <v>0.075121486523498</v>
      </c>
      <c r="G68"/>
    </row>
    <row r="69" spans="1:7">
      <c r="A69" s="14">
        <v>5</v>
      </c>
      <c r="B69" s="14">
        <v>0.0645</v>
      </c>
      <c r="C69" s="13">
        <f t="shared" si="12"/>
        <v>0.728033032253213</v>
      </c>
      <c r="D69">
        <v>102</v>
      </c>
      <c r="E69" s="3">
        <f t="shared" si="13"/>
        <v>74.2593692898278</v>
      </c>
      <c r="F69" s="4">
        <f t="shared" si="14"/>
        <v>4.14551231008076</v>
      </c>
      <c r="G69"/>
    </row>
    <row r="70" spans="4:7">
      <c r="D70" t="s">
        <v>50</v>
      </c>
      <c r="E70" s="8">
        <f>SUM(E60:E69)</f>
        <v>89.5659736786322</v>
      </c>
      <c r="F70" s="16">
        <f>SUM(F60:F69)</f>
        <v>4.55417736695412</v>
      </c>
      <c r="G70" s="4" t="s">
        <v>51</v>
      </c>
    </row>
    <row r="71" spans="4:5">
      <c r="D71" t="s">
        <v>52</v>
      </c>
      <c r="E71">
        <f>E70*F70</f>
        <v>407.899330176435</v>
      </c>
    </row>
    <row r="72" spans="1:2">
      <c r="A72" s="1" t="s">
        <v>42</v>
      </c>
      <c r="B72" s="2" t="s">
        <v>53</v>
      </c>
    </row>
    <row r="73" spans="1:2">
      <c r="A73" s="1" t="s">
        <v>54</v>
      </c>
      <c r="B73" s="1">
        <f>100/(1+5.67%/2)^14</f>
        <v>67.6124489258007</v>
      </c>
    </row>
    <row r="74" spans="1:2">
      <c r="A74" s="1" t="s">
        <v>11</v>
      </c>
      <c r="B74" s="1">
        <v>-7</v>
      </c>
    </row>
    <row r="75" spans="1:2">
      <c r="A75" s="1" t="s">
        <v>55</v>
      </c>
      <c r="B75" s="1">
        <f>B73*B74</f>
        <v>-473.287142480605</v>
      </c>
    </row>
    <row r="76" spans="2:2">
      <c r="B76" s="1"/>
    </row>
    <row r="77" spans="1:2">
      <c r="A77" s="1" t="s">
        <v>43</v>
      </c>
      <c r="B77" s="1" t="s">
        <v>56</v>
      </c>
    </row>
    <row r="78" spans="2:6">
      <c r="B78" s="1" t="s">
        <v>57</v>
      </c>
      <c r="C78" s="3" t="s">
        <v>15</v>
      </c>
      <c r="D78" t="s">
        <v>58</v>
      </c>
      <c r="E78" t="s">
        <v>7</v>
      </c>
      <c r="F78" s="3" t="s">
        <v>18</v>
      </c>
    </row>
    <row r="79" spans="1:6">
      <c r="A79" s="1">
        <v>0</v>
      </c>
      <c r="B79" s="1">
        <v>0.25</v>
      </c>
      <c r="C79" s="3">
        <v>0.0633</v>
      </c>
      <c r="D79">
        <f>1/(1+C79/2)^(2*B79)</f>
        <v>0.984541005060761</v>
      </c>
      <c r="E79">
        <f>D79*7/4</f>
        <v>1.72294675885633</v>
      </c>
      <c r="F79" s="3">
        <f>E79/$E$93*B79</f>
        <v>0.0042690435735128</v>
      </c>
    </row>
    <row r="80" spans="1:6">
      <c r="A80" s="1">
        <v>1</v>
      </c>
      <c r="B80" s="1">
        <v>0.5</v>
      </c>
      <c r="C80" s="3">
        <v>0.0649</v>
      </c>
      <c r="D80">
        <f t="shared" ref="D80:D92" si="15">1/(1+C80/2)^(2*B80)</f>
        <v>0.968569906533004</v>
      </c>
      <c r="E80">
        <f t="shared" ref="E80:E92" si="16">D80*7/4</f>
        <v>1.69499733643276</v>
      </c>
      <c r="F80" s="3">
        <f t="shared" ref="F80:F92" si="17">E80/$E$93*B80</f>
        <v>0.00839958338703716</v>
      </c>
    </row>
    <row r="81" spans="1:6">
      <c r="A81" s="1">
        <v>2</v>
      </c>
      <c r="B81" s="1">
        <v>0.75</v>
      </c>
      <c r="C81" s="3">
        <v>0.0662</v>
      </c>
      <c r="D81">
        <f t="shared" si="15"/>
        <v>0.95232778992149</v>
      </c>
      <c r="E81">
        <f t="shared" si="16"/>
        <v>1.66657363236261</v>
      </c>
      <c r="F81" s="3">
        <f t="shared" si="17"/>
        <v>0.0123880939764142</v>
      </c>
    </row>
    <row r="82" spans="1:6">
      <c r="A82" s="1">
        <v>3</v>
      </c>
      <c r="B82" s="1">
        <v>1</v>
      </c>
      <c r="C82" s="3">
        <v>0.0671</v>
      </c>
      <c r="D82">
        <f t="shared" si="15"/>
        <v>0.936131841120144</v>
      </c>
      <c r="E82">
        <f t="shared" si="16"/>
        <v>1.63823072196025</v>
      </c>
      <c r="F82" s="3">
        <f t="shared" si="17"/>
        <v>0.0162365512447012</v>
      </c>
    </row>
    <row r="83" spans="1:6">
      <c r="A83" s="1">
        <v>4</v>
      </c>
      <c r="B83" s="1">
        <v>1.25</v>
      </c>
      <c r="C83" s="3">
        <v>0.0679</v>
      </c>
      <c r="D83">
        <f t="shared" si="15"/>
        <v>0.919922319763022</v>
      </c>
      <c r="E83">
        <f t="shared" si="16"/>
        <v>1.60986405958529</v>
      </c>
      <c r="F83" s="3">
        <f t="shared" si="17"/>
        <v>0.0199442605596349</v>
      </c>
    </row>
    <row r="84" spans="1:6">
      <c r="A84" s="1">
        <v>5</v>
      </c>
      <c r="B84" s="1">
        <v>1.5</v>
      </c>
      <c r="C84" s="3">
        <v>0.0684</v>
      </c>
      <c r="D84">
        <f t="shared" si="15"/>
        <v>0.904037404361417</v>
      </c>
      <c r="E84">
        <f t="shared" si="16"/>
        <v>1.58206545763248</v>
      </c>
      <c r="F84" s="3">
        <f t="shared" si="17"/>
        <v>0.0235198435705547</v>
      </c>
    </row>
    <row r="85" spans="1:6">
      <c r="A85" s="1">
        <v>6</v>
      </c>
      <c r="B85" s="1">
        <v>1.75</v>
      </c>
      <c r="C85" s="3">
        <v>0.0687</v>
      </c>
      <c r="D85">
        <f t="shared" si="15"/>
        <v>0.888512790949803</v>
      </c>
      <c r="E85">
        <f t="shared" si="16"/>
        <v>1.55489738416216</v>
      </c>
      <c r="F85" s="3">
        <f t="shared" si="17"/>
        <v>0.0269686062894644</v>
      </c>
    </row>
    <row r="86" spans="1:6">
      <c r="A86" s="1">
        <v>7</v>
      </c>
      <c r="B86" s="1">
        <v>2</v>
      </c>
      <c r="C86" s="3">
        <v>0.0688</v>
      </c>
      <c r="D86">
        <f t="shared" si="15"/>
        <v>0.873465895300281</v>
      </c>
      <c r="E86">
        <f t="shared" si="16"/>
        <v>1.52856531677549</v>
      </c>
      <c r="F86" s="3">
        <f t="shared" si="17"/>
        <v>0.0302993085943365</v>
      </c>
    </row>
    <row r="87" spans="1:6">
      <c r="A87" s="1">
        <v>8</v>
      </c>
      <c r="B87" s="1">
        <v>2.25</v>
      </c>
      <c r="C87" s="3">
        <v>0.0689</v>
      </c>
      <c r="D87">
        <f t="shared" si="15"/>
        <v>0.858632320808621</v>
      </c>
      <c r="E87">
        <f t="shared" si="16"/>
        <v>1.50260656141509</v>
      </c>
      <c r="F87" s="3">
        <f t="shared" si="17"/>
        <v>0.0335078467538179</v>
      </c>
    </row>
    <row r="88" spans="1:6">
      <c r="A88" s="1">
        <v>9</v>
      </c>
      <c r="B88" s="1">
        <v>2.5</v>
      </c>
      <c r="C88" s="3">
        <v>0.0688</v>
      </c>
      <c r="D88">
        <f t="shared" si="15"/>
        <v>0.844417918890449</v>
      </c>
      <c r="E88">
        <f t="shared" si="16"/>
        <v>1.47773135805829</v>
      </c>
      <c r="F88" s="3">
        <f t="shared" si="17"/>
        <v>0.0366145937189874</v>
      </c>
    </row>
    <row r="89" spans="1:6">
      <c r="A89" s="1">
        <v>10</v>
      </c>
      <c r="B89" s="1">
        <v>2.75</v>
      </c>
      <c r="C89" s="3">
        <v>0.0686</v>
      </c>
      <c r="D89">
        <f t="shared" si="15"/>
        <v>0.830699815940323</v>
      </c>
      <c r="E89">
        <f t="shared" si="16"/>
        <v>1.45372467789557</v>
      </c>
      <c r="F89" s="3">
        <f t="shared" si="17"/>
        <v>0.0396217431451054</v>
      </c>
    </row>
    <row r="90" spans="1:6">
      <c r="A90" s="1">
        <v>11</v>
      </c>
      <c r="B90" s="1">
        <v>3</v>
      </c>
      <c r="C90" s="3">
        <v>0.0683</v>
      </c>
      <c r="D90">
        <f t="shared" si="15"/>
        <v>0.817520745659523</v>
      </c>
      <c r="E90">
        <f t="shared" si="16"/>
        <v>1.43066130490417</v>
      </c>
      <c r="F90" s="3">
        <f t="shared" si="17"/>
        <v>0.0425379745590886</v>
      </c>
    </row>
    <row r="91" spans="1:6">
      <c r="A91" s="1">
        <v>12</v>
      </c>
      <c r="B91" s="1">
        <v>3.25</v>
      </c>
      <c r="C91" s="3">
        <v>0.068</v>
      </c>
      <c r="D91">
        <f t="shared" si="15"/>
        <v>0.804667569046304</v>
      </c>
      <c r="E91">
        <f t="shared" si="16"/>
        <v>1.40816824583103</v>
      </c>
      <c r="F91" s="3">
        <f t="shared" si="17"/>
        <v>0.0453582853921974</v>
      </c>
    </row>
    <row r="92" spans="1:6">
      <c r="A92" s="1">
        <v>13</v>
      </c>
      <c r="B92" s="1">
        <v>3.5</v>
      </c>
      <c r="C92" s="3">
        <v>0.0676</v>
      </c>
      <c r="D92">
        <f t="shared" si="15"/>
        <v>0.792399704988844</v>
      </c>
      <c r="E92">
        <f>D92*(7/4+100)</f>
        <v>80.6266699826148</v>
      </c>
      <c r="F92" s="3">
        <f t="shared" si="17"/>
        <v>2.7968262617708</v>
      </c>
    </row>
    <row r="93" spans="2:7">
      <c r="B93" s="1"/>
      <c r="D93" t="s">
        <v>50</v>
      </c>
      <c r="E93">
        <f>SUM(E79:E92)</f>
        <v>100.897702798486</v>
      </c>
      <c r="F93" s="3">
        <f>SUM(F79:F92)</f>
        <v>3.13649199653565</v>
      </c>
      <c r="G93" s="4" t="s">
        <v>51</v>
      </c>
    </row>
    <row r="94" spans="2:5">
      <c r="B94" s="1"/>
      <c r="D94" t="s">
        <v>52</v>
      </c>
      <c r="E94">
        <f>E93*F93</f>
        <v>316.464837296286</v>
      </c>
    </row>
    <row r="95" spans="1:2">
      <c r="A95" s="1" t="s">
        <v>44</v>
      </c>
      <c r="B95" s="1" t="s">
        <v>59</v>
      </c>
    </row>
    <row r="96" spans="1:2">
      <c r="A96" s="1" t="s">
        <v>54</v>
      </c>
      <c r="B96" s="1">
        <v>100</v>
      </c>
    </row>
    <row r="97" spans="1:2">
      <c r="A97" s="1" t="s">
        <v>11</v>
      </c>
      <c r="B97" s="1">
        <v>0.5</v>
      </c>
    </row>
    <row r="98" spans="1:2">
      <c r="A98" s="1" t="s">
        <v>55</v>
      </c>
      <c r="B98" s="1">
        <v>50</v>
      </c>
    </row>
    <row r="99" spans="2:2">
      <c r="B99" s="1"/>
    </row>
    <row r="100" spans="1:3">
      <c r="A100" s="1" t="s">
        <v>45</v>
      </c>
      <c r="B100" s="1" t="s">
        <v>60</v>
      </c>
      <c r="C100" s="3" t="s">
        <v>61</v>
      </c>
    </row>
    <row r="101" spans="1:2">
      <c r="A101" s="1" t="s">
        <v>62</v>
      </c>
      <c r="B101" s="1" t="s">
        <v>63</v>
      </c>
    </row>
    <row r="102" spans="1:2">
      <c r="A102" s="1" t="s">
        <v>64</v>
      </c>
      <c r="B102" s="1"/>
    </row>
    <row r="103" spans="1:2">
      <c r="A103" s="1" t="s">
        <v>65</v>
      </c>
      <c r="B103" s="1" t="s">
        <v>66</v>
      </c>
    </row>
    <row r="104" spans="2:2">
      <c r="B104" s="1"/>
    </row>
    <row r="105" spans="1:3">
      <c r="A105" s="1" t="s">
        <v>46</v>
      </c>
      <c r="B105" s="1" t="s">
        <v>67</v>
      </c>
      <c r="C105" s="3" t="s">
        <v>68</v>
      </c>
    </row>
    <row r="106" spans="1:5">
      <c r="A106" s="1" t="s">
        <v>49</v>
      </c>
      <c r="B106" s="1" t="s">
        <v>15</v>
      </c>
      <c r="C106" s="3" t="s">
        <v>58</v>
      </c>
      <c r="D106" t="s">
        <v>69</v>
      </c>
      <c r="E106" t="s">
        <v>18</v>
      </c>
    </row>
    <row r="107" spans="1:7">
      <c r="A107" s="1">
        <v>0.25</v>
      </c>
      <c r="B107" s="6">
        <v>0.0633</v>
      </c>
      <c r="C107">
        <f>1/(1+B107/2)^(2*A107)</f>
        <v>0.984541005060761</v>
      </c>
      <c r="D107">
        <f>0.125*C107</f>
        <v>0.123067625632595</v>
      </c>
      <c r="E107" s="3">
        <f>A107*D107/$D$118</f>
        <v>0.0266542113733242</v>
      </c>
      <c r="F107" s="4"/>
      <c r="G107"/>
    </row>
    <row r="108" spans="1:7">
      <c r="A108" s="1">
        <v>0.75</v>
      </c>
      <c r="B108" s="6">
        <v>0.0662</v>
      </c>
      <c r="C108">
        <f t="shared" ref="C108:C117" si="18">1/(1+B108/2)^(2*A108)</f>
        <v>0.95232778992149</v>
      </c>
      <c r="D108">
        <f t="shared" ref="D108:D117" si="19">0.125*C108</f>
        <v>0.119040973740186</v>
      </c>
      <c r="E108" s="3">
        <f t="shared" ref="E108:E117" si="20">A108*D108/$D$118</f>
        <v>0.0773463352327054</v>
      </c>
      <c r="F108" s="4"/>
      <c r="G108"/>
    </row>
    <row r="109" spans="1:7">
      <c r="A109" s="1">
        <v>1.25</v>
      </c>
      <c r="B109" s="6">
        <v>0.0679</v>
      </c>
      <c r="C109">
        <f t="shared" si="18"/>
        <v>0.919922319763022</v>
      </c>
      <c r="D109">
        <f t="shared" si="19"/>
        <v>0.114990289970378</v>
      </c>
      <c r="E109" s="3">
        <f t="shared" si="20"/>
        <v>0.124524036235998</v>
      </c>
      <c r="F109" s="4"/>
      <c r="G109"/>
    </row>
    <row r="110" spans="1:7">
      <c r="A110" s="1">
        <v>1.75</v>
      </c>
      <c r="B110" s="6">
        <v>0.0687</v>
      </c>
      <c r="C110">
        <f t="shared" si="18"/>
        <v>0.888512790949803</v>
      </c>
      <c r="D110">
        <f t="shared" si="19"/>
        <v>0.111064098868725</v>
      </c>
      <c r="E110" s="3">
        <f t="shared" si="20"/>
        <v>0.168381259198968</v>
      </c>
      <c r="F110" s="4"/>
      <c r="G110"/>
    </row>
    <row r="111" spans="1:7">
      <c r="A111" s="1">
        <v>2.25</v>
      </c>
      <c r="B111" s="6">
        <v>0.0689</v>
      </c>
      <c r="C111">
        <f t="shared" si="18"/>
        <v>0.858632320808621</v>
      </c>
      <c r="D111">
        <f t="shared" si="19"/>
        <v>0.107329040101078</v>
      </c>
      <c r="E111" s="3">
        <f t="shared" si="20"/>
        <v>0.209209677685793</v>
      </c>
      <c r="F111" s="4"/>
      <c r="G111"/>
    </row>
    <row r="112" spans="1:7">
      <c r="A112" s="1">
        <v>2.75</v>
      </c>
      <c r="B112" s="6">
        <v>0.0686</v>
      </c>
      <c r="C112">
        <f t="shared" si="18"/>
        <v>0.830699815940323</v>
      </c>
      <c r="D112">
        <f t="shared" si="19"/>
        <v>0.10383747699254</v>
      </c>
      <c r="E112" s="3">
        <f t="shared" si="20"/>
        <v>0.247382416830239</v>
      </c>
      <c r="F112" s="4"/>
      <c r="G112"/>
    </row>
    <row r="113" spans="1:7">
      <c r="A113" s="1">
        <v>3.25</v>
      </c>
      <c r="B113" s="6">
        <v>0.068</v>
      </c>
      <c r="C113">
        <f t="shared" si="18"/>
        <v>0.804667569046304</v>
      </c>
      <c r="D113">
        <f t="shared" si="19"/>
        <v>0.100583446130788</v>
      </c>
      <c r="E113" s="3">
        <f t="shared" si="20"/>
        <v>0.283199106674934</v>
      </c>
      <c r="F113" s="4"/>
      <c r="G113"/>
    </row>
    <row r="114" spans="1:7">
      <c r="A114" s="1">
        <v>3.75</v>
      </c>
      <c r="B114" s="6">
        <v>0.0672</v>
      </c>
      <c r="C114">
        <f t="shared" si="18"/>
        <v>0.780470055661786</v>
      </c>
      <c r="D114">
        <f t="shared" si="19"/>
        <v>0.0975587569577232</v>
      </c>
      <c r="E114" s="3">
        <f t="shared" si="20"/>
        <v>0.316941809338995</v>
      </c>
      <c r="F114" s="4"/>
      <c r="G114"/>
    </row>
    <row r="115" spans="1:7">
      <c r="A115" s="1">
        <v>4.25</v>
      </c>
      <c r="B115" s="6">
        <v>0.0662</v>
      </c>
      <c r="C115">
        <f t="shared" si="18"/>
        <v>0.758210731242333</v>
      </c>
      <c r="D115">
        <f t="shared" si="19"/>
        <v>0.0947763414052916</v>
      </c>
      <c r="E115" s="3">
        <f t="shared" si="20"/>
        <v>0.348956166240884</v>
      </c>
      <c r="F115" s="4"/>
      <c r="G115"/>
    </row>
    <row r="116" spans="1:5">
      <c r="A116" s="1">
        <v>4.75</v>
      </c>
      <c r="B116" s="6">
        <v>0.0651</v>
      </c>
      <c r="C116">
        <f t="shared" si="18"/>
        <v>0.73764029902745</v>
      </c>
      <c r="D116">
        <f t="shared" si="19"/>
        <v>0.0922050373784313</v>
      </c>
      <c r="E116" s="3">
        <f t="shared" si="20"/>
        <v>0.379428776035977</v>
      </c>
    </row>
    <row r="117" spans="1:5">
      <c r="A117" s="1">
        <v>5.25</v>
      </c>
      <c r="B117" s="6">
        <v>0.0639</v>
      </c>
      <c r="C117">
        <f t="shared" si="18"/>
        <v>0.718760361575749</v>
      </c>
      <c r="D117">
        <f t="shared" si="19"/>
        <v>0.0898450451969686</v>
      </c>
      <c r="E117" s="3">
        <f t="shared" si="20"/>
        <v>0.40863488734379</v>
      </c>
    </row>
    <row r="118" spans="2:6">
      <c r="B118" s="1" t="s">
        <v>29</v>
      </c>
      <c r="C118" s="3">
        <f>100*(1+6.4%/2)*C107</f>
        <v>101.60463172227</v>
      </c>
      <c r="D118">
        <f>SUM(D107:D117)</f>
        <v>1.15429813237471</v>
      </c>
      <c r="E118">
        <f>SUM(E107:E117)</f>
        <v>2.59065868219161</v>
      </c>
      <c r="F118" s="3" t="s">
        <v>70</v>
      </c>
    </row>
    <row r="119" spans="2:5">
      <c r="B119" s="1" t="s">
        <v>71</v>
      </c>
      <c r="C119" s="3">
        <f>C118+D118</f>
        <v>102.758929854645</v>
      </c>
      <c r="D119" t="s">
        <v>24</v>
      </c>
      <c r="E119">
        <f>C118/C119/4+D118/C119*E118</f>
        <v>0.27629278009417</v>
      </c>
    </row>
    <row r="120" spans="2:5">
      <c r="B120" s="1"/>
      <c r="D120" t="s">
        <v>52</v>
      </c>
      <c r="E120">
        <f>E119*C119</f>
        <v>28.3915504090417</v>
      </c>
    </row>
    <row r="121" spans="2:2">
      <c r="B121" s="1"/>
    </row>
    <row r="122" spans="1:2">
      <c r="A122" s="1" t="s">
        <v>72</v>
      </c>
      <c r="B122" s="1"/>
    </row>
    <row r="123" spans="1:2">
      <c r="A123" s="1" t="s">
        <v>73</v>
      </c>
      <c r="B123" s="2" t="s">
        <v>74</v>
      </c>
    </row>
    <row r="124" spans="1:2">
      <c r="A124" s="1" t="s">
        <v>75</v>
      </c>
      <c r="B124" s="2" t="s">
        <v>76</v>
      </c>
    </row>
    <row r="125" spans="2:8">
      <c r="B125" s="17" t="s">
        <v>77</v>
      </c>
      <c r="C125" s="18" t="s">
        <v>54</v>
      </c>
      <c r="D125" s="19" t="s">
        <v>78</v>
      </c>
      <c r="E125" s="19" t="s">
        <v>11</v>
      </c>
      <c r="F125" s="18" t="s">
        <v>55</v>
      </c>
      <c r="G125" s="20" t="s">
        <v>79</v>
      </c>
      <c r="H125" s="21"/>
    </row>
    <row r="126" spans="1:8">
      <c r="A126" s="1" t="s">
        <v>80</v>
      </c>
      <c r="B126" s="22">
        <v>20</v>
      </c>
      <c r="C126" s="3">
        <v>146.4825</v>
      </c>
      <c r="D126">
        <f>B126/C126</f>
        <v>0.13653508098237</v>
      </c>
      <c r="E126">
        <v>7.78462017647159</v>
      </c>
      <c r="F126" s="3">
        <v>1140.310625</v>
      </c>
      <c r="G126" s="4">
        <f>F126*D126</f>
        <v>155.692403529432</v>
      </c>
      <c r="H126" s="23"/>
    </row>
    <row r="127" spans="1:8">
      <c r="A127" s="1" t="s">
        <v>81</v>
      </c>
      <c r="B127" s="22">
        <v>20</v>
      </c>
      <c r="C127" s="3">
        <v>101.623015</v>
      </c>
      <c r="D127">
        <f>B127/C127</f>
        <v>0.196805812147967</v>
      </c>
      <c r="E127">
        <v>0.526825948334637</v>
      </c>
      <c r="F127" s="3">
        <f>C127*E127</f>
        <v>53.53764125</v>
      </c>
      <c r="G127" s="4">
        <f>F127*D127</f>
        <v>10.5365189666927</v>
      </c>
      <c r="H127" s="23"/>
    </row>
    <row r="128" spans="1:8">
      <c r="A128" s="1" t="s">
        <v>82</v>
      </c>
      <c r="B128" s="22">
        <v>-30</v>
      </c>
      <c r="C128" s="3">
        <v>76.41</v>
      </c>
      <c r="D128">
        <f>B128/C128</f>
        <v>-0.392618767177071</v>
      </c>
      <c r="E128">
        <v>5</v>
      </c>
      <c r="F128" s="3">
        <f>E128*C128</f>
        <v>382.05</v>
      </c>
      <c r="G128" s="4">
        <f>F128*D128</f>
        <v>-150</v>
      </c>
      <c r="H128" s="23"/>
    </row>
    <row r="129" spans="1:8">
      <c r="A129" s="2" t="s">
        <v>83</v>
      </c>
      <c r="B129" s="24" t="s">
        <v>84</v>
      </c>
      <c r="C129" s="25"/>
      <c r="D129" s="26"/>
      <c r="E129" s="26"/>
      <c r="F129" s="25" t="s">
        <v>85</v>
      </c>
      <c r="G129" s="27">
        <f>SUM(G126:G128)</f>
        <v>16.2289224961246</v>
      </c>
      <c r="H129" s="28"/>
    </row>
    <row r="130" spans="1:13">
      <c r="A130" s="2"/>
      <c r="B130" s="3"/>
      <c r="H130" s="29" t="s">
        <v>86</v>
      </c>
      <c r="I130" s="19"/>
      <c r="J130" s="19"/>
      <c r="K130" s="19"/>
      <c r="L130" s="19"/>
      <c r="M130" s="21"/>
    </row>
    <row r="131" spans="1:13">
      <c r="A131" s="30" t="s">
        <v>81</v>
      </c>
      <c r="B131" s="31" t="s">
        <v>58</v>
      </c>
      <c r="C131" s="18" t="s">
        <v>87</v>
      </c>
      <c r="D131" s="19" t="s">
        <v>18</v>
      </c>
      <c r="E131" s="19"/>
      <c r="F131" s="32"/>
      <c r="H131" s="33" t="s">
        <v>88</v>
      </c>
      <c r="I131" t="s">
        <v>54</v>
      </c>
      <c r="J131" t="s">
        <v>11</v>
      </c>
      <c r="K131" t="s">
        <v>55</v>
      </c>
      <c r="L131" t="s">
        <v>8</v>
      </c>
      <c r="M131" s="23" t="s">
        <v>89</v>
      </c>
    </row>
    <row r="132" spans="1:13">
      <c r="A132" s="34">
        <v>0.5</v>
      </c>
      <c r="B132" s="35">
        <v>0.9824</v>
      </c>
      <c r="C132" s="35">
        <f>0.45/2*B132</f>
        <v>0.22104</v>
      </c>
      <c r="D132" s="36">
        <f>C132/$C$140*A132</f>
        <v>0.0680954889511187</v>
      </c>
      <c r="E132" s="36"/>
      <c r="F132" s="37"/>
      <c r="H132" s="29" t="s">
        <v>90</v>
      </c>
      <c r="I132">
        <v>100</v>
      </c>
      <c r="J132" s="1">
        <v>0.25</v>
      </c>
      <c r="K132">
        <v>25</v>
      </c>
      <c r="L132">
        <f>I132/$I$135</f>
        <v>0.682675404911849</v>
      </c>
      <c r="M132" s="23">
        <f>J132*L132</f>
        <v>0.170668851227962</v>
      </c>
    </row>
    <row r="133" spans="1:13">
      <c r="A133" s="34">
        <v>1</v>
      </c>
      <c r="B133" s="35">
        <v>0.9625</v>
      </c>
      <c r="C133" s="35">
        <f>0.45/2*B133</f>
        <v>0.2165625</v>
      </c>
      <c r="D133" s="36">
        <f t="shared" ref="D133:D140" si="21">C133/$C$140*A133</f>
        <v>0.133432223362076</v>
      </c>
      <c r="E133" s="36"/>
      <c r="F133" s="37"/>
      <c r="H133" s="29" t="s">
        <v>56</v>
      </c>
      <c r="I133">
        <v>174.7225</v>
      </c>
      <c r="J133" s="1">
        <v>4.20524331439855</v>
      </c>
      <c r="K133">
        <v>734.750625</v>
      </c>
      <c r="L133">
        <f>I133/$I$135</f>
        <v>1.19278753434711</v>
      </c>
      <c r="M133" s="23">
        <f>J133*L133</f>
        <v>5.01596180431109</v>
      </c>
    </row>
    <row r="134" spans="1:13">
      <c r="A134" s="34">
        <v>1.5</v>
      </c>
      <c r="B134" s="35">
        <v>0.9398</v>
      </c>
      <c r="C134" s="35">
        <f t="shared" ref="C133:C139" si="22">0.45/2*B134</f>
        <v>0.211455</v>
      </c>
      <c r="D134" s="36">
        <f t="shared" si="21"/>
        <v>0.195427953530929</v>
      </c>
      <c r="E134" s="36"/>
      <c r="F134" s="37"/>
      <c r="H134" s="29" t="s">
        <v>53</v>
      </c>
      <c r="I134">
        <v>71.76</v>
      </c>
      <c r="J134" s="1">
        <v>6</v>
      </c>
      <c r="K134">
        <f>I134*J134</f>
        <v>430.56</v>
      </c>
      <c r="L134">
        <f>I134/$I$135</f>
        <v>0.489887870564743</v>
      </c>
      <c r="M134" s="23">
        <f>J134*L134</f>
        <v>2.93932722338846</v>
      </c>
    </row>
    <row r="135" spans="1:13">
      <c r="A135" s="34">
        <v>2</v>
      </c>
      <c r="B135" s="35">
        <v>0.9151</v>
      </c>
      <c r="C135" s="35">
        <f t="shared" si="22"/>
        <v>0.2058975</v>
      </c>
      <c r="D135" s="36">
        <f t="shared" si="21"/>
        <v>0.253722239165997</v>
      </c>
      <c r="E135" s="36"/>
      <c r="F135" s="37"/>
      <c r="H135" s="29" t="s">
        <v>91</v>
      </c>
      <c r="I135">
        <f>I134+I133-I132</f>
        <v>146.4825</v>
      </c>
      <c r="M135" s="23">
        <f>-M132+M133+M134</f>
        <v>7.78462017647159</v>
      </c>
    </row>
    <row r="136" spans="1:13">
      <c r="A136" s="34">
        <v>2.5</v>
      </c>
      <c r="B136" s="35">
        <v>0.8921</v>
      </c>
      <c r="C136" s="35">
        <f t="shared" si="22"/>
        <v>0.2007225</v>
      </c>
      <c r="D136" s="36">
        <f t="shared" si="21"/>
        <v>0.309181523276125</v>
      </c>
      <c r="E136" s="36"/>
      <c r="F136" s="37"/>
      <c r="H136" s="38"/>
      <c r="I136" s="26"/>
      <c r="J136" s="26"/>
      <c r="K136" s="26" t="s">
        <v>92</v>
      </c>
      <c r="L136" s="26">
        <f>M135*I135</f>
        <v>1140.310625</v>
      </c>
      <c r="M136" s="28"/>
    </row>
    <row r="137" spans="1:6">
      <c r="A137" s="34">
        <v>3</v>
      </c>
      <c r="B137" s="35">
        <v>0.867</v>
      </c>
      <c r="C137" s="35">
        <f t="shared" si="22"/>
        <v>0.195075</v>
      </c>
      <c r="D137" s="36">
        <f t="shared" si="21"/>
        <v>0.36057892256079</v>
      </c>
      <c r="E137" s="36"/>
      <c r="F137" s="37"/>
    </row>
    <row r="138" spans="1:6">
      <c r="A138" s="34">
        <v>3.5</v>
      </c>
      <c r="B138" s="35">
        <v>0.84</v>
      </c>
      <c r="C138" s="35">
        <f t="shared" si="22"/>
        <v>0.189</v>
      </c>
      <c r="D138" s="36">
        <f t="shared" si="21"/>
        <v>0.407574791360523</v>
      </c>
      <c r="E138" s="36"/>
      <c r="F138" s="37"/>
    </row>
    <row r="139" spans="1:6">
      <c r="A139" s="34">
        <v>4</v>
      </c>
      <c r="B139" s="35">
        <v>0.8145</v>
      </c>
      <c r="C139" s="35">
        <f t="shared" si="22"/>
        <v>0.1832625</v>
      </c>
      <c r="D139" s="36">
        <f t="shared" si="21"/>
        <v>0.451659411650539</v>
      </c>
      <c r="E139" s="36"/>
      <c r="F139" s="37"/>
    </row>
    <row r="140" spans="1:6">
      <c r="A140" s="34"/>
      <c r="B140" s="39">
        <v>100</v>
      </c>
      <c r="C140" s="35">
        <f>SUM(C132:C139)</f>
        <v>1.623015</v>
      </c>
      <c r="D140" s="40">
        <f>SUM(D132:D139)</f>
        <v>2.1796725538581</v>
      </c>
      <c r="E140" s="36" t="s">
        <v>28</v>
      </c>
      <c r="F140" s="37">
        <f>D140*C140/C141</f>
        <v>0.0348114179647199</v>
      </c>
    </row>
    <row r="141" spans="1:6">
      <c r="A141" s="34"/>
      <c r="B141" s="39" t="s">
        <v>91</v>
      </c>
      <c r="C141" s="41">
        <f>B140+C140</f>
        <v>101.623015</v>
      </c>
      <c r="D141" s="36"/>
      <c r="E141" s="36"/>
      <c r="F141" s="37"/>
    </row>
    <row r="142" spans="1:6">
      <c r="A142" s="42"/>
      <c r="B142" s="43"/>
      <c r="C142" s="25">
        <f>100/C141*0.5</f>
        <v>0.492014530369917</v>
      </c>
      <c r="D142" s="26">
        <f>C142+F140</f>
        <v>0.526825948334637</v>
      </c>
      <c r="E142" s="26"/>
      <c r="F142" s="44"/>
    </row>
    <row r="144" spans="1:6">
      <c r="A144" s="1" t="s">
        <v>93</v>
      </c>
      <c r="B144" s="17" t="s">
        <v>58</v>
      </c>
      <c r="C144" s="18" t="s">
        <v>5</v>
      </c>
      <c r="D144" s="19" t="s">
        <v>7</v>
      </c>
      <c r="E144" s="19" t="s">
        <v>18</v>
      </c>
      <c r="F144" s="32"/>
    </row>
    <row r="145" spans="1:6">
      <c r="A145" s="1">
        <v>0.25</v>
      </c>
      <c r="B145" s="22">
        <v>0.9912</v>
      </c>
      <c r="C145" s="3">
        <v>5</v>
      </c>
      <c r="D145">
        <f>C145*B145</f>
        <v>4.956</v>
      </c>
      <c r="E145">
        <f>D145/$D$169*A145</f>
        <v>0.00709124468800526</v>
      </c>
      <c r="F145" s="37"/>
    </row>
    <row r="146" spans="1:6">
      <c r="A146" s="1">
        <v>0.5</v>
      </c>
      <c r="B146" s="22">
        <v>0.9824</v>
      </c>
      <c r="C146" s="3">
        <v>5</v>
      </c>
      <c r="D146">
        <f t="shared" ref="D146:D168" si="23">C146*B146</f>
        <v>4.912</v>
      </c>
      <c r="E146">
        <f t="shared" ref="E146:E168" si="24">D146/$D$169*A146</f>
        <v>0.0140565754267481</v>
      </c>
      <c r="F146" s="37"/>
    </row>
    <row r="147" spans="1:6">
      <c r="A147" s="1">
        <v>0.75</v>
      </c>
      <c r="B147" s="22">
        <v>0.9721</v>
      </c>
      <c r="C147" s="3">
        <v>5</v>
      </c>
      <c r="D147">
        <f t="shared" si="23"/>
        <v>4.8605</v>
      </c>
      <c r="E147">
        <f t="shared" si="24"/>
        <v>0.0208637983087467</v>
      </c>
      <c r="F147" s="37"/>
    </row>
    <row r="148" spans="1:6">
      <c r="A148" s="1">
        <v>1</v>
      </c>
      <c r="B148" s="22">
        <v>0.9625</v>
      </c>
      <c r="C148" s="3">
        <v>5</v>
      </c>
      <c r="D148">
        <f t="shared" si="23"/>
        <v>4.8125</v>
      </c>
      <c r="E148">
        <f t="shared" si="24"/>
        <v>0.0275436764011504</v>
      </c>
      <c r="F148" s="37"/>
    </row>
    <row r="149" spans="1:6">
      <c r="A149" s="1">
        <v>1.25</v>
      </c>
      <c r="B149" s="22">
        <v>0.9516</v>
      </c>
      <c r="C149" s="3">
        <v>5</v>
      </c>
      <c r="D149">
        <f t="shared" si="23"/>
        <v>4.758</v>
      </c>
      <c r="E149">
        <f t="shared" si="24"/>
        <v>0.0340396915108243</v>
      </c>
      <c r="F149" s="37"/>
    </row>
    <row r="150" spans="1:6">
      <c r="A150" s="1">
        <v>1.5</v>
      </c>
      <c r="B150" s="22">
        <v>0.9398</v>
      </c>
      <c r="C150" s="3">
        <v>5</v>
      </c>
      <c r="D150">
        <f t="shared" si="23"/>
        <v>4.699</v>
      </c>
      <c r="E150">
        <f t="shared" si="24"/>
        <v>0.0403411123352745</v>
      </c>
      <c r="F150" s="37"/>
    </row>
    <row r="151" spans="1:6">
      <c r="A151" s="1">
        <v>1.75</v>
      </c>
      <c r="B151" s="22">
        <v>0.9287</v>
      </c>
      <c r="C151" s="3">
        <v>5</v>
      </c>
      <c r="D151">
        <f t="shared" si="23"/>
        <v>4.6435</v>
      </c>
      <c r="E151">
        <f t="shared" si="24"/>
        <v>0.0465087495886334</v>
      </c>
      <c r="F151" s="37"/>
    </row>
    <row r="152" spans="1:6">
      <c r="A152" s="1">
        <v>2</v>
      </c>
      <c r="B152" s="22">
        <v>0.9151</v>
      </c>
      <c r="C152" s="3">
        <v>5</v>
      </c>
      <c r="D152">
        <f t="shared" si="23"/>
        <v>4.5755</v>
      </c>
      <c r="E152">
        <f t="shared" si="24"/>
        <v>0.052374479531829</v>
      </c>
      <c r="F152" s="37"/>
    </row>
    <row r="153" spans="1:6">
      <c r="A153" s="1">
        <v>2.25</v>
      </c>
      <c r="B153" s="22">
        <v>0.9031</v>
      </c>
      <c r="C153" s="3">
        <v>5</v>
      </c>
      <c r="D153">
        <f t="shared" si="23"/>
        <v>4.5155</v>
      </c>
      <c r="E153">
        <f t="shared" si="24"/>
        <v>0.0581486356937429</v>
      </c>
      <c r="F153" s="37"/>
    </row>
    <row r="154" spans="1:6">
      <c r="A154" s="1">
        <v>2.5</v>
      </c>
      <c r="B154" s="22">
        <v>0.8921</v>
      </c>
      <c r="C154" s="3">
        <v>5</v>
      </c>
      <c r="D154">
        <f t="shared" si="23"/>
        <v>4.4605</v>
      </c>
      <c r="E154">
        <f t="shared" si="24"/>
        <v>0.0638226330323799</v>
      </c>
      <c r="F154" s="37"/>
    </row>
    <row r="155" spans="1:6">
      <c r="A155" s="1">
        <v>2.75</v>
      </c>
      <c r="B155" s="22">
        <v>0.8786</v>
      </c>
      <c r="C155" s="3">
        <v>5</v>
      </c>
      <c r="D155">
        <f t="shared" si="23"/>
        <v>4.393</v>
      </c>
      <c r="E155">
        <f t="shared" si="24"/>
        <v>0.0691424973887164</v>
      </c>
      <c r="F155" s="37"/>
    </row>
    <row r="156" spans="1:6">
      <c r="A156" s="1">
        <v>3</v>
      </c>
      <c r="B156" s="22">
        <v>0.867</v>
      </c>
      <c r="C156" s="3">
        <v>5</v>
      </c>
      <c r="D156">
        <f t="shared" si="23"/>
        <v>4.335</v>
      </c>
      <c r="E156">
        <f t="shared" si="24"/>
        <v>0.0744323140980698</v>
      </c>
      <c r="F156" s="37"/>
    </row>
    <row r="157" spans="1:6">
      <c r="A157" s="1">
        <v>3.25</v>
      </c>
      <c r="B157" s="22">
        <v>0.8531</v>
      </c>
      <c r="C157" s="3">
        <v>5</v>
      </c>
      <c r="D157">
        <f t="shared" si="23"/>
        <v>4.2655</v>
      </c>
      <c r="E157">
        <f t="shared" si="24"/>
        <v>0.0793422426991372</v>
      </c>
      <c r="F157" s="37"/>
    </row>
    <row r="158" spans="1:6">
      <c r="A158" s="1">
        <v>3.5</v>
      </c>
      <c r="B158" s="22">
        <v>0.84</v>
      </c>
      <c r="C158" s="3">
        <v>5</v>
      </c>
      <c r="D158">
        <f t="shared" si="23"/>
        <v>4.2</v>
      </c>
      <c r="E158">
        <f t="shared" si="24"/>
        <v>0.0841334115526048</v>
      </c>
      <c r="F158" s="37"/>
    </row>
    <row r="159" spans="1:6">
      <c r="A159" s="1">
        <v>3.75</v>
      </c>
      <c r="B159" s="22">
        <v>0.8268</v>
      </c>
      <c r="C159" s="3">
        <v>5</v>
      </c>
      <c r="D159">
        <f t="shared" si="23"/>
        <v>4.134</v>
      </c>
      <c r="E159">
        <f t="shared" si="24"/>
        <v>0.0887264090200175</v>
      </c>
      <c r="F159" s="37"/>
    </row>
    <row r="160" spans="1:6">
      <c r="A160" s="1">
        <v>4</v>
      </c>
      <c r="B160" s="22">
        <v>0.8145</v>
      </c>
      <c r="C160" s="3">
        <v>5</v>
      </c>
      <c r="D160">
        <f t="shared" si="23"/>
        <v>4.0725</v>
      </c>
      <c r="E160">
        <f t="shared" si="24"/>
        <v>0.0932335560674784</v>
      </c>
      <c r="F160" s="37"/>
    </row>
    <row r="161" spans="1:6">
      <c r="A161" s="1">
        <v>4.25</v>
      </c>
      <c r="B161" s="22">
        <v>0.8023</v>
      </c>
      <c r="C161" s="3">
        <v>5</v>
      </c>
      <c r="D161">
        <f t="shared" si="23"/>
        <v>4.0115</v>
      </c>
      <c r="E161">
        <f t="shared" si="24"/>
        <v>0.097576871896865</v>
      </c>
      <c r="F161" s="37"/>
    </row>
    <row r="162" spans="1:6">
      <c r="A162" s="1">
        <v>4.5</v>
      </c>
      <c r="B162" s="22">
        <v>0.7893</v>
      </c>
      <c r="C162" s="3">
        <v>5</v>
      </c>
      <c r="D162">
        <f t="shared" si="23"/>
        <v>3.9465</v>
      </c>
      <c r="E162">
        <f t="shared" si="24"/>
        <v>0.101642604701741</v>
      </c>
      <c r="F162" s="37"/>
    </row>
    <row r="163" spans="1:6">
      <c r="A163" s="1">
        <v>4.75</v>
      </c>
      <c r="B163" s="22">
        <v>0.777</v>
      </c>
      <c r="C163" s="3">
        <v>5</v>
      </c>
      <c r="D163">
        <f t="shared" si="23"/>
        <v>3.885</v>
      </c>
      <c r="E163">
        <f t="shared" si="24"/>
        <v>0.105617479145502</v>
      </c>
      <c r="F163" s="37"/>
    </row>
    <row r="164" spans="1:6">
      <c r="A164" s="1">
        <v>5</v>
      </c>
      <c r="B164" s="22">
        <v>0.7641</v>
      </c>
      <c r="C164" s="3">
        <v>5</v>
      </c>
      <c r="D164">
        <f t="shared" si="23"/>
        <v>3.8205</v>
      </c>
      <c r="E164">
        <f t="shared" si="24"/>
        <v>0.10933050980841</v>
      </c>
      <c r="F164" s="37"/>
    </row>
    <row r="165" spans="1:6">
      <c r="A165" s="1">
        <v>5.25</v>
      </c>
      <c r="B165" s="22">
        <v>0.7525</v>
      </c>
      <c r="C165" s="3">
        <v>5</v>
      </c>
      <c r="D165">
        <f t="shared" si="23"/>
        <v>3.7625</v>
      </c>
      <c r="E165">
        <f t="shared" si="24"/>
        <v>0.113054271773813</v>
      </c>
      <c r="F165" s="37"/>
    </row>
    <row r="166" spans="1:6">
      <c r="A166" s="1">
        <v>5.5</v>
      </c>
      <c r="B166" s="22">
        <v>0.7418</v>
      </c>
      <c r="C166" s="3">
        <v>5</v>
      </c>
      <c r="D166">
        <f t="shared" si="23"/>
        <v>3.709</v>
      </c>
      <c r="E166">
        <f t="shared" si="24"/>
        <v>0.116753709453562</v>
      </c>
      <c r="F166" s="37"/>
    </row>
    <row r="167" spans="1:6">
      <c r="A167" s="1">
        <v>5.75</v>
      </c>
      <c r="B167" s="22">
        <v>0.7293</v>
      </c>
      <c r="C167" s="3">
        <v>5</v>
      </c>
      <c r="D167">
        <f t="shared" si="23"/>
        <v>3.6465</v>
      </c>
      <c r="E167">
        <f t="shared" si="24"/>
        <v>0.120003863268898</v>
      </c>
      <c r="F167" s="37"/>
    </row>
    <row r="168" spans="1:6">
      <c r="A168" s="1">
        <v>6</v>
      </c>
      <c r="B168" s="22">
        <v>0.7176</v>
      </c>
      <c r="C168" s="3">
        <v>105</v>
      </c>
      <c r="D168">
        <f t="shared" si="23"/>
        <v>75.348</v>
      </c>
      <c r="E168">
        <f t="shared" si="24"/>
        <v>2.5874629770064</v>
      </c>
      <c r="F168" s="37"/>
    </row>
    <row r="169" spans="2:6">
      <c r="B169" s="22"/>
      <c r="D169">
        <f>SUM(D145:D168)</f>
        <v>174.7225</v>
      </c>
      <c r="E169">
        <f>SUM(E145:E168)</f>
        <v>4.20524331439855</v>
      </c>
      <c r="F169" s="37">
        <f>D169*E169</f>
        <v>734.750625</v>
      </c>
    </row>
    <row r="170" spans="2:6">
      <c r="B170" s="24"/>
      <c r="C170" s="25"/>
      <c r="D170" s="26" t="s">
        <v>54</v>
      </c>
      <c r="E170" s="26" t="s">
        <v>11</v>
      </c>
      <c r="F170" s="44" t="s">
        <v>55</v>
      </c>
    </row>
    <row r="171" spans="2:2">
      <c r="B171" s="3"/>
    </row>
    <row r="172" spans="1:10">
      <c r="A172" s="1" t="s">
        <v>94</v>
      </c>
      <c r="B172" s="45"/>
      <c r="C172" s="18"/>
      <c r="D172" s="19" t="s">
        <v>7</v>
      </c>
      <c r="E172" s="19" t="s">
        <v>9</v>
      </c>
      <c r="F172" s="18"/>
      <c r="G172" s="20"/>
      <c r="H172" s="19"/>
      <c r="I172" s="19"/>
      <c r="J172" s="21"/>
    </row>
    <row r="173" spans="1:10">
      <c r="A173" s="1">
        <v>0.5</v>
      </c>
      <c r="B173" s="22">
        <v>0.9824</v>
      </c>
      <c r="C173" s="3">
        <v>2</v>
      </c>
      <c r="D173">
        <f t="shared" ref="D173:D178" si="25">C173*B173</f>
        <v>1.9648</v>
      </c>
      <c r="E173">
        <f t="shared" ref="E173:E178" si="26">D173/$D$179*A173</f>
        <v>0.0100431618785129</v>
      </c>
      <c r="J173" s="23"/>
    </row>
    <row r="174" spans="1:10">
      <c r="A174" s="1">
        <v>1</v>
      </c>
      <c r="B174" s="22">
        <v>0.9625</v>
      </c>
      <c r="C174" s="3">
        <v>2</v>
      </c>
      <c r="D174">
        <f t="shared" si="25"/>
        <v>1.925</v>
      </c>
      <c r="E174">
        <f t="shared" si="26"/>
        <v>0.0196794448454167</v>
      </c>
      <c r="J174" s="23"/>
    </row>
    <row r="175" spans="1:10">
      <c r="A175" s="1">
        <v>1.5</v>
      </c>
      <c r="B175" s="22">
        <v>0.9398</v>
      </c>
      <c r="C175" s="3">
        <v>2</v>
      </c>
      <c r="D175">
        <f t="shared" si="25"/>
        <v>1.8796</v>
      </c>
      <c r="E175">
        <f t="shared" si="26"/>
        <v>0.0288229749595677</v>
      </c>
      <c r="J175" s="23"/>
    </row>
    <row r="176" spans="1:10">
      <c r="A176" s="1">
        <v>2</v>
      </c>
      <c r="B176" s="22">
        <v>0.9151</v>
      </c>
      <c r="C176" s="3">
        <v>2</v>
      </c>
      <c r="D176">
        <f t="shared" si="25"/>
        <v>1.8302</v>
      </c>
      <c r="E176">
        <f t="shared" si="26"/>
        <v>0.0374205921621627</v>
      </c>
      <c r="J176" s="23"/>
    </row>
    <row r="177" spans="1:10">
      <c r="A177" s="1">
        <v>2.5</v>
      </c>
      <c r="B177" s="22">
        <v>0.8921</v>
      </c>
      <c r="C177" s="3">
        <v>2</v>
      </c>
      <c r="D177">
        <f t="shared" si="25"/>
        <v>1.7842</v>
      </c>
      <c r="E177">
        <f t="shared" si="26"/>
        <v>0.0456000850560941</v>
      </c>
      <c r="J177" s="23"/>
    </row>
    <row r="178" spans="1:10">
      <c r="A178" s="1">
        <v>3</v>
      </c>
      <c r="B178" s="22">
        <v>0.867</v>
      </c>
      <c r="C178" s="3">
        <v>102</v>
      </c>
      <c r="D178">
        <f t="shared" si="25"/>
        <v>88.434</v>
      </c>
      <c r="E178">
        <f t="shared" si="26"/>
        <v>2.71220575396298</v>
      </c>
      <c r="J178" s="23"/>
    </row>
    <row r="179" spans="2:10">
      <c r="B179" s="46"/>
      <c r="C179" s="3" t="s">
        <v>54</v>
      </c>
      <c r="D179" s="8">
        <f>SUM(D173:D178)</f>
        <v>97.8178</v>
      </c>
      <c r="E179" s="8">
        <f>SUM(E173:E178)</f>
        <v>2.85377201286473</v>
      </c>
      <c r="J179" s="23"/>
    </row>
    <row r="180" spans="2:10">
      <c r="B180" s="46"/>
      <c r="D180" t="s">
        <v>52</v>
      </c>
      <c r="E180">
        <f>D179*E179</f>
        <v>279.1497</v>
      </c>
      <c r="J180" s="23"/>
    </row>
    <row r="181" spans="1:10">
      <c r="A181" s="1" t="s">
        <v>95</v>
      </c>
      <c r="B181" s="22"/>
      <c r="D181" t="s">
        <v>96</v>
      </c>
      <c r="E181" s="8">
        <f>G129/E179</f>
        <v>5.68683217263503</v>
      </c>
      <c r="F181" s="3" t="s">
        <v>97</v>
      </c>
      <c r="J181" s="23"/>
    </row>
    <row r="182" spans="2:10">
      <c r="B182" s="46"/>
      <c r="E182">
        <f>E181/D179</f>
        <v>0.0581369870579284</v>
      </c>
      <c r="F182" s="3" t="s">
        <v>98</v>
      </c>
      <c r="J182" s="23"/>
    </row>
    <row r="183" spans="2:10">
      <c r="B183" s="46"/>
      <c r="J183" s="23"/>
    </row>
    <row r="184" spans="2:10">
      <c r="B184" s="46"/>
      <c r="D184" t="s">
        <v>99</v>
      </c>
      <c r="E184">
        <f>G129/E180</f>
        <v>0.0581369870579284</v>
      </c>
      <c r="J184" s="23"/>
    </row>
    <row r="185" spans="2:10">
      <c r="B185" s="46"/>
      <c r="D185" t="s">
        <v>100</v>
      </c>
      <c r="E185">
        <f>E184*D179</f>
        <v>5.68683217263503</v>
      </c>
      <c r="J185" s="23"/>
    </row>
    <row r="186" spans="2:10">
      <c r="B186" s="46"/>
      <c r="D186" t="s">
        <v>101</v>
      </c>
      <c r="E186">
        <f>10-E185</f>
        <v>4.31316782736497</v>
      </c>
      <c r="F186" s="3" t="s">
        <v>102</v>
      </c>
      <c r="J186" s="23"/>
    </row>
    <row r="187" spans="2:10">
      <c r="B187" s="47"/>
      <c r="C187" s="25"/>
      <c r="D187" s="26"/>
      <c r="E187" s="26"/>
      <c r="F187" s="25"/>
      <c r="G187" s="48"/>
      <c r="H187" s="26"/>
      <c r="I187" s="26"/>
      <c r="J187" s="28"/>
    </row>
    <row r="188" ht="14.75" spans="1:8">
      <c r="A188" s="2" t="s">
        <v>103</v>
      </c>
      <c r="B188" s="3" t="s">
        <v>104</v>
      </c>
      <c r="C188"/>
      <c r="E188" s="3"/>
      <c r="F188" s="4"/>
      <c r="G188"/>
      <c r="H188" t="s">
        <v>105</v>
      </c>
    </row>
    <row r="189" spans="1:12">
      <c r="A189" s="49"/>
      <c r="B189" s="50" t="s">
        <v>57</v>
      </c>
      <c r="C189" s="51" t="s">
        <v>106</v>
      </c>
      <c r="D189" s="51" t="s">
        <v>107</v>
      </c>
      <c r="E189" s="50" t="s">
        <v>108</v>
      </c>
      <c r="F189" s="52" t="s">
        <v>109</v>
      </c>
      <c r="G189"/>
      <c r="H189" s="2"/>
      <c r="I189" s="3" t="s">
        <v>108</v>
      </c>
      <c r="J189" s="4" t="s">
        <v>109</v>
      </c>
      <c r="K189" t="s">
        <v>87</v>
      </c>
      <c r="L189" t="s">
        <v>18</v>
      </c>
    </row>
    <row r="190" spans="1:12">
      <c r="A190" s="53">
        <v>0</v>
      </c>
      <c r="B190" s="3">
        <v>0.25</v>
      </c>
      <c r="C190">
        <v>0.0353</v>
      </c>
      <c r="D190">
        <v>0.9912</v>
      </c>
      <c r="E190" s="3">
        <v>0.0413</v>
      </c>
      <c r="F190" s="54">
        <v>0.9897</v>
      </c>
      <c r="G190"/>
      <c r="H190" s="2">
        <v>0.25</v>
      </c>
      <c r="I190" s="3">
        <v>0.0413</v>
      </c>
      <c r="J190" s="4">
        <v>0.9897</v>
      </c>
      <c r="K190">
        <f>0.45/2*J190</f>
        <v>0.2226825</v>
      </c>
      <c r="L190">
        <f>K190/$K$198*H190</f>
        <v>0.0348874099349981</v>
      </c>
    </row>
    <row r="191" spans="1:12">
      <c r="A191" s="53">
        <v>1</v>
      </c>
      <c r="B191" s="3">
        <v>0.5</v>
      </c>
      <c r="C191">
        <v>0.0356</v>
      </c>
      <c r="D191">
        <v>0.9824</v>
      </c>
      <c r="E191" s="3">
        <v>0.0474</v>
      </c>
      <c r="F191" s="54">
        <v>0.9766</v>
      </c>
      <c r="G191"/>
      <c r="H191" s="2">
        <v>0.75</v>
      </c>
      <c r="I191" s="3">
        <v>0.507</v>
      </c>
      <c r="J191" s="4">
        <v>0.9627</v>
      </c>
      <c r="K191">
        <f t="shared" ref="K191:K197" si="27">0.45/2*J191</f>
        <v>0.2166075</v>
      </c>
      <c r="L191">
        <f t="shared" ref="L191:L197" si="28">K191/$K$198*H191</f>
        <v>0.101806940116468</v>
      </c>
    </row>
    <row r="192" spans="1:12">
      <c r="A192" s="53">
        <v>2</v>
      </c>
      <c r="B192" s="3">
        <v>0.75</v>
      </c>
      <c r="C192">
        <v>0.0377</v>
      </c>
      <c r="D192">
        <v>0.9721</v>
      </c>
      <c r="E192" s="3">
        <v>0.507</v>
      </c>
      <c r="F192" s="54">
        <v>0.9627</v>
      </c>
      <c r="G192"/>
      <c r="H192" s="2">
        <v>1.25</v>
      </c>
      <c r="I192" s="3">
        <v>0.0549</v>
      </c>
      <c r="J192" s="4">
        <v>0.9337</v>
      </c>
      <c r="K192">
        <f t="shared" si="27"/>
        <v>0.2100825</v>
      </c>
      <c r="L192">
        <f t="shared" si="28"/>
        <v>0.164566912480083</v>
      </c>
    </row>
    <row r="193" spans="1:12">
      <c r="A193" s="53">
        <v>3</v>
      </c>
      <c r="B193" s="3">
        <v>1</v>
      </c>
      <c r="C193">
        <v>0.0382</v>
      </c>
      <c r="D193">
        <v>0.9625</v>
      </c>
      <c r="E193" s="3">
        <v>0.0519</v>
      </c>
      <c r="F193" s="54">
        <v>0.9495</v>
      </c>
      <c r="G193"/>
      <c r="H193" s="2">
        <v>1.75</v>
      </c>
      <c r="I193" s="3">
        <v>0.0589</v>
      </c>
      <c r="J193" s="4">
        <v>0.902</v>
      </c>
      <c r="K193">
        <f t="shared" si="27"/>
        <v>0.20295</v>
      </c>
      <c r="L193">
        <f t="shared" si="28"/>
        <v>0.222571593745153</v>
      </c>
    </row>
    <row r="194" spans="1:12">
      <c r="A194" s="53">
        <v>4</v>
      </c>
      <c r="B194" s="3">
        <v>1.25</v>
      </c>
      <c r="C194">
        <v>0.0397</v>
      </c>
      <c r="D194">
        <v>0.9516</v>
      </c>
      <c r="E194" s="3">
        <v>0.0549</v>
      </c>
      <c r="F194" s="54">
        <v>0.9337</v>
      </c>
      <c r="G194"/>
      <c r="H194" s="2">
        <v>2.25</v>
      </c>
      <c r="I194" s="3">
        <v>0.0613</v>
      </c>
      <c r="J194" s="4">
        <v>0.8712</v>
      </c>
      <c r="K194">
        <f t="shared" si="27"/>
        <v>0.19602</v>
      </c>
      <c r="L194">
        <f t="shared" si="28"/>
        <v>0.276392041849382</v>
      </c>
    </row>
    <row r="195" spans="1:12">
      <c r="A195" s="53">
        <v>5</v>
      </c>
      <c r="B195" s="3">
        <v>1.5</v>
      </c>
      <c r="C195">
        <v>0.0414</v>
      </c>
      <c r="D195">
        <v>0.9398</v>
      </c>
      <c r="E195" s="3">
        <v>0.0564</v>
      </c>
      <c r="F195" s="54">
        <v>0.9189</v>
      </c>
      <c r="G195"/>
      <c r="H195" s="2">
        <v>2.75</v>
      </c>
      <c r="I195" s="3">
        <v>0.0631</v>
      </c>
      <c r="J195" s="4">
        <v>0.8406</v>
      </c>
      <c r="K195">
        <f t="shared" si="27"/>
        <v>0.189135</v>
      </c>
      <c r="L195">
        <f t="shared" si="28"/>
        <v>0.325947180665811</v>
      </c>
    </row>
    <row r="196" spans="1:12">
      <c r="A196" s="53">
        <v>6</v>
      </c>
      <c r="B196" s="3">
        <v>1.75</v>
      </c>
      <c r="C196">
        <v>0.0423</v>
      </c>
      <c r="D196">
        <v>0.9287</v>
      </c>
      <c r="E196" s="3">
        <v>0.0589</v>
      </c>
      <c r="F196" s="54">
        <v>0.902</v>
      </c>
      <c r="G196"/>
      <c r="H196" s="2">
        <v>3.25</v>
      </c>
      <c r="I196" s="3">
        <v>0.0642</v>
      </c>
      <c r="J196" s="4">
        <v>0.8117</v>
      </c>
      <c r="K196">
        <f t="shared" si="27"/>
        <v>0.1826325</v>
      </c>
      <c r="L196">
        <f t="shared" si="28"/>
        <v>0.371966695337065</v>
      </c>
    </row>
    <row r="197" spans="1:12">
      <c r="A197" s="53">
        <v>7</v>
      </c>
      <c r="B197" s="3">
        <v>2</v>
      </c>
      <c r="C197">
        <v>0.0443</v>
      </c>
      <c r="D197">
        <v>0.9151</v>
      </c>
      <c r="E197" s="3">
        <v>0.0604</v>
      </c>
      <c r="F197" s="54">
        <v>0.8862</v>
      </c>
      <c r="G197"/>
      <c r="H197" s="2">
        <v>3.75</v>
      </c>
      <c r="I197" s="3">
        <v>0.0661</v>
      </c>
      <c r="J197" s="4">
        <v>0.7805</v>
      </c>
      <c r="K197">
        <f t="shared" si="27"/>
        <v>0.1756125</v>
      </c>
      <c r="L197">
        <f t="shared" si="28"/>
        <v>0.412695111462049</v>
      </c>
    </row>
    <row r="198" spans="1:13">
      <c r="A198" s="53">
        <v>8</v>
      </c>
      <c r="B198" s="3">
        <v>2.25</v>
      </c>
      <c r="C198">
        <v>0.0453</v>
      </c>
      <c r="D198">
        <v>0.9031</v>
      </c>
      <c r="E198" s="3">
        <v>0.0613</v>
      </c>
      <c r="F198" s="54">
        <v>0.8712</v>
      </c>
      <c r="G198"/>
      <c r="H198" s="2"/>
      <c r="I198" s="3"/>
      <c r="K198">
        <f>SUM(K190:K197)</f>
        <v>1.5957225</v>
      </c>
      <c r="L198" s="8">
        <f>SUM(L190:L197)</f>
        <v>1.91083388559101</v>
      </c>
      <c r="M198" s="4" t="s">
        <v>110</v>
      </c>
    </row>
    <row r="199" spans="1:13">
      <c r="A199" s="53">
        <v>9</v>
      </c>
      <c r="B199" s="3">
        <v>2.5</v>
      </c>
      <c r="C199">
        <v>0.0457</v>
      </c>
      <c r="D199">
        <v>0.8921</v>
      </c>
      <c r="E199" s="3">
        <v>0.0623</v>
      </c>
      <c r="F199" s="54">
        <v>0.8558</v>
      </c>
      <c r="G199"/>
      <c r="H199" s="2"/>
      <c r="I199" s="3"/>
      <c r="J199" t="s">
        <v>111</v>
      </c>
      <c r="K199">
        <f>100*(1+7%/2)*0.9897</f>
        <v>102.43395</v>
      </c>
      <c r="L199" s="3" t="s">
        <v>112</v>
      </c>
      <c r="M199" s="4"/>
    </row>
    <row r="200" spans="1:13">
      <c r="A200" s="53">
        <v>10</v>
      </c>
      <c r="B200" s="3">
        <v>2.75</v>
      </c>
      <c r="C200">
        <v>0.0471</v>
      </c>
      <c r="D200">
        <v>0.8786</v>
      </c>
      <c r="E200" s="3">
        <v>0.0631</v>
      </c>
      <c r="F200" s="54">
        <v>0.8406</v>
      </c>
      <c r="G200"/>
      <c r="H200" s="2"/>
      <c r="I200" s="3"/>
      <c r="J200" t="s">
        <v>91</v>
      </c>
      <c r="K200">
        <f>SUM(K198:K199)</f>
        <v>104.0296725</v>
      </c>
      <c r="L200" s="3"/>
      <c r="M200" s="4"/>
    </row>
    <row r="201" spans="1:13">
      <c r="A201" s="53">
        <v>11</v>
      </c>
      <c r="B201" s="3">
        <v>3</v>
      </c>
      <c r="C201">
        <v>0.0476</v>
      </c>
      <c r="D201">
        <v>0.867</v>
      </c>
      <c r="E201" s="3">
        <v>0.0639</v>
      </c>
      <c r="F201" s="54">
        <v>0.8255</v>
      </c>
      <c r="G201"/>
      <c r="H201" s="17" t="s">
        <v>113</v>
      </c>
      <c r="I201" s="18" t="s">
        <v>54</v>
      </c>
      <c r="J201" s="21" t="s">
        <v>11</v>
      </c>
      <c r="L201" s="3"/>
      <c r="M201" s="4"/>
    </row>
    <row r="202" spans="1:13">
      <c r="A202" s="53">
        <v>12</v>
      </c>
      <c r="B202" s="3">
        <v>3.25</v>
      </c>
      <c r="C202">
        <v>0.0489</v>
      </c>
      <c r="D202">
        <v>0.8531</v>
      </c>
      <c r="E202" s="3">
        <v>0.0642</v>
      </c>
      <c r="F202" s="54">
        <v>0.8117</v>
      </c>
      <c r="G202"/>
      <c r="H202" s="47"/>
      <c r="I202" s="25">
        <v>72.51</v>
      </c>
      <c r="J202" s="28">
        <v>4.75</v>
      </c>
      <c r="L202" s="3"/>
      <c r="M202" s="4"/>
    </row>
    <row r="203" spans="1:7">
      <c r="A203" s="53">
        <v>13</v>
      </c>
      <c r="B203" s="3">
        <v>3.5</v>
      </c>
      <c r="C203">
        <v>0.0498</v>
      </c>
      <c r="D203">
        <v>0.84</v>
      </c>
      <c r="E203" s="3">
        <v>0.0652</v>
      </c>
      <c r="F203" s="54">
        <v>0.7959</v>
      </c>
      <c r="G203"/>
    </row>
    <row r="204" spans="1:7">
      <c r="A204" s="53">
        <v>14</v>
      </c>
      <c r="B204" s="3">
        <v>3.75</v>
      </c>
      <c r="C204">
        <v>0.0507</v>
      </c>
      <c r="D204">
        <v>0.8268</v>
      </c>
      <c r="E204" s="3">
        <v>0.0661</v>
      </c>
      <c r="F204" s="54">
        <v>0.7805</v>
      </c>
      <c r="G204"/>
    </row>
    <row r="205" spans="1:13">
      <c r="A205" s="53">
        <v>15</v>
      </c>
      <c r="B205" s="3">
        <v>4</v>
      </c>
      <c r="C205">
        <v>0.0513</v>
      </c>
      <c r="D205">
        <v>0.8145</v>
      </c>
      <c r="E205" s="3">
        <v>0.0666</v>
      </c>
      <c r="F205" s="54">
        <v>0.7663</v>
      </c>
      <c r="G205"/>
      <c r="H205" s="19" t="s">
        <v>86</v>
      </c>
      <c r="I205" s="19"/>
      <c r="J205" s="19"/>
      <c r="K205" s="19"/>
      <c r="L205" s="21"/>
      <c r="M205" s="36"/>
    </row>
    <row r="206" spans="1:13">
      <c r="A206" s="53">
        <v>16</v>
      </c>
      <c r="B206" s="3">
        <v>4.25</v>
      </c>
      <c r="C206">
        <v>0.0518</v>
      </c>
      <c r="D206">
        <v>0.8023</v>
      </c>
      <c r="E206" s="3">
        <v>0.0671</v>
      </c>
      <c r="F206" s="54">
        <v>0.7519</v>
      </c>
      <c r="G206"/>
      <c r="H206" t="s">
        <v>88</v>
      </c>
      <c r="I206" t="s">
        <v>54</v>
      </c>
      <c r="J206" t="s">
        <v>11</v>
      </c>
      <c r="K206" t="s">
        <v>55</v>
      </c>
      <c r="L206" s="23" t="s">
        <v>8</v>
      </c>
      <c r="M206" s="36" t="s">
        <v>89</v>
      </c>
    </row>
    <row r="207" spans="1:13">
      <c r="A207" s="53">
        <v>17</v>
      </c>
      <c r="B207" s="3">
        <v>4.5</v>
      </c>
      <c r="C207">
        <v>0.0526</v>
      </c>
      <c r="D207">
        <v>0.7893</v>
      </c>
      <c r="E207" s="3">
        <v>0.0673</v>
      </c>
      <c r="F207" s="54">
        <v>0.7387</v>
      </c>
      <c r="G207"/>
      <c r="H207" t="s">
        <v>90</v>
      </c>
      <c r="I207" s="1">
        <v>100</v>
      </c>
      <c r="J207">
        <v>0.25</v>
      </c>
      <c r="K207">
        <v>25</v>
      </c>
      <c r="L207" s="23">
        <f>I207/$I$210</f>
        <v>0.805843980546926</v>
      </c>
      <c r="M207" s="71">
        <f>L207*J207</f>
        <v>0.201460995136732</v>
      </c>
    </row>
    <row r="208" spans="1:13">
      <c r="A208" s="53">
        <v>18</v>
      </c>
      <c r="B208" s="3">
        <v>4.75</v>
      </c>
      <c r="C208">
        <v>0.0531</v>
      </c>
      <c r="D208">
        <v>0.777</v>
      </c>
      <c r="E208" s="3">
        <v>0.0677</v>
      </c>
      <c r="F208" s="54">
        <v>0.7251</v>
      </c>
      <c r="G208"/>
      <c r="H208" t="s">
        <v>56</v>
      </c>
      <c r="I208" s="72">
        <v>162.3635</v>
      </c>
      <c r="J208" s="8">
        <v>3.73769477314026</v>
      </c>
      <c r="K208" s="8">
        <v>606.86520529876</v>
      </c>
      <c r="L208" s="23">
        <f>I208/$I$210</f>
        <v>1.30839649135531</v>
      </c>
      <c r="M208" s="71">
        <f>L208*J208</f>
        <v>4.8903867269338</v>
      </c>
    </row>
    <row r="209" spans="1:13">
      <c r="A209" s="53">
        <v>19</v>
      </c>
      <c r="B209" s="3">
        <v>5</v>
      </c>
      <c r="C209">
        <v>0.0538</v>
      </c>
      <c r="D209">
        <v>0.7641</v>
      </c>
      <c r="E209" s="3">
        <v>0.0683</v>
      </c>
      <c r="F209" s="54">
        <v>0.7106</v>
      </c>
      <c r="G209"/>
      <c r="H209" t="s">
        <v>53</v>
      </c>
      <c r="I209" s="72">
        <v>61.73</v>
      </c>
      <c r="J209" s="8">
        <v>5.75</v>
      </c>
      <c r="K209" s="8">
        <f>J209*I209</f>
        <v>354.9475</v>
      </c>
      <c r="L209" s="23">
        <f>I209/$I$210</f>
        <v>0.497447489191618</v>
      </c>
      <c r="M209" s="71">
        <f>L209*J209</f>
        <v>2.8603230628518</v>
      </c>
    </row>
    <row r="210" spans="1:13">
      <c r="A210" s="53">
        <v>20</v>
      </c>
      <c r="B210" s="3">
        <v>5.25</v>
      </c>
      <c r="C210">
        <v>0.0542</v>
      </c>
      <c r="D210">
        <v>0.7525</v>
      </c>
      <c r="E210" s="3">
        <v>0.0686</v>
      </c>
      <c r="F210" s="54">
        <v>0.6977</v>
      </c>
      <c r="G210"/>
      <c r="H210" t="s">
        <v>91</v>
      </c>
      <c r="I210">
        <f>-I207+I208+I209</f>
        <v>124.0935</v>
      </c>
      <c r="L210" s="23"/>
      <c r="M210" s="73">
        <f>-M207+M208+M209</f>
        <v>7.54924879464887</v>
      </c>
    </row>
    <row r="211" spans="1:13">
      <c r="A211" s="53">
        <v>21</v>
      </c>
      <c r="B211" s="3">
        <v>5.5</v>
      </c>
      <c r="C211">
        <v>0.0543</v>
      </c>
      <c r="D211">
        <v>0.7418</v>
      </c>
      <c r="E211" s="3">
        <v>0.0689</v>
      </c>
      <c r="F211" s="54">
        <v>0.6846</v>
      </c>
      <c r="G211"/>
      <c r="H211" s="26"/>
      <c r="I211" s="26"/>
      <c r="J211" s="26"/>
      <c r="K211" s="26" t="s">
        <v>92</v>
      </c>
      <c r="L211" s="28">
        <f>I210*M210</f>
        <v>936.81270529876</v>
      </c>
      <c r="M211" s="36"/>
    </row>
    <row r="212" spans="1:7">
      <c r="A212" s="53">
        <v>22</v>
      </c>
      <c r="B212" s="3">
        <v>5.75</v>
      </c>
      <c r="C212">
        <v>0.0549</v>
      </c>
      <c r="D212">
        <v>0.7293</v>
      </c>
      <c r="E212" s="3">
        <v>0.0693</v>
      </c>
      <c r="F212" s="54">
        <v>0.6713</v>
      </c>
      <c r="G212"/>
    </row>
    <row r="213" ht="14.75" spans="1:7">
      <c r="A213" s="55">
        <v>23</v>
      </c>
      <c r="B213" s="56">
        <v>6</v>
      </c>
      <c r="C213" s="57">
        <v>0.0553</v>
      </c>
      <c r="D213" s="57">
        <v>0.7176</v>
      </c>
      <c r="E213" s="56">
        <v>0.0688</v>
      </c>
      <c r="F213" s="58">
        <v>0.6619</v>
      </c>
      <c r="G213"/>
    </row>
    <row r="214" ht="14.75" spans="9:14">
      <c r="I214" s="1" t="s">
        <v>93</v>
      </c>
      <c r="J214" s="17" t="s">
        <v>58</v>
      </c>
      <c r="K214" s="18" t="s">
        <v>5</v>
      </c>
      <c r="L214" s="19" t="s">
        <v>7</v>
      </c>
      <c r="M214" s="19" t="s">
        <v>18</v>
      </c>
      <c r="N214" s="32"/>
    </row>
    <row r="215" spans="2:14">
      <c r="B215" s="49"/>
      <c r="C215" s="59" t="s">
        <v>114</v>
      </c>
      <c r="D215" s="51" t="s">
        <v>115</v>
      </c>
      <c r="E215" s="60" t="s">
        <v>116</v>
      </c>
      <c r="I215" s="1">
        <v>0.25</v>
      </c>
      <c r="J215" s="22">
        <v>0.9897</v>
      </c>
      <c r="K215" s="3">
        <v>5</v>
      </c>
      <c r="L215">
        <f t="shared" ref="L215:L238" si="29">K215*J215</f>
        <v>4.9485</v>
      </c>
      <c r="M215">
        <f t="shared" ref="M215:M238" si="30">L215/$D$169*I215</f>
        <v>0.00708051338551131</v>
      </c>
      <c r="N215" s="37"/>
    </row>
    <row r="216" spans="2:14">
      <c r="B216" s="61" t="s">
        <v>117</v>
      </c>
      <c r="C216" s="62">
        <v>10</v>
      </c>
      <c r="D216" s="63">
        <v>8.948</v>
      </c>
      <c r="E216" s="64">
        <f>C216-D216</f>
        <v>1.052</v>
      </c>
      <c r="I216" s="1">
        <v>0.5</v>
      </c>
      <c r="J216" s="22">
        <v>0.9766</v>
      </c>
      <c r="K216" s="3">
        <v>5</v>
      </c>
      <c r="L216">
        <f t="shared" si="29"/>
        <v>4.883</v>
      </c>
      <c r="M216">
        <f t="shared" si="30"/>
        <v>0.0139735866874615</v>
      </c>
      <c r="N216" s="37"/>
    </row>
    <row r="217" spans="2:14">
      <c r="B217" s="65" t="s">
        <v>118</v>
      </c>
      <c r="C217" s="43"/>
      <c r="D217" s="26"/>
      <c r="E217" s="66"/>
      <c r="I217" s="1">
        <v>0.75</v>
      </c>
      <c r="J217" s="22">
        <v>0.9627</v>
      </c>
      <c r="K217" s="3">
        <v>5</v>
      </c>
      <c r="L217">
        <f t="shared" si="29"/>
        <v>4.8135</v>
      </c>
      <c r="M217">
        <f t="shared" si="30"/>
        <v>0.0206620498218604</v>
      </c>
      <c r="N217" s="37"/>
    </row>
    <row r="218" ht="14.75" spans="2:14">
      <c r="B218" s="55" t="s">
        <v>119</v>
      </c>
      <c r="C218" s="67"/>
      <c r="D218" s="57"/>
      <c r="E218" s="68"/>
      <c r="I218" s="1">
        <v>1</v>
      </c>
      <c r="J218" s="22">
        <v>0.9495</v>
      </c>
      <c r="K218" s="3">
        <v>5</v>
      </c>
      <c r="L218">
        <f t="shared" si="29"/>
        <v>4.7475</v>
      </c>
      <c r="M218">
        <f t="shared" si="30"/>
        <v>0.0271716579146933</v>
      </c>
      <c r="N218" s="37"/>
    </row>
    <row r="219" spans="9:14">
      <c r="I219" s="1">
        <v>1.25</v>
      </c>
      <c r="J219" s="22">
        <v>0.9337</v>
      </c>
      <c r="K219" s="3">
        <v>5</v>
      </c>
      <c r="L219">
        <f t="shared" si="29"/>
        <v>4.6685</v>
      </c>
      <c r="M219">
        <f t="shared" si="30"/>
        <v>0.0333993904620183</v>
      </c>
      <c r="N219" s="37"/>
    </row>
    <row r="220" spans="2:14">
      <c r="B220" s="1" t="s">
        <v>120</v>
      </c>
      <c r="C220" s="2"/>
      <c r="D220" s="3"/>
      <c r="F220"/>
      <c r="G220" s="3"/>
      <c r="H220" s="4"/>
      <c r="I220" s="1">
        <v>1.5</v>
      </c>
      <c r="J220" s="22">
        <v>0.9189</v>
      </c>
      <c r="K220" s="3">
        <v>5</v>
      </c>
      <c r="L220">
        <f t="shared" si="29"/>
        <v>4.5945</v>
      </c>
      <c r="M220">
        <f t="shared" si="30"/>
        <v>0.0394439754467799</v>
      </c>
      <c r="N220" s="37"/>
    </row>
    <row r="221" spans="2:14">
      <c r="B221" s="17" t="s">
        <v>77</v>
      </c>
      <c r="C221" s="18" t="s">
        <v>54</v>
      </c>
      <c r="D221" s="19" t="s">
        <v>78</v>
      </c>
      <c r="E221" s="19" t="s">
        <v>11</v>
      </c>
      <c r="F221" s="18" t="s">
        <v>55</v>
      </c>
      <c r="G221" s="20" t="s">
        <v>79</v>
      </c>
      <c r="H221" s="21"/>
      <c r="I221" s="1">
        <v>1.75</v>
      </c>
      <c r="J221" s="22">
        <v>0.902</v>
      </c>
      <c r="K221" s="3">
        <v>5</v>
      </c>
      <c r="L221">
        <f t="shared" si="29"/>
        <v>4.51</v>
      </c>
      <c r="M221">
        <f t="shared" si="30"/>
        <v>0.0451716292978866</v>
      </c>
      <c r="N221" s="37"/>
    </row>
    <row r="222" spans="1:14">
      <c r="A222" s="1" t="s">
        <v>80</v>
      </c>
      <c r="B222" s="22">
        <v>20</v>
      </c>
      <c r="C222" s="16">
        <v>124.0935</v>
      </c>
      <c r="D222" s="69">
        <v>0.13653508098237</v>
      </c>
      <c r="E222" s="8">
        <v>7.54924879464887</v>
      </c>
      <c r="F222" s="16">
        <v>936.81270529876</v>
      </c>
      <c r="G222" s="7">
        <f t="shared" ref="G222:G224" si="31">F222*D222</f>
        <v>127.907798583279</v>
      </c>
      <c r="H222" s="23"/>
      <c r="I222" s="1">
        <v>2</v>
      </c>
      <c r="J222" s="22">
        <v>0.8862</v>
      </c>
      <c r="K222" s="3">
        <v>5</v>
      </c>
      <c r="L222">
        <f t="shared" si="29"/>
        <v>4.431</v>
      </c>
      <c r="M222">
        <f t="shared" si="30"/>
        <v>0.0507204281074275</v>
      </c>
      <c r="N222" s="37"/>
    </row>
    <row r="223" spans="1:14">
      <c r="A223" s="1" t="s">
        <v>81</v>
      </c>
      <c r="B223" s="22">
        <v>20</v>
      </c>
      <c r="C223" s="3">
        <v>104.0296725</v>
      </c>
      <c r="D223">
        <v>0.196805812147967</v>
      </c>
      <c r="E223">
        <v>0.526825948334637</v>
      </c>
      <c r="F223" s="3">
        <f>C223*E223</f>
        <v>54.8055308697542</v>
      </c>
      <c r="G223" s="4">
        <f t="shared" si="31"/>
        <v>10.7860470130225</v>
      </c>
      <c r="H223" s="23"/>
      <c r="I223" s="1">
        <v>2.25</v>
      </c>
      <c r="J223" s="22">
        <v>0.8712</v>
      </c>
      <c r="K223" s="3">
        <v>5</v>
      </c>
      <c r="L223">
        <f t="shared" si="29"/>
        <v>4.356</v>
      </c>
      <c r="M223">
        <f t="shared" si="30"/>
        <v>0.0560946643964</v>
      </c>
      <c r="N223" s="37"/>
    </row>
    <row r="224" spans="1:14">
      <c r="A224" s="1" t="s">
        <v>82</v>
      </c>
      <c r="B224" s="22">
        <v>-30</v>
      </c>
      <c r="C224" s="16">
        <v>72.51</v>
      </c>
      <c r="D224">
        <v>-0.392618767177071</v>
      </c>
      <c r="E224" s="8">
        <v>4.75</v>
      </c>
      <c r="F224" s="3">
        <f>E224*C224</f>
        <v>344.4225</v>
      </c>
      <c r="G224" s="4">
        <f t="shared" si="31"/>
        <v>-135.226737338045</v>
      </c>
      <c r="H224" s="23"/>
      <c r="I224" s="1">
        <v>2.5</v>
      </c>
      <c r="J224" s="22">
        <v>0.8558</v>
      </c>
      <c r="K224" s="3">
        <v>5</v>
      </c>
      <c r="L224">
        <f t="shared" si="29"/>
        <v>4.279</v>
      </c>
      <c r="M224">
        <f t="shared" si="30"/>
        <v>0.0612256578288429</v>
      </c>
      <c r="N224" s="37"/>
    </row>
    <row r="225" spans="1:14">
      <c r="A225" s="2" t="s">
        <v>83</v>
      </c>
      <c r="B225" s="24" t="s">
        <v>84</v>
      </c>
      <c r="C225" s="25"/>
      <c r="D225" s="26"/>
      <c r="E225" s="26"/>
      <c r="F225" s="25" t="s">
        <v>85</v>
      </c>
      <c r="G225" s="27">
        <f>SUM(G222:G224)</f>
        <v>3.46710825825645</v>
      </c>
      <c r="H225" s="28"/>
      <c r="I225" s="1">
        <v>2.75</v>
      </c>
      <c r="J225" s="22">
        <v>0.8406</v>
      </c>
      <c r="K225" s="3">
        <v>5</v>
      </c>
      <c r="L225">
        <f t="shared" si="29"/>
        <v>4.203</v>
      </c>
      <c r="M225">
        <f t="shared" si="30"/>
        <v>0.0661520410937343</v>
      </c>
      <c r="N225" s="37"/>
    </row>
    <row r="226" spans="4:14">
      <c r="D226" s="70" t="s">
        <v>121</v>
      </c>
      <c r="I226" s="1">
        <v>3</v>
      </c>
      <c r="J226" s="22">
        <v>0.8255</v>
      </c>
      <c r="K226" s="3">
        <v>5</v>
      </c>
      <c r="L226">
        <f t="shared" si="29"/>
        <v>4.1275</v>
      </c>
      <c r="M226">
        <f t="shared" si="30"/>
        <v>0.0708695216700768</v>
      </c>
      <c r="N226" s="37"/>
    </row>
    <row r="227" spans="3:14">
      <c r="C227" s="3" t="s">
        <v>122</v>
      </c>
      <c r="I227" s="1">
        <v>3.25</v>
      </c>
      <c r="J227" s="22">
        <v>0.8117</v>
      </c>
      <c r="K227" s="3">
        <v>5</v>
      </c>
      <c r="L227">
        <f t="shared" si="29"/>
        <v>4.0585</v>
      </c>
      <c r="M227">
        <f t="shared" si="30"/>
        <v>0.0754918513643062</v>
      </c>
      <c r="N227" s="37"/>
    </row>
    <row r="228" spans="3:14">
      <c r="C228" s="3">
        <f>C222*D222</f>
        <v>16.9431160718857</v>
      </c>
      <c r="I228" s="1">
        <v>3.5</v>
      </c>
      <c r="J228" s="22">
        <v>0.7959</v>
      </c>
      <c r="K228" s="3">
        <v>5</v>
      </c>
      <c r="L228">
        <f t="shared" si="29"/>
        <v>3.9795</v>
      </c>
      <c r="M228">
        <f t="shared" si="30"/>
        <v>0.0797164074460931</v>
      </c>
      <c r="N228" s="37"/>
    </row>
    <row r="229" spans="3:14">
      <c r="C229" s="3">
        <f>C223*D223</f>
        <v>20.4736441838495</v>
      </c>
      <c r="I229" s="1">
        <v>3.75</v>
      </c>
      <c r="J229" s="22">
        <v>0.7805</v>
      </c>
      <c r="K229" s="3">
        <v>5</v>
      </c>
      <c r="L229">
        <f t="shared" si="29"/>
        <v>3.9025</v>
      </c>
      <c r="M229">
        <f t="shared" si="30"/>
        <v>0.0837578159653164</v>
      </c>
      <c r="N229" s="37"/>
    </row>
    <row r="230" spans="3:14">
      <c r="C230" s="3">
        <f>C224*D224</f>
        <v>-28.4687868080094</v>
      </c>
      <c r="I230" s="1">
        <v>4</v>
      </c>
      <c r="J230" s="22">
        <v>0.7663</v>
      </c>
      <c r="K230" s="3">
        <v>5</v>
      </c>
      <c r="L230">
        <f t="shared" si="29"/>
        <v>3.8315</v>
      </c>
      <c r="M230">
        <f t="shared" si="30"/>
        <v>0.0877162357452532</v>
      </c>
      <c r="N230" s="37"/>
    </row>
    <row r="231" spans="3:14">
      <c r="C231" s="3">
        <f>SUM(C228:C230)</f>
        <v>8.94797344772581</v>
      </c>
      <c r="I231" s="1">
        <v>4.25</v>
      </c>
      <c r="J231" s="22">
        <v>0.7519</v>
      </c>
      <c r="K231" s="3">
        <v>5</v>
      </c>
      <c r="L231">
        <f t="shared" si="29"/>
        <v>3.7595</v>
      </c>
      <c r="M231">
        <f t="shared" si="30"/>
        <v>0.0914471519123181</v>
      </c>
      <c r="N231" s="37"/>
    </row>
    <row r="232" spans="9:14">
      <c r="I232" s="1">
        <v>4.5</v>
      </c>
      <c r="J232" s="22">
        <v>0.7387</v>
      </c>
      <c r="K232" s="3">
        <v>5</v>
      </c>
      <c r="L232">
        <f t="shared" si="29"/>
        <v>3.6935</v>
      </c>
      <c r="M232">
        <f t="shared" si="30"/>
        <v>0.095126557827412</v>
      </c>
      <c r="N232" s="37"/>
    </row>
    <row r="233" spans="9:15">
      <c r="I233" s="1">
        <v>4.75</v>
      </c>
      <c r="J233" s="22">
        <v>0.7251</v>
      </c>
      <c r="K233" s="3">
        <v>5</v>
      </c>
      <c r="L233">
        <f t="shared" si="29"/>
        <v>3.6255</v>
      </c>
      <c r="M233">
        <f t="shared" si="30"/>
        <v>0.0985627208859763</v>
      </c>
      <c r="N233" s="37"/>
      <c r="O233" s="36"/>
    </row>
    <row r="234" spans="9:15">
      <c r="I234" s="1">
        <v>5</v>
      </c>
      <c r="J234" s="22">
        <v>0.7106</v>
      </c>
      <c r="K234" s="3">
        <v>5</v>
      </c>
      <c r="L234">
        <f t="shared" si="29"/>
        <v>3.553</v>
      </c>
      <c r="M234">
        <f t="shared" si="30"/>
        <v>0.101675514029389</v>
      </c>
      <c r="N234" s="37"/>
      <c r="O234" s="36"/>
    </row>
    <row r="235" spans="9:15">
      <c r="I235" s="1">
        <v>5.25</v>
      </c>
      <c r="J235" s="22">
        <v>0.6977</v>
      </c>
      <c r="K235" s="3">
        <v>5</v>
      </c>
      <c r="L235">
        <f t="shared" si="29"/>
        <v>3.4885</v>
      </c>
      <c r="M235">
        <f t="shared" si="30"/>
        <v>0.104821216500451</v>
      </c>
      <c r="N235" s="37"/>
      <c r="O235" s="36"/>
    </row>
    <row r="236" spans="9:15">
      <c r="I236" s="1">
        <v>5.5</v>
      </c>
      <c r="J236" s="22">
        <v>0.6846</v>
      </c>
      <c r="K236" s="3">
        <v>5</v>
      </c>
      <c r="L236">
        <f t="shared" si="29"/>
        <v>3.423</v>
      </c>
      <c r="M236">
        <f t="shared" si="30"/>
        <v>0.1077508620813</v>
      </c>
      <c r="N236" s="37"/>
      <c r="O236" s="36"/>
    </row>
    <row r="237" spans="9:15">
      <c r="I237" s="1">
        <v>5.75</v>
      </c>
      <c r="J237" s="22">
        <v>0.6713</v>
      </c>
      <c r="K237" s="3">
        <v>105</v>
      </c>
      <c r="L237">
        <f t="shared" si="29"/>
        <v>70.4865</v>
      </c>
      <c r="M237">
        <f t="shared" si="30"/>
        <v>2.31966332326976</v>
      </c>
      <c r="N237" s="37"/>
      <c r="O237" s="36"/>
    </row>
    <row r="238" spans="9:15">
      <c r="I238" s="1"/>
      <c r="J238" s="22"/>
      <c r="K238" s="3"/>
      <c r="L238">
        <f>SUM(L215:L237)</f>
        <v>162.3635</v>
      </c>
      <c r="M238">
        <f>SUM(M215:M237)</f>
        <v>3.73769477314026</v>
      </c>
      <c r="N238" s="37">
        <f>L238*M238</f>
        <v>606.86520529876</v>
      </c>
      <c r="O238" s="36"/>
    </row>
    <row r="239" spans="9:15">
      <c r="I239" s="1"/>
      <c r="J239" s="24"/>
      <c r="K239" s="25"/>
      <c r="L239" s="26" t="s">
        <v>54</v>
      </c>
      <c r="M239" s="26" t="s">
        <v>11</v>
      </c>
      <c r="N239" s="44" t="s">
        <v>55</v>
      </c>
      <c r="O239" s="36"/>
    </row>
    <row r="240" spans="8:15">
      <c r="H240" s="36"/>
      <c r="I240" s="36"/>
      <c r="J240" s="36"/>
      <c r="K240" s="36"/>
      <c r="L240" s="36"/>
      <c r="M240" s="36"/>
      <c r="N240" s="36"/>
      <c r="O240" s="36"/>
    </row>
    <row r="241" spans="8:15">
      <c r="H241" s="36"/>
      <c r="I241" s="36"/>
      <c r="J241" s="36"/>
      <c r="K241" s="36"/>
      <c r="L241" s="36"/>
      <c r="M241" s="36"/>
      <c r="N241" s="36"/>
      <c r="O241" s="36"/>
    </row>
    <row r="242" spans="8:15">
      <c r="H242" s="36"/>
      <c r="I242" s="36"/>
      <c r="J242" s="36"/>
      <c r="K242" s="36"/>
      <c r="L242" s="36"/>
      <c r="M242" s="36"/>
      <c r="N242" s="36"/>
      <c r="O242" s="36"/>
    </row>
    <row r="243" spans="8:15">
      <c r="H243" s="36"/>
      <c r="I243" s="36"/>
      <c r="J243" s="36"/>
      <c r="K243" s="36"/>
      <c r="L243" s="36"/>
      <c r="M243" s="36"/>
      <c r="N243" s="36"/>
      <c r="O243" s="36"/>
    </row>
    <row r="244" spans="8:15">
      <c r="H244" s="36"/>
      <c r="I244" s="36"/>
      <c r="J244" s="36"/>
      <c r="K244" s="36"/>
      <c r="L244" s="36"/>
      <c r="M244" s="36"/>
      <c r="N244" s="36"/>
      <c r="O244" s="36"/>
    </row>
    <row r="245" spans="8:15">
      <c r="H245" s="39"/>
      <c r="N245" s="36"/>
      <c r="O245" s="36"/>
    </row>
    <row r="246" spans="8:8">
      <c r="H246" s="35"/>
    </row>
    <row r="247" spans="8:8">
      <c r="H247" s="35"/>
    </row>
    <row r="248" spans="8:8">
      <c r="H248" s="35"/>
    </row>
    <row r="249" spans="8:8">
      <c r="H249" s="35"/>
    </row>
    <row r="250" spans="8:8">
      <c r="H250" s="36"/>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zcb2000</dc:creator>
  <cp:lastModifiedBy>Cheung</cp:lastModifiedBy>
  <dcterms:created xsi:type="dcterms:W3CDTF">2020-12-13T10:22:00Z</dcterms:created>
  <dcterms:modified xsi:type="dcterms:W3CDTF">2020-12-15T08:48:02Z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