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3_{C62B2506-7831-4A9E-AA5C-C71EE053895F}" xr6:coauthVersionLast="36" xr6:coauthVersionMax="36" xr10:uidLastSave="{00000000-0000-0000-0000-000000000000}"/>
  <bookViews>
    <workbookView xWindow="0" yWindow="0" windowWidth="14370" windowHeight="11145" tabRatio="616" activeTab="1" xr2:uid="{00000000-000D-0000-FFFF-FFFF00000000}"/>
  </bookViews>
  <sheets>
    <sheet name="Compact" sheetId="1" r:id="rId1"/>
    <sheet name="Sortable" sheetId="5" r:id="rId2"/>
  </sheets>
  <definedNames>
    <definedName name="_xlnm._FilterDatabase" localSheetId="0" hidden="1">Compact!$C$1:$C$73</definedName>
    <definedName name="_xlnm._FilterDatabase" localSheetId="1" hidden="1">Sortable!$A$1:$BM$46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G44" i="5" l="1"/>
  <c r="BH44" i="5" s="1"/>
  <c r="BK3" i="5"/>
  <c r="BI44" i="5" l="1"/>
  <c r="BJ44" i="5"/>
  <c r="BJ23" i="5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D74" i="1"/>
  <c r="AF73" i="1"/>
  <c r="Z73" i="1"/>
  <c r="AA73" i="1"/>
  <c r="Y73" i="1"/>
  <c r="T73" i="1"/>
  <c r="U73" i="1"/>
  <c r="V73" i="1"/>
  <c r="S73" i="1"/>
  <c r="R73" i="1"/>
  <c r="O73" i="1"/>
  <c r="P73" i="1"/>
  <c r="Q73" i="1"/>
  <c r="N73" i="1"/>
  <c r="M73" i="1"/>
  <c r="J73" i="1"/>
  <c r="I73" i="1"/>
  <c r="H73" i="1"/>
  <c r="K73" i="1"/>
  <c r="L73" i="1"/>
  <c r="G71" i="1"/>
  <c r="H71" i="1"/>
  <c r="I71" i="1"/>
  <c r="J71" i="1"/>
  <c r="K71" i="1"/>
  <c r="L71" i="1"/>
  <c r="L72" i="1" s="1"/>
  <c r="M71" i="1"/>
  <c r="M72" i="1" s="1"/>
  <c r="N71" i="1"/>
  <c r="N72" i="1" s="1"/>
  <c r="O71" i="1"/>
  <c r="O72" i="1" s="1"/>
  <c r="P71" i="1"/>
  <c r="P72" i="1" s="1"/>
  <c r="Q71" i="1"/>
  <c r="R71" i="1"/>
  <c r="S71" i="1"/>
  <c r="T71" i="1"/>
  <c r="U71" i="1"/>
  <c r="V71" i="1"/>
  <c r="W71" i="1"/>
  <c r="X71" i="1"/>
  <c r="X72" i="1" s="1"/>
  <c r="Y71" i="1"/>
  <c r="Y72" i="1" s="1"/>
  <c r="Z71" i="1"/>
  <c r="Z72" i="1" s="1"/>
  <c r="AA71" i="1"/>
  <c r="AA72" i="1" s="1"/>
  <c r="AB71" i="1"/>
  <c r="AB72" i="1" s="1"/>
  <c r="AC71" i="1"/>
  <c r="AC73" i="1" s="1"/>
  <c r="AD71" i="1"/>
  <c r="AD73" i="1" s="1"/>
  <c r="AE71" i="1"/>
  <c r="AF71" i="1"/>
  <c r="AG71" i="1"/>
  <c r="AH71" i="1"/>
  <c r="AI71" i="1"/>
  <c r="AJ71" i="1"/>
  <c r="AJ72" i="1" s="1"/>
  <c r="AK71" i="1"/>
  <c r="AK72" i="1" s="1"/>
  <c r="AL71" i="1"/>
  <c r="AL72" i="1" s="1"/>
  <c r="AM71" i="1"/>
  <c r="AM72" i="1" s="1"/>
  <c r="AN71" i="1"/>
  <c r="AN72" i="1" s="1"/>
  <c r="AO71" i="1"/>
  <c r="AO73" i="1" s="1"/>
  <c r="AP71" i="1"/>
  <c r="AP73" i="1" s="1"/>
  <c r="AQ71" i="1"/>
  <c r="AR71" i="1"/>
  <c r="AS71" i="1"/>
  <c r="AT71" i="1"/>
  <c r="AU71" i="1"/>
  <c r="AV71" i="1"/>
  <c r="AV72" i="1" s="1"/>
  <c r="AW71" i="1"/>
  <c r="AW72" i="1" s="1"/>
  <c r="G72" i="1"/>
  <c r="H72" i="1"/>
  <c r="I72" i="1"/>
  <c r="J72" i="1"/>
  <c r="K72" i="1"/>
  <c r="S72" i="1"/>
  <c r="T72" i="1"/>
  <c r="U72" i="1"/>
  <c r="V72" i="1"/>
  <c r="W72" i="1"/>
  <c r="AE72" i="1"/>
  <c r="AF72" i="1"/>
  <c r="AG72" i="1"/>
  <c r="AH72" i="1"/>
  <c r="AI72" i="1"/>
  <c r="AQ72" i="1"/>
  <c r="AR72" i="1"/>
  <c r="AS72" i="1"/>
  <c r="AT72" i="1"/>
  <c r="AU72" i="1"/>
  <c r="G73" i="1"/>
  <c r="W73" i="1"/>
  <c r="X73" i="1"/>
  <c r="AB73" i="1"/>
  <c r="AE73" i="1"/>
  <c r="AG73" i="1"/>
  <c r="AH73" i="1"/>
  <c r="AI73" i="1"/>
  <c r="AJ73" i="1"/>
  <c r="AK73" i="1"/>
  <c r="AL73" i="1"/>
  <c r="AM73" i="1"/>
  <c r="AN73" i="1"/>
  <c r="AQ73" i="1"/>
  <c r="AR73" i="1"/>
  <c r="AS73" i="1"/>
  <c r="AT73" i="1"/>
  <c r="AU73" i="1"/>
  <c r="AV73" i="1"/>
  <c r="AW73" i="1"/>
  <c r="E71" i="1"/>
  <c r="E72" i="1" s="1"/>
  <c r="F71" i="1"/>
  <c r="F72" i="1" s="1"/>
  <c r="E73" i="1"/>
  <c r="F73" i="1"/>
  <c r="D73" i="1"/>
  <c r="D72" i="1"/>
  <c r="D71" i="1"/>
  <c r="AV57" i="1"/>
  <c r="AV56" i="1"/>
  <c r="AV55" i="1"/>
  <c r="AV64" i="1"/>
  <c r="AV61" i="1"/>
  <c r="AV66" i="1" s="1"/>
  <c r="AU64" i="1"/>
  <c r="AU61" i="1"/>
  <c r="AU66" i="1" s="1"/>
  <c r="AQ64" i="1"/>
  <c r="AQ61" i="1"/>
  <c r="AQ66" i="1" s="1"/>
  <c r="AW66" i="1"/>
  <c r="AW64" i="1"/>
  <c r="AW61" i="1"/>
  <c r="AW65" i="1" s="1"/>
  <c r="AT66" i="1"/>
  <c r="AT64" i="1"/>
  <c r="AT61" i="1"/>
  <c r="AT65" i="1" s="1"/>
  <c r="AS64" i="1"/>
  <c r="AS61" i="1"/>
  <c r="AS65" i="1" s="1"/>
  <c r="AR66" i="1"/>
  <c r="AR64" i="1"/>
  <c r="AR61" i="1"/>
  <c r="AR65" i="1" s="1"/>
  <c r="AN64" i="1"/>
  <c r="AN61" i="1"/>
  <c r="AN66" i="1" s="1"/>
  <c r="AO64" i="1"/>
  <c r="AO61" i="1"/>
  <c r="AO66" i="1" s="1"/>
  <c r="AM66" i="1"/>
  <c r="AM65" i="1"/>
  <c r="AM64" i="1"/>
  <c r="AM61" i="1"/>
  <c r="AP64" i="1"/>
  <c r="AP61" i="1"/>
  <c r="AP66" i="1" s="1"/>
  <c r="AL64" i="1"/>
  <c r="AL61" i="1"/>
  <c r="AL65" i="1" s="1"/>
  <c r="AJ64" i="1"/>
  <c r="AJ61" i="1"/>
  <c r="AJ65" i="1" s="1"/>
  <c r="AI64" i="1"/>
  <c r="AI61" i="1"/>
  <c r="AI66" i="1" s="1"/>
  <c r="AK64" i="1"/>
  <c r="AK61" i="1"/>
  <c r="AK65" i="1" s="1"/>
  <c r="L64" i="1"/>
  <c r="L61" i="1"/>
  <c r="L65" i="1" s="1"/>
  <c r="W64" i="1"/>
  <c r="W61" i="1"/>
  <c r="W65" i="1" s="1"/>
  <c r="T65" i="1"/>
  <c r="T64" i="1"/>
  <c r="T61" i="1"/>
  <c r="T66" i="1" s="1"/>
  <c r="AF64" i="1"/>
  <c r="AF61" i="1"/>
  <c r="AF66" i="1" s="1"/>
  <c r="Y66" i="1"/>
  <c r="Y65" i="1"/>
  <c r="Y64" i="1"/>
  <c r="Y61" i="1"/>
  <c r="Z64" i="1"/>
  <c r="Z61" i="1"/>
  <c r="Z66" i="1" s="1"/>
  <c r="X64" i="1"/>
  <c r="X61" i="1"/>
  <c r="X65" i="1" s="1"/>
  <c r="AA64" i="1"/>
  <c r="AA61" i="1"/>
  <c r="AA65" i="1" s="1"/>
  <c r="AG64" i="1"/>
  <c r="AG61" i="1"/>
  <c r="AG66" i="1" s="1"/>
  <c r="AC66" i="1"/>
  <c r="AC64" i="1"/>
  <c r="AC61" i="1"/>
  <c r="AC65" i="1" s="1"/>
  <c r="AB64" i="1"/>
  <c r="AB61" i="1"/>
  <c r="AB65" i="1" s="1"/>
  <c r="AE64" i="1"/>
  <c r="AE61" i="1"/>
  <c r="AE65" i="1" s="1"/>
  <c r="AD64" i="1"/>
  <c r="AD61" i="1"/>
  <c r="AD65" i="1" s="1"/>
  <c r="Q66" i="1"/>
  <c r="Q65" i="1"/>
  <c r="Q64" i="1"/>
  <c r="Q61" i="1"/>
  <c r="V64" i="1"/>
  <c r="V61" i="1"/>
  <c r="V66" i="1" s="1"/>
  <c r="R62" i="1"/>
  <c r="R64" i="1" s="1"/>
  <c r="R61" i="1"/>
  <c r="R66" i="1" s="1"/>
  <c r="U64" i="1"/>
  <c r="U61" i="1"/>
  <c r="U65" i="1" s="1"/>
  <c r="S66" i="1"/>
  <c r="S65" i="1"/>
  <c r="S64" i="1"/>
  <c r="S61" i="1"/>
  <c r="K64" i="1"/>
  <c r="K61" i="1"/>
  <c r="K65" i="1" s="1"/>
  <c r="M66" i="1"/>
  <c r="M65" i="1"/>
  <c r="M64" i="1"/>
  <c r="M61" i="1"/>
  <c r="J64" i="1"/>
  <c r="J61" i="1"/>
  <c r="J66" i="1" s="1"/>
  <c r="P64" i="1"/>
  <c r="P61" i="1"/>
  <c r="P65" i="1" s="1"/>
  <c r="O64" i="1"/>
  <c r="O61" i="1"/>
  <c r="O66" i="1" s="1"/>
  <c r="N66" i="1"/>
  <c r="N64" i="1"/>
  <c r="N61" i="1"/>
  <c r="N65" i="1" s="1"/>
  <c r="F66" i="1"/>
  <c r="F64" i="1"/>
  <c r="F61" i="1"/>
  <c r="F65" i="1" s="1"/>
  <c r="E64" i="1"/>
  <c r="E61" i="1"/>
  <c r="E66" i="1" s="1"/>
  <c r="I66" i="1"/>
  <c r="I64" i="1"/>
  <c r="I61" i="1"/>
  <c r="I65" i="1" s="1"/>
  <c r="D66" i="1"/>
  <c r="D64" i="1"/>
  <c r="D61" i="1"/>
  <c r="D65" i="1" s="1"/>
  <c r="G64" i="1"/>
  <c r="G61" i="1"/>
  <c r="G65" i="1" s="1"/>
  <c r="H64" i="1"/>
  <c r="H61" i="1"/>
  <c r="H66" i="1" s="1"/>
  <c r="BG29" i="5"/>
  <c r="BH29" i="5" s="1"/>
  <c r="BG27" i="5"/>
  <c r="BH27" i="5" s="1"/>
  <c r="BG25" i="5"/>
  <c r="BH25" i="5" s="1"/>
  <c r="BG39" i="5"/>
  <c r="BH39" i="5" s="1"/>
  <c r="BG37" i="5"/>
  <c r="BH37" i="5" s="1"/>
  <c r="BG22" i="5"/>
  <c r="BH22" i="5" s="1"/>
  <c r="BG20" i="5"/>
  <c r="BH20" i="5" s="1"/>
  <c r="BG45" i="5"/>
  <c r="BH45" i="5" s="1"/>
  <c r="BG11" i="5"/>
  <c r="BH11" i="5" s="1"/>
  <c r="BG8" i="5"/>
  <c r="BH8" i="5" s="1"/>
  <c r="BG15" i="5"/>
  <c r="BH15" i="5" s="1"/>
  <c r="BG36" i="5"/>
  <c r="BH36" i="5" s="1"/>
  <c r="BG38" i="5"/>
  <c r="BH38" i="5" s="1"/>
  <c r="BG9" i="5"/>
  <c r="BH9" i="5" s="1"/>
  <c r="BG21" i="5"/>
  <c r="BH21" i="5" s="1"/>
  <c r="BG13" i="5"/>
  <c r="BH13" i="5" s="1"/>
  <c r="BG17" i="5"/>
  <c r="BH17" i="5" s="1"/>
  <c r="BI17" i="5" s="1"/>
  <c r="BG6" i="5"/>
  <c r="BH6" i="5" s="1"/>
  <c r="BG7" i="5"/>
  <c r="BH7" i="5" s="1"/>
  <c r="BG10" i="5"/>
  <c r="BH10" i="5" s="1"/>
  <c r="BG14" i="5"/>
  <c r="BH14" i="5" s="1"/>
  <c r="BG35" i="5"/>
  <c r="BH35" i="5" s="1"/>
  <c r="BG33" i="5"/>
  <c r="BH33" i="5" s="1"/>
  <c r="BG16" i="5"/>
  <c r="BH16" i="5" s="1"/>
  <c r="BG18" i="5"/>
  <c r="BH18" i="5" s="1"/>
  <c r="BG23" i="5"/>
  <c r="BH23" i="5" s="1"/>
  <c r="BI23" i="5" s="1"/>
  <c r="BG5" i="5"/>
  <c r="BH5" i="5" s="1"/>
  <c r="BG42" i="5"/>
  <c r="BH42" i="5" s="1"/>
  <c r="BG41" i="5"/>
  <c r="BH41" i="5" s="1"/>
  <c r="BG40" i="5"/>
  <c r="BH40" i="5" s="1"/>
  <c r="BG3" i="5"/>
  <c r="BH3" i="5" s="1"/>
  <c r="BG28" i="5"/>
  <c r="BH28" i="5" s="1"/>
  <c r="BI28" i="5" s="1"/>
  <c r="BG30" i="5"/>
  <c r="BH30" i="5" s="1"/>
  <c r="BG31" i="5"/>
  <c r="BH31" i="5" s="1"/>
  <c r="BG32" i="5"/>
  <c r="BH32" i="5" s="1"/>
  <c r="BG43" i="5"/>
  <c r="BH43" i="5" s="1"/>
  <c r="BG4" i="5"/>
  <c r="BH4" i="5" s="1"/>
  <c r="BG2" i="5"/>
  <c r="BH2" i="5" s="1"/>
  <c r="BG19" i="5"/>
  <c r="BH19" i="5" s="1"/>
  <c r="BG24" i="5"/>
  <c r="BH24" i="5" s="1"/>
  <c r="BI24" i="5" s="1"/>
  <c r="BG46" i="5"/>
  <c r="BH46" i="5" s="1"/>
  <c r="BG12" i="5"/>
  <c r="BH12" i="5" s="1"/>
  <c r="BG34" i="5"/>
  <c r="BH34" i="5" s="1"/>
  <c r="BB46" i="5"/>
  <c r="BF46" i="5" s="1"/>
  <c r="BB5" i="5"/>
  <c r="BF5" i="5" s="1"/>
  <c r="BB16" i="5"/>
  <c r="BB45" i="5"/>
  <c r="BB25" i="5"/>
  <c r="BF25" i="5" s="1"/>
  <c r="BB34" i="5"/>
  <c r="BF34" i="5" s="1"/>
  <c r="BB38" i="5"/>
  <c r="BF38" i="5" s="1"/>
  <c r="BB8" i="5"/>
  <c r="BF8" i="5" s="1"/>
  <c r="BB20" i="5"/>
  <c r="BB29" i="5"/>
  <c r="BF29" i="5" s="1"/>
  <c r="BB24" i="5"/>
  <c r="BF24" i="5" s="1"/>
  <c r="BB2" i="5"/>
  <c r="BB4" i="5"/>
  <c r="BF4" i="5" s="1"/>
  <c r="BB44" i="5"/>
  <c r="BF44" i="5" s="1"/>
  <c r="BB40" i="5"/>
  <c r="BF40" i="5" s="1"/>
  <c r="BB10" i="5"/>
  <c r="BB23" i="5"/>
  <c r="BB14" i="5"/>
  <c r="BB17" i="5"/>
  <c r="BF17" i="5" s="1"/>
  <c r="BB27" i="5"/>
  <c r="BF27" i="5" s="1"/>
  <c r="BB22" i="5"/>
  <c r="BB42" i="5"/>
  <c r="BF42" i="5" s="1"/>
  <c r="BB33" i="5"/>
  <c r="BF33" i="5" s="1"/>
  <c r="BB18" i="5"/>
  <c r="BF18" i="5" s="1"/>
  <c r="BB7" i="5"/>
  <c r="BF7" i="5" s="1"/>
  <c r="BB36" i="5"/>
  <c r="BF36" i="5" s="1"/>
  <c r="BB31" i="5"/>
  <c r="BG26" i="5"/>
  <c r="BH26" i="5" s="1"/>
  <c r="BB26" i="5"/>
  <c r="BF26" i="5" s="1"/>
  <c r="BB15" i="5"/>
  <c r="BF15" i="5" s="1"/>
  <c r="BB41" i="5"/>
  <c r="BB32" i="5"/>
  <c r="BB6" i="5"/>
  <c r="BF6" i="5" s="1"/>
  <c r="BB13" i="5"/>
  <c r="BB37" i="5"/>
  <c r="BB30" i="5"/>
  <c r="BF30" i="5" s="1"/>
  <c r="BB11" i="5"/>
  <c r="BB19" i="5"/>
  <c r="BB43" i="5"/>
  <c r="BF43" i="5" s="1"/>
  <c r="BB35" i="5"/>
  <c r="BF35" i="5" s="1"/>
  <c r="BB21" i="5"/>
  <c r="BF21" i="5" s="1"/>
  <c r="BB9" i="5"/>
  <c r="BF9" i="5" s="1"/>
  <c r="BB39" i="5"/>
  <c r="BF39" i="5" s="1"/>
  <c r="BE22" i="5"/>
  <c r="BE45" i="5"/>
  <c r="BE38" i="5"/>
  <c r="BE17" i="5"/>
  <c r="BE25" i="5"/>
  <c r="BE14" i="5"/>
  <c r="BE27" i="5"/>
  <c r="BE5" i="5"/>
  <c r="BE23" i="5"/>
  <c r="BE34" i="5"/>
  <c r="BE46" i="5"/>
  <c r="BE20" i="5"/>
  <c r="BE31" i="5"/>
  <c r="BE42" i="5"/>
  <c r="BE40" i="5"/>
  <c r="BE15" i="5"/>
  <c r="BE7" i="5"/>
  <c r="BE36" i="5"/>
  <c r="BE33" i="5"/>
  <c r="BE18" i="5"/>
  <c r="BE3" i="5"/>
  <c r="BE28" i="5"/>
  <c r="BE9" i="5"/>
  <c r="BE21" i="5"/>
  <c r="BE29" i="5"/>
  <c r="BE35" i="5"/>
  <c r="BE24" i="5"/>
  <c r="BE39" i="5"/>
  <c r="BE43" i="5"/>
  <c r="BE11" i="5"/>
  <c r="BE13" i="5"/>
  <c r="BE19" i="5"/>
  <c r="BE6" i="5"/>
  <c r="BE4" i="5"/>
  <c r="BE16" i="5"/>
  <c r="BE30" i="5"/>
  <c r="BE32" i="5"/>
  <c r="BE41" i="5"/>
  <c r="BE37" i="5"/>
  <c r="BE44" i="5"/>
  <c r="BE8" i="5"/>
  <c r="BE2" i="5"/>
  <c r="BE10" i="5"/>
  <c r="BE12" i="5"/>
  <c r="BB28" i="5"/>
  <c r="BF28" i="5" s="1"/>
  <c r="BF22" i="5"/>
  <c r="BF45" i="5"/>
  <c r="BF14" i="5"/>
  <c r="BF23" i="5"/>
  <c r="BF20" i="5"/>
  <c r="BF31" i="5"/>
  <c r="BF11" i="5"/>
  <c r="BF13" i="5"/>
  <c r="BF19" i="5"/>
  <c r="BF16" i="5"/>
  <c r="BF32" i="5"/>
  <c r="BF41" i="5"/>
  <c r="BF37" i="5"/>
  <c r="BF2" i="5"/>
  <c r="BF10" i="5"/>
  <c r="BB3" i="5"/>
  <c r="BF3" i="5"/>
  <c r="BB12" i="5"/>
  <c r="BF12" i="5" s="1"/>
  <c r="BA44" i="5"/>
  <c r="AX44" i="5"/>
  <c r="AW44" i="5"/>
  <c r="AV44" i="5"/>
  <c r="BJ8" i="5" l="1"/>
  <c r="BI8" i="5"/>
  <c r="BI34" i="5"/>
  <c r="BJ34" i="5"/>
  <c r="BJ3" i="5"/>
  <c r="BI3" i="5"/>
  <c r="BI7" i="5"/>
  <c r="BJ7" i="5"/>
  <c r="BI20" i="5"/>
  <c r="BJ20" i="5"/>
  <c r="BI12" i="5"/>
  <c r="BJ12" i="5"/>
  <c r="BI40" i="5"/>
  <c r="BJ40" i="5"/>
  <c r="BI6" i="5"/>
  <c r="BJ6" i="5"/>
  <c r="BI22" i="5"/>
  <c r="BJ22" i="5"/>
  <c r="BI41" i="5"/>
  <c r="BJ41" i="5"/>
  <c r="BI39" i="5"/>
  <c r="BJ39" i="5"/>
  <c r="BI19" i="5"/>
  <c r="BJ19" i="5"/>
  <c r="BI5" i="5"/>
  <c r="BJ5" i="5"/>
  <c r="BI21" i="5"/>
  <c r="BJ21" i="5"/>
  <c r="BJ25" i="5"/>
  <c r="BI25" i="5"/>
  <c r="BI2" i="5"/>
  <c r="BJ2" i="5"/>
  <c r="BI9" i="5"/>
  <c r="BJ9" i="5"/>
  <c r="BI27" i="5"/>
  <c r="BJ27" i="5"/>
  <c r="BI37" i="5"/>
  <c r="BJ37" i="5"/>
  <c r="BI42" i="5"/>
  <c r="BJ42" i="5"/>
  <c r="BI4" i="5"/>
  <c r="BJ4" i="5"/>
  <c r="BI18" i="5"/>
  <c r="BJ18" i="5"/>
  <c r="BJ38" i="5"/>
  <c r="BI38" i="5"/>
  <c r="BI29" i="5"/>
  <c r="BJ29" i="5"/>
  <c r="BJ28" i="5"/>
  <c r="BI46" i="5"/>
  <c r="BJ46" i="5"/>
  <c r="BI13" i="5"/>
  <c r="BJ13" i="5"/>
  <c r="BJ43" i="5"/>
  <c r="BI43" i="5"/>
  <c r="BJ16" i="5"/>
  <c r="BI16" i="5"/>
  <c r="BI36" i="5"/>
  <c r="BJ36" i="5"/>
  <c r="BJ24" i="5"/>
  <c r="BJ26" i="5"/>
  <c r="BI26" i="5"/>
  <c r="BJ32" i="5"/>
  <c r="BI32" i="5"/>
  <c r="BI33" i="5"/>
  <c r="BJ33" i="5"/>
  <c r="BI15" i="5"/>
  <c r="BJ15" i="5"/>
  <c r="BJ17" i="5"/>
  <c r="BI31" i="5"/>
  <c r="BJ31" i="5"/>
  <c r="BI14" i="5"/>
  <c r="BJ14" i="5"/>
  <c r="BI35" i="5"/>
  <c r="BJ35" i="5"/>
  <c r="BI30" i="5"/>
  <c r="BJ30" i="5"/>
  <c r="BI11" i="5"/>
  <c r="BJ11" i="5"/>
  <c r="BI10" i="5"/>
  <c r="BJ10" i="5"/>
  <c r="BJ45" i="5"/>
  <c r="BI45" i="5"/>
  <c r="AP72" i="1"/>
  <c r="AD72" i="1"/>
  <c r="R72" i="1"/>
  <c r="AO72" i="1"/>
  <c r="AC72" i="1"/>
  <c r="Q72" i="1"/>
  <c r="AV65" i="1"/>
  <c r="AU65" i="1"/>
  <c r="AQ65" i="1"/>
  <c r="AS66" i="1"/>
  <c r="AN65" i="1"/>
  <c r="AO65" i="1"/>
  <c r="AP65" i="1"/>
  <c r="AL66" i="1"/>
  <c r="AJ66" i="1"/>
  <c r="AI65" i="1"/>
  <c r="AK66" i="1"/>
  <c r="L66" i="1"/>
  <c r="W66" i="1"/>
  <c r="AF65" i="1"/>
  <c r="Z65" i="1"/>
  <c r="X66" i="1"/>
  <c r="AA66" i="1"/>
  <c r="AG65" i="1"/>
  <c r="AB66" i="1"/>
  <c r="AE66" i="1"/>
  <c r="AD66" i="1"/>
  <c r="V65" i="1"/>
  <c r="R65" i="1"/>
  <c r="U66" i="1"/>
  <c r="K66" i="1"/>
  <c r="J65" i="1"/>
  <c r="P66" i="1"/>
  <c r="O65" i="1"/>
  <c r="E65" i="1"/>
  <c r="G66" i="1"/>
  <c r="H65" i="1"/>
  <c r="F67" i="1"/>
  <c r="BA40" i="5"/>
  <c r="AX40" i="5"/>
  <c r="AW40" i="5"/>
  <c r="AV40" i="5"/>
  <c r="AU40" i="5"/>
  <c r="AT40" i="5"/>
  <c r="AS40" i="5"/>
  <c r="AK40" i="5"/>
  <c r="AH40" i="5"/>
  <c r="AU44" i="5"/>
  <c r="AT44" i="5"/>
  <c r="AS44" i="5"/>
  <c r="AK44" i="5"/>
  <c r="AH44" i="5"/>
  <c r="BA38" i="5"/>
  <c r="AX38" i="5"/>
  <c r="AW38" i="5"/>
  <c r="AV38" i="5"/>
  <c r="AU38" i="5"/>
  <c r="AT38" i="5"/>
  <c r="AS38" i="5"/>
  <c r="AK38" i="5"/>
  <c r="AH38" i="5"/>
  <c r="BA42" i="5"/>
  <c r="AX42" i="5"/>
  <c r="AW42" i="5"/>
  <c r="AV42" i="5"/>
  <c r="AU42" i="5"/>
  <c r="AT42" i="5"/>
  <c r="AS42" i="5"/>
  <c r="AK42" i="5"/>
  <c r="AH42" i="5"/>
  <c r="BA33" i="5"/>
  <c r="AX33" i="5"/>
  <c r="AW33" i="5"/>
  <c r="AV33" i="5"/>
  <c r="AU33" i="5"/>
  <c r="AT33" i="5"/>
  <c r="AS33" i="5"/>
  <c r="AK33" i="5"/>
  <c r="AH33" i="5"/>
  <c r="BA36" i="5"/>
  <c r="AX36" i="5"/>
  <c r="AW36" i="5"/>
  <c r="AV36" i="5"/>
  <c r="AU36" i="5"/>
  <c r="AT36" i="5"/>
  <c r="AS36" i="5"/>
  <c r="AK36" i="5"/>
  <c r="AH36" i="5"/>
  <c r="BA31" i="5"/>
  <c r="AX31" i="5"/>
  <c r="AW31" i="5"/>
  <c r="AV31" i="5"/>
  <c r="AU31" i="5"/>
  <c r="AT31" i="5"/>
  <c r="AS31" i="5"/>
  <c r="AK31" i="5"/>
  <c r="AH31" i="5"/>
  <c r="BA41" i="5"/>
  <c r="AX41" i="5"/>
  <c r="AW41" i="5"/>
  <c r="AV41" i="5"/>
  <c r="AU41" i="5"/>
  <c r="AT41" i="5"/>
  <c r="AS41" i="5"/>
  <c r="AK41" i="5"/>
  <c r="AH41" i="5"/>
  <c r="BA32" i="5"/>
  <c r="AX32" i="5"/>
  <c r="AW32" i="5"/>
  <c r="AV32" i="5"/>
  <c r="AU32" i="5"/>
  <c r="AT32" i="5"/>
  <c r="AS32" i="5"/>
  <c r="AK32" i="5"/>
  <c r="AH32" i="5"/>
  <c r="BA37" i="5"/>
  <c r="AX37" i="5"/>
  <c r="AW37" i="5"/>
  <c r="AV37" i="5"/>
  <c r="AU37" i="5"/>
  <c r="AT37" i="5"/>
  <c r="AS37" i="5"/>
  <c r="AK37" i="5"/>
  <c r="AH37" i="5"/>
  <c r="BA30" i="5"/>
  <c r="AX30" i="5"/>
  <c r="AW30" i="5"/>
  <c r="AV30" i="5"/>
  <c r="AU30" i="5"/>
  <c r="AT30" i="5"/>
  <c r="AS30" i="5"/>
  <c r="AK30" i="5"/>
  <c r="AH30" i="5"/>
  <c r="BA43" i="5"/>
  <c r="AX43" i="5"/>
  <c r="AW43" i="5"/>
  <c r="AV43" i="5"/>
  <c r="AU43" i="5"/>
  <c r="AT43" i="5"/>
  <c r="AS43" i="5"/>
  <c r="AK43" i="5"/>
  <c r="AH43" i="5"/>
  <c r="BA35" i="5"/>
  <c r="AX35" i="5"/>
  <c r="AW35" i="5"/>
  <c r="AV35" i="5"/>
  <c r="AU35" i="5"/>
  <c r="AT35" i="5"/>
  <c r="AS35" i="5"/>
  <c r="AK35" i="5"/>
  <c r="AH35" i="5"/>
  <c r="BA39" i="5"/>
  <c r="AX39" i="5"/>
  <c r="AW39" i="5"/>
  <c r="AV39" i="5"/>
  <c r="AU39" i="5"/>
  <c r="AT39" i="5"/>
  <c r="AS39" i="5"/>
  <c r="AK39" i="5"/>
  <c r="AH39" i="5"/>
  <c r="BA28" i="5"/>
  <c r="AX28" i="5"/>
  <c r="AW28" i="5"/>
  <c r="AV28" i="5"/>
  <c r="AU28" i="5"/>
  <c r="AT28" i="5"/>
  <c r="AS28" i="5"/>
  <c r="AK28" i="5"/>
  <c r="AH28" i="5"/>
  <c r="BA46" i="5"/>
  <c r="AX46" i="5"/>
  <c r="AW46" i="5"/>
  <c r="AV46" i="5"/>
  <c r="AU46" i="5"/>
  <c r="AT46" i="5"/>
  <c r="AS46" i="5"/>
  <c r="AK46" i="5"/>
  <c r="AH46" i="5"/>
  <c r="BA45" i="5"/>
  <c r="AX45" i="5"/>
  <c r="AW45" i="5"/>
  <c r="AV45" i="5"/>
  <c r="AU45" i="5"/>
  <c r="AT45" i="5"/>
  <c r="AS45" i="5"/>
  <c r="AK45" i="5"/>
  <c r="AH45" i="5"/>
  <c r="BA14" i="5"/>
  <c r="AX14" i="5"/>
  <c r="AW14" i="5"/>
  <c r="AV14" i="5"/>
  <c r="AU14" i="5"/>
  <c r="AT14" i="5"/>
  <c r="AS14" i="5"/>
  <c r="AK14" i="5"/>
  <c r="AH14" i="5"/>
  <c r="BA17" i="5"/>
  <c r="AX17" i="5"/>
  <c r="AW17" i="5"/>
  <c r="AV17" i="5"/>
  <c r="AU17" i="5"/>
  <c r="AT17" i="5"/>
  <c r="AS17" i="5"/>
  <c r="AK17" i="5"/>
  <c r="AH17" i="5"/>
  <c r="BA5" i="5"/>
  <c r="AX5" i="5"/>
  <c r="AW5" i="5"/>
  <c r="AV5" i="5"/>
  <c r="AU5" i="5"/>
  <c r="AT5" i="5"/>
  <c r="AS5" i="5"/>
  <c r="AK5" i="5"/>
  <c r="AH5" i="5"/>
  <c r="BA23" i="5"/>
  <c r="AX23" i="5"/>
  <c r="AW23" i="5"/>
  <c r="AV23" i="5"/>
  <c r="AU23" i="5"/>
  <c r="AT23" i="5"/>
  <c r="AS23" i="5"/>
  <c r="AK23" i="5"/>
  <c r="AH23" i="5"/>
  <c r="BA34" i="5"/>
  <c r="AX34" i="5"/>
  <c r="AW34" i="5"/>
  <c r="AV34" i="5"/>
  <c r="AU34" i="5"/>
  <c r="AT34" i="5"/>
  <c r="AS34" i="5"/>
  <c r="AK34" i="5"/>
  <c r="AH34" i="5"/>
  <c r="BA25" i="5"/>
  <c r="AX25" i="5"/>
  <c r="AW25" i="5"/>
  <c r="AV25" i="5"/>
  <c r="AU25" i="5"/>
  <c r="AT25" i="5"/>
  <c r="AS25" i="5"/>
  <c r="AK25" i="5"/>
  <c r="AH25" i="5"/>
  <c r="AX22" i="5"/>
  <c r="AW22" i="5"/>
  <c r="AV22" i="5"/>
  <c r="AT22" i="5"/>
  <c r="AS22" i="5"/>
  <c r="AQ22" i="5"/>
  <c r="BA22" i="5" s="1"/>
  <c r="AK22" i="5"/>
  <c r="AH22" i="5"/>
  <c r="BK27" i="5"/>
  <c r="BA27" i="5"/>
  <c r="AX27" i="5"/>
  <c r="AW27" i="5"/>
  <c r="AV27" i="5"/>
  <c r="AU27" i="5"/>
  <c r="AT27" i="5"/>
  <c r="AS27" i="5"/>
  <c r="AK27" i="5"/>
  <c r="AH27" i="5"/>
  <c r="BA2" i="5"/>
  <c r="AX2" i="5"/>
  <c r="AW2" i="5"/>
  <c r="AV2" i="5"/>
  <c r="AU2" i="5"/>
  <c r="AT2" i="5"/>
  <c r="AS2" i="5"/>
  <c r="AK2" i="5"/>
  <c r="AH2" i="5"/>
  <c r="AX20" i="5"/>
  <c r="AW20" i="5"/>
  <c r="AV20" i="5"/>
  <c r="AT20" i="5"/>
  <c r="AS20" i="5"/>
  <c r="AQ20" i="5"/>
  <c r="AU20" i="5" s="1"/>
  <c r="AK20" i="5"/>
  <c r="AH20" i="5"/>
  <c r="BK18" i="5"/>
  <c r="BA18" i="5"/>
  <c r="AX18" i="5"/>
  <c r="AW18" i="5"/>
  <c r="AV18" i="5"/>
  <c r="AU18" i="5"/>
  <c r="AT18" i="5"/>
  <c r="AS18" i="5"/>
  <c r="AK18" i="5"/>
  <c r="AH18" i="5"/>
  <c r="BA10" i="5"/>
  <c r="AX10" i="5"/>
  <c r="AW10" i="5"/>
  <c r="AV10" i="5"/>
  <c r="AU10" i="5"/>
  <c r="AT10" i="5"/>
  <c r="AS10" i="5"/>
  <c r="AK10" i="5"/>
  <c r="AH10" i="5"/>
  <c r="BA7" i="5"/>
  <c r="AX7" i="5"/>
  <c r="AW7" i="5"/>
  <c r="AV7" i="5"/>
  <c r="AU7" i="5"/>
  <c r="AT7" i="5"/>
  <c r="AS7" i="5"/>
  <c r="AK7" i="5"/>
  <c r="AH7" i="5"/>
  <c r="BC26" i="5"/>
  <c r="BA26" i="5"/>
  <c r="AX26" i="5"/>
  <c r="AW26" i="5"/>
  <c r="AV26" i="5"/>
  <c r="AU26" i="5"/>
  <c r="AT26" i="5"/>
  <c r="AS26" i="5"/>
  <c r="AK26" i="5"/>
  <c r="AH26" i="5"/>
  <c r="BA15" i="5"/>
  <c r="AX15" i="5"/>
  <c r="AW15" i="5"/>
  <c r="AV15" i="5"/>
  <c r="AU15" i="5"/>
  <c r="AT15" i="5"/>
  <c r="AS15" i="5"/>
  <c r="AK15" i="5"/>
  <c r="AH15" i="5"/>
  <c r="BA16" i="5"/>
  <c r="AX16" i="5"/>
  <c r="AW16" i="5"/>
  <c r="AV16" i="5"/>
  <c r="AU16" i="5"/>
  <c r="AT16" i="5"/>
  <c r="AS16" i="5"/>
  <c r="AK16" i="5"/>
  <c r="AH16" i="5"/>
  <c r="BA6" i="5"/>
  <c r="AX6" i="5"/>
  <c r="AW6" i="5"/>
  <c r="AV6" i="5"/>
  <c r="AU6" i="5"/>
  <c r="AT6" i="5"/>
  <c r="AS6" i="5"/>
  <c r="AK6" i="5"/>
  <c r="AH6" i="5"/>
  <c r="BA13" i="5"/>
  <c r="AX13" i="5"/>
  <c r="AW13" i="5"/>
  <c r="AV13" i="5"/>
  <c r="AU13" i="5"/>
  <c r="AT13" i="5"/>
  <c r="AS13" i="5"/>
  <c r="AK13" i="5"/>
  <c r="AH13" i="5"/>
  <c r="BA4" i="5"/>
  <c r="AX4" i="5"/>
  <c r="AW4" i="5"/>
  <c r="AV4" i="5"/>
  <c r="AU4" i="5"/>
  <c r="AT4" i="5"/>
  <c r="AS4" i="5"/>
  <c r="AK4" i="5"/>
  <c r="AH4" i="5"/>
  <c r="BA8" i="5"/>
  <c r="AX8" i="5"/>
  <c r="AW8" i="5"/>
  <c r="AV8" i="5"/>
  <c r="AU8" i="5"/>
  <c r="AT8" i="5"/>
  <c r="AS8" i="5"/>
  <c r="AK8" i="5"/>
  <c r="AH8" i="5"/>
  <c r="BA11" i="5"/>
  <c r="AX11" i="5"/>
  <c r="AW11" i="5"/>
  <c r="AV11" i="5"/>
  <c r="AU11" i="5"/>
  <c r="AT11" i="5"/>
  <c r="AS11" i="5"/>
  <c r="AK11" i="5"/>
  <c r="AH11" i="5"/>
  <c r="BA19" i="5"/>
  <c r="AX19" i="5"/>
  <c r="AW19" i="5"/>
  <c r="AV19" i="5"/>
  <c r="AU19" i="5"/>
  <c r="AT19" i="5"/>
  <c r="AS19" i="5"/>
  <c r="AK19" i="5"/>
  <c r="AH19" i="5"/>
  <c r="BA24" i="5"/>
  <c r="AX24" i="5"/>
  <c r="AW24" i="5"/>
  <c r="AV24" i="5"/>
  <c r="AU24" i="5"/>
  <c r="AT24" i="5"/>
  <c r="AS24" i="5"/>
  <c r="AK24" i="5"/>
  <c r="AH24" i="5"/>
  <c r="BA21" i="5"/>
  <c r="AX21" i="5"/>
  <c r="AW21" i="5"/>
  <c r="AV21" i="5"/>
  <c r="AU21" i="5"/>
  <c r="AT21" i="5"/>
  <c r="AS21" i="5"/>
  <c r="AK21" i="5"/>
  <c r="AH21" i="5"/>
  <c r="BA9" i="5"/>
  <c r="AX9" i="5"/>
  <c r="AW9" i="5"/>
  <c r="AV9" i="5"/>
  <c r="AU9" i="5"/>
  <c r="AT9" i="5"/>
  <c r="AS9" i="5"/>
  <c r="AK9" i="5"/>
  <c r="AH9" i="5"/>
  <c r="BK29" i="5"/>
  <c r="BM29" i="5" s="1"/>
  <c r="BA29" i="5"/>
  <c r="AX29" i="5"/>
  <c r="AW29" i="5"/>
  <c r="AV29" i="5"/>
  <c r="AU29" i="5"/>
  <c r="AT29" i="5"/>
  <c r="AS29" i="5"/>
  <c r="AK29" i="5"/>
  <c r="AH29" i="5"/>
  <c r="BK12" i="5"/>
  <c r="BM12" i="5" s="1"/>
  <c r="BA12" i="5"/>
  <c r="AX12" i="5"/>
  <c r="AW12" i="5"/>
  <c r="AV12" i="5"/>
  <c r="AU12" i="5"/>
  <c r="AT12" i="5"/>
  <c r="AS12" i="5"/>
  <c r="AK12" i="5"/>
  <c r="AH12" i="5"/>
  <c r="BM3" i="5"/>
  <c r="BA3" i="5"/>
  <c r="AX3" i="5"/>
  <c r="AW3" i="5"/>
  <c r="AV3" i="5"/>
  <c r="AU3" i="5"/>
  <c r="AT3" i="5"/>
  <c r="AS3" i="5"/>
  <c r="AK3" i="5"/>
  <c r="AH3" i="5"/>
  <c r="AC52" i="1"/>
  <c r="AC53" i="1"/>
  <c r="AC54" i="1"/>
  <c r="AC55" i="1"/>
  <c r="AC56" i="1"/>
  <c r="AC60" i="1"/>
  <c r="AC44" i="1"/>
  <c r="AC57" i="1" s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F59" i="1" s="1"/>
  <c r="AD56" i="1"/>
  <c r="AE56" i="1"/>
  <c r="AF56" i="1"/>
  <c r="AD60" i="1"/>
  <c r="AE60" i="1"/>
  <c r="AF60" i="1"/>
  <c r="AB55" i="1"/>
  <c r="AB56" i="1"/>
  <c r="AB52" i="1"/>
  <c r="AG52" i="1"/>
  <c r="AB53" i="1"/>
  <c r="AG53" i="1"/>
  <c r="AB54" i="1"/>
  <c r="AG54" i="1"/>
  <c r="AG55" i="1"/>
  <c r="AG56" i="1"/>
  <c r="AB60" i="1"/>
  <c r="AG60" i="1"/>
  <c r="AB44" i="1"/>
  <c r="AB57" i="1" s="1"/>
  <c r="AD44" i="1"/>
  <c r="AD41" i="1" s="1"/>
  <c r="AE44" i="1"/>
  <c r="AE57" i="1" s="1"/>
  <c r="AF44" i="1"/>
  <c r="AF57" i="1" s="1"/>
  <c r="AG44" i="1"/>
  <c r="AG57" i="1" s="1"/>
  <c r="AB41" i="1"/>
  <c r="AV52" i="1"/>
  <c r="AW52" i="1"/>
  <c r="AV53" i="1"/>
  <c r="AW53" i="1"/>
  <c r="AV54" i="1"/>
  <c r="AW54" i="1"/>
  <c r="AW55" i="1"/>
  <c r="AW56" i="1"/>
  <c r="AW57" i="1"/>
  <c r="AV60" i="1"/>
  <c r="AW60" i="1"/>
  <c r="AV44" i="1"/>
  <c r="AW44" i="1"/>
  <c r="AV41" i="1"/>
  <c r="AW41" i="1"/>
  <c r="P52" i="1"/>
  <c r="P53" i="1"/>
  <c r="P54" i="1"/>
  <c r="P55" i="1"/>
  <c r="P56" i="1"/>
  <c r="P60" i="1"/>
  <c r="P44" i="1"/>
  <c r="P41" i="1" s="1"/>
  <c r="T52" i="1"/>
  <c r="T53" i="1"/>
  <c r="T54" i="1"/>
  <c r="T55" i="1"/>
  <c r="T56" i="1"/>
  <c r="T60" i="1"/>
  <c r="T44" i="1"/>
  <c r="T57" i="1" s="1"/>
  <c r="I52" i="1"/>
  <c r="I53" i="1"/>
  <c r="I54" i="1"/>
  <c r="I55" i="1"/>
  <c r="I56" i="1"/>
  <c r="I57" i="1"/>
  <c r="I60" i="1"/>
  <c r="L52" i="1"/>
  <c r="L53" i="1"/>
  <c r="L54" i="1"/>
  <c r="L55" i="1"/>
  <c r="L56" i="1"/>
  <c r="L60" i="1"/>
  <c r="L44" i="1"/>
  <c r="L57" i="1" s="1"/>
  <c r="I44" i="1"/>
  <c r="I41" i="1"/>
  <c r="AC59" i="1" l="1"/>
  <c r="AB59" i="1"/>
  <c r="AG59" i="1"/>
  <c r="AD57" i="1"/>
  <c r="AD59" i="1" s="1"/>
  <c r="AC41" i="1"/>
  <c r="L41" i="1"/>
  <c r="T41" i="1"/>
  <c r="P57" i="1"/>
  <c r="P59" i="1" s="1"/>
  <c r="AG41" i="1"/>
  <c r="AF41" i="1"/>
  <c r="AE41" i="1"/>
  <c r="BK26" i="5"/>
  <c r="BL26" i="5" s="1"/>
  <c r="BE26" i="5"/>
  <c r="AZ41" i="5"/>
  <c r="AZ42" i="5"/>
  <c r="AZ33" i="5"/>
  <c r="AZ37" i="5"/>
  <c r="AZ28" i="5"/>
  <c r="AZ31" i="5"/>
  <c r="AZ38" i="5"/>
  <c r="AZ4" i="5"/>
  <c r="AZ27" i="5"/>
  <c r="AZ23" i="5"/>
  <c r="AZ9" i="5"/>
  <c r="AZ11" i="5"/>
  <c r="AZ32" i="5"/>
  <c r="AZ12" i="5"/>
  <c r="AZ43" i="5"/>
  <c r="AZ8" i="5"/>
  <c r="AZ35" i="5"/>
  <c r="AZ36" i="5"/>
  <c r="AZ44" i="5"/>
  <c r="AZ7" i="5"/>
  <c r="AZ39" i="5"/>
  <c r="AZ40" i="5"/>
  <c r="AZ20" i="5"/>
  <c r="AZ30" i="5"/>
  <c r="AZ18" i="5"/>
  <c r="AZ5" i="5"/>
  <c r="AU22" i="5"/>
  <c r="AZ22" i="5"/>
  <c r="AZ45" i="5"/>
  <c r="AZ3" i="5"/>
  <c r="AZ13" i="5"/>
  <c r="AZ34" i="5"/>
  <c r="AZ14" i="5"/>
  <c r="AZ15" i="5"/>
  <c r="AZ24" i="5"/>
  <c r="AZ26" i="5"/>
  <c r="AZ2" i="5"/>
  <c r="BL3" i="5"/>
  <c r="AZ21" i="5"/>
  <c r="AZ16" i="5"/>
  <c r="AZ25" i="5"/>
  <c r="AZ19" i="5"/>
  <c r="AZ29" i="5"/>
  <c r="AZ17" i="5"/>
  <c r="AZ6" i="5"/>
  <c r="AZ10" i="5"/>
  <c r="BA20" i="5"/>
  <c r="BL12" i="5"/>
  <c r="BL29" i="5"/>
  <c r="AE59" i="1"/>
  <c r="AW59" i="1"/>
  <c r="T59" i="1"/>
  <c r="AV59" i="1"/>
  <c r="L59" i="1"/>
  <c r="I59" i="1"/>
  <c r="BM26" i="5" l="1"/>
  <c r="R67" i="1"/>
  <c r="D67" i="1" l="1"/>
  <c r="D69" i="1" s="1"/>
  <c r="D68" i="1" l="1"/>
  <c r="X67" i="1"/>
  <c r="E67" i="1"/>
  <c r="R55" i="1"/>
  <c r="R69" i="1" s="1"/>
  <c r="E68" i="1" l="1"/>
  <c r="E69" i="1"/>
  <c r="F69" i="1" l="1"/>
  <c r="F68" i="1"/>
  <c r="R68" i="1"/>
  <c r="AU52" i="1" l="1"/>
  <c r="AU53" i="1"/>
  <c r="AU54" i="1"/>
  <c r="AU55" i="1"/>
  <c r="AU56" i="1"/>
  <c r="AU57" i="1"/>
  <c r="AU60" i="1"/>
  <c r="AU44" i="1"/>
  <c r="AU41" i="1"/>
  <c r="AM60" i="1"/>
  <c r="AT60" i="1"/>
  <c r="AS60" i="1"/>
  <c r="AR60" i="1"/>
  <c r="AP60" i="1"/>
  <c r="AN60" i="1"/>
  <c r="AL60" i="1"/>
  <c r="AK60" i="1"/>
  <c r="AJ60" i="1"/>
  <c r="AA60" i="1"/>
  <c r="AA57" i="1"/>
  <c r="AA56" i="1"/>
  <c r="AA55" i="1"/>
  <c r="AA52" i="1"/>
  <c r="AA53" i="1"/>
  <c r="AA54" i="1"/>
  <c r="AA44" i="1"/>
  <c r="AA41" i="1" s="1"/>
  <c r="Z52" i="1"/>
  <c r="Z53" i="1"/>
  <c r="Z54" i="1"/>
  <c r="Z55" i="1"/>
  <c r="Z56" i="1"/>
  <c r="Z60" i="1"/>
  <c r="Z44" i="1"/>
  <c r="Z41" i="1" s="1"/>
  <c r="E60" i="1"/>
  <c r="G60" i="1"/>
  <c r="H60" i="1"/>
  <c r="J60" i="1"/>
  <c r="K60" i="1"/>
  <c r="N60" i="1"/>
  <c r="O60" i="1"/>
  <c r="Q60" i="1"/>
  <c r="R60" i="1"/>
  <c r="S60" i="1"/>
  <c r="U60" i="1"/>
  <c r="F60" i="1"/>
  <c r="X60" i="1"/>
  <c r="M60" i="1"/>
  <c r="W60" i="1"/>
  <c r="D60" i="1"/>
  <c r="AO60" i="1"/>
  <c r="AQ60" i="1"/>
  <c r="AI60" i="1"/>
  <c r="AI55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T55" i="1"/>
  <c r="AT59" i="1" s="1"/>
  <c r="AS55" i="1"/>
  <c r="AS59" i="1" s="1"/>
  <c r="AR55" i="1"/>
  <c r="AR59" i="1" s="1"/>
  <c r="AQ55" i="1"/>
  <c r="AQ59" i="1" s="1"/>
  <c r="AP55" i="1"/>
  <c r="AP59" i="1" s="1"/>
  <c r="AO55" i="1"/>
  <c r="AN55" i="1"/>
  <c r="AM55" i="1"/>
  <c r="AM59" i="1" s="1"/>
  <c r="AL55" i="1"/>
  <c r="AK55" i="1"/>
  <c r="AJ55" i="1"/>
  <c r="AI59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E57" i="1"/>
  <c r="G57" i="1"/>
  <c r="H57" i="1"/>
  <c r="J57" i="1"/>
  <c r="K57" i="1"/>
  <c r="N57" i="1"/>
  <c r="D57" i="1"/>
  <c r="E55" i="1"/>
  <c r="G55" i="1"/>
  <c r="H55" i="1"/>
  <c r="J55" i="1"/>
  <c r="K55" i="1"/>
  <c r="N55" i="1"/>
  <c r="O55" i="1"/>
  <c r="Q55" i="1"/>
  <c r="S55" i="1"/>
  <c r="U55" i="1"/>
  <c r="F55" i="1"/>
  <c r="X55" i="1"/>
  <c r="M55" i="1"/>
  <c r="W55" i="1"/>
  <c r="E56" i="1"/>
  <c r="G56" i="1"/>
  <c r="H56" i="1"/>
  <c r="J56" i="1"/>
  <c r="K56" i="1"/>
  <c r="N56" i="1"/>
  <c r="O56" i="1"/>
  <c r="Q56" i="1"/>
  <c r="R56" i="1"/>
  <c r="S56" i="1"/>
  <c r="U56" i="1"/>
  <c r="F56" i="1"/>
  <c r="V56" i="1"/>
  <c r="X56" i="1"/>
  <c r="Y56" i="1"/>
  <c r="M56" i="1"/>
  <c r="W56" i="1"/>
  <c r="D55" i="1"/>
  <c r="D56" i="1"/>
  <c r="Z57" i="1" l="1"/>
  <c r="Z59" i="1" s="1"/>
  <c r="AK59" i="1"/>
  <c r="AL59" i="1"/>
  <c r="AJ59" i="1"/>
  <c r="AO59" i="1"/>
  <c r="AN59" i="1"/>
  <c r="N59" i="1"/>
  <c r="AA59" i="1"/>
  <c r="J59" i="1"/>
  <c r="K59" i="1"/>
  <c r="G59" i="1"/>
  <c r="H59" i="1"/>
  <c r="D59" i="1"/>
  <c r="AU59" i="1"/>
  <c r="E59" i="1"/>
  <c r="W44" i="1" l="1"/>
  <c r="W57" i="1" s="1"/>
  <c r="W59" i="1" s="1"/>
  <c r="Q44" i="1"/>
  <c r="Q57" i="1" s="1"/>
  <c r="Q59" i="1" s="1"/>
  <c r="R44" i="1"/>
  <c r="R57" i="1" s="1"/>
  <c r="R59" i="1" s="1"/>
  <c r="S44" i="1"/>
  <c r="S57" i="1" s="1"/>
  <c r="S59" i="1" s="1"/>
  <c r="U44" i="1"/>
  <c r="U57" i="1" s="1"/>
  <c r="U59" i="1" s="1"/>
  <c r="F44" i="1"/>
  <c r="F57" i="1" s="1"/>
  <c r="F59" i="1" s="1"/>
  <c r="V44" i="1"/>
  <c r="V57" i="1" s="1"/>
  <c r="X44" i="1"/>
  <c r="X57" i="1" s="1"/>
  <c r="X59" i="1" s="1"/>
  <c r="Y44" i="1"/>
  <c r="Y57" i="1" s="1"/>
  <c r="M44" i="1"/>
  <c r="M57" i="1" s="1"/>
  <c r="M59" i="1" s="1"/>
  <c r="R41" i="1"/>
  <c r="S41" i="1"/>
  <c r="V41" i="1"/>
  <c r="X41" i="1"/>
  <c r="Y41" i="1"/>
  <c r="M41" i="1"/>
  <c r="O44" i="1"/>
  <c r="O57" i="1" s="1"/>
  <c r="O59" i="1" s="1"/>
  <c r="O41" i="1"/>
  <c r="N44" i="1"/>
  <c r="N41" i="1"/>
  <c r="K44" i="1"/>
  <c r="K41" i="1"/>
  <c r="J44" i="1"/>
  <c r="J41" i="1"/>
  <c r="H44" i="1"/>
  <c r="H41" i="1"/>
  <c r="G44" i="1"/>
  <c r="G41" i="1"/>
  <c r="E44" i="1"/>
  <c r="E41" i="1"/>
  <c r="D44" i="1"/>
  <c r="D41" i="1"/>
  <c r="M52" i="1"/>
  <c r="W52" i="1"/>
  <c r="M53" i="1"/>
  <c r="W53" i="1"/>
  <c r="M54" i="1"/>
  <c r="W54" i="1"/>
  <c r="Y52" i="1"/>
  <c r="Y53" i="1"/>
  <c r="Y50" i="1"/>
  <c r="Y55" i="1" s="1"/>
  <c r="X52" i="1"/>
  <c r="X53" i="1"/>
  <c r="X54" i="1"/>
  <c r="V50" i="1"/>
  <c r="V55" i="1" s="1"/>
  <c r="V59" i="1" s="1"/>
  <c r="R52" i="1"/>
  <c r="S52" i="1"/>
  <c r="U52" i="1"/>
  <c r="F52" i="1"/>
  <c r="V52" i="1"/>
  <c r="R53" i="1"/>
  <c r="S53" i="1"/>
  <c r="U53" i="1"/>
  <c r="F53" i="1"/>
  <c r="V53" i="1"/>
  <c r="R54" i="1"/>
  <c r="S54" i="1"/>
  <c r="U54" i="1"/>
  <c r="F54" i="1"/>
  <c r="Q52" i="1"/>
  <c r="Q53" i="1"/>
  <c r="Q54" i="1"/>
  <c r="E53" i="1"/>
  <c r="G53" i="1"/>
  <c r="H53" i="1"/>
  <c r="J53" i="1"/>
  <c r="K53" i="1"/>
  <c r="N53" i="1"/>
  <c r="O53" i="1"/>
  <c r="D53" i="1"/>
  <c r="G52" i="1"/>
  <c r="H52" i="1"/>
  <c r="J52" i="1"/>
  <c r="K52" i="1"/>
  <c r="N52" i="1"/>
  <c r="O52" i="1"/>
  <c r="G54" i="1"/>
  <c r="H54" i="1"/>
  <c r="J54" i="1"/>
  <c r="K54" i="1"/>
  <c r="N54" i="1"/>
  <c r="O54" i="1"/>
  <c r="E54" i="1"/>
  <c r="E52" i="1"/>
  <c r="D54" i="1"/>
  <c r="D52" i="1"/>
  <c r="Y59" i="1" l="1"/>
  <c r="W41" i="1"/>
  <c r="Q41" i="1"/>
  <c r="F41" i="1"/>
  <c r="U41" i="1"/>
  <c r="Y54" i="1"/>
  <c r="Y60" i="1"/>
  <c r="V54" i="1"/>
  <c r="V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D09AAF-CB72-4281-BE0D-7ABF641314F6}" keepAlive="1" name="Query - A-20G_turn" description="Connection to the 'A-20G_turn' query in the workbook." type="5" refreshedVersion="6" background="1">
    <dbPr connection="Provider=Microsoft.Mashup.OleDb.1;Data Source=$Workbook$;Location=A-20G_turn;Extended Properties=&quot;&quot;" command="SELECT * FROM [A-20G_turn]"/>
  </connection>
</connections>
</file>

<file path=xl/sharedStrings.xml><?xml version="1.0" encoding="utf-8"?>
<sst xmlns="http://schemas.openxmlformats.org/spreadsheetml/2006/main" count="576" uniqueCount="159">
  <si>
    <t>I-16</t>
  </si>
  <si>
    <t>Aircraft</t>
  </si>
  <si>
    <t>Side</t>
  </si>
  <si>
    <t>SL Turn Rate (sec)</t>
  </si>
  <si>
    <t>SL Turn speed (km/h)</t>
  </si>
  <si>
    <t>3k turn rate (sec)</t>
  </si>
  <si>
    <t>3k turn speed (km/h)</t>
  </si>
  <si>
    <t>Stall AoA (deg)</t>
  </si>
  <si>
    <t>wing area (m^2)</t>
  </si>
  <si>
    <t>Max Weight (kg)</t>
  </si>
  <si>
    <t>Max Wingload (kg/m^2)</t>
  </si>
  <si>
    <t>Empty Wingload (kg/m^2)</t>
  </si>
  <si>
    <t>Climb rate Sea Level (m/s)</t>
  </si>
  <si>
    <t>Climb rate 3000m (m/s)</t>
  </si>
  <si>
    <t>Climb rate 6000m (m/s)</t>
  </si>
  <si>
    <t>USSR</t>
  </si>
  <si>
    <t>min Stall Speed (km/h)</t>
  </si>
  <si>
    <t>max Stall Speed (km/h)</t>
  </si>
  <si>
    <t>minimum weight (kg)</t>
  </si>
  <si>
    <t>MiG-3</t>
  </si>
  <si>
    <t>BF 109 E7</t>
  </si>
  <si>
    <t>Germany</t>
  </si>
  <si>
    <t>BF 109 F2</t>
  </si>
  <si>
    <t>Standard Weight (kg)</t>
  </si>
  <si>
    <t>Standard Wingload (kg/m^2)</t>
  </si>
  <si>
    <t>LaGG-3</t>
  </si>
  <si>
    <t>Yak-1</t>
  </si>
  <si>
    <t>BF 109 F4</t>
  </si>
  <si>
    <t>BF 109 G2</t>
  </si>
  <si>
    <t>Yak-7B</t>
  </si>
  <si>
    <t>P-39L</t>
  </si>
  <si>
    <t>Fw 190 A5</t>
  </si>
  <si>
    <t>Bf 109 G4</t>
  </si>
  <si>
    <t>P-40</t>
  </si>
  <si>
    <t>Spitfire VB</t>
  </si>
  <si>
    <t>P-47D</t>
  </si>
  <si>
    <t>US</t>
  </si>
  <si>
    <t>Spitfire IX</t>
  </si>
  <si>
    <t>La-5</t>
  </si>
  <si>
    <t>La-5FN</t>
  </si>
  <si>
    <t>Intro</t>
  </si>
  <si>
    <t>Max Takeoff Speed</t>
  </si>
  <si>
    <t>Min Takeoff speed</t>
  </si>
  <si>
    <t>Max Landing Speed</t>
  </si>
  <si>
    <t>Min Landing speed</t>
  </si>
  <si>
    <t>Avg Takeoff Speed</t>
  </si>
  <si>
    <t>Avg Landing Speed</t>
  </si>
  <si>
    <t>UK</t>
  </si>
  <si>
    <t>Game</t>
  </si>
  <si>
    <t>Moscow</t>
  </si>
  <si>
    <t>Stalingrad</t>
  </si>
  <si>
    <t>Kuban</t>
  </si>
  <si>
    <t>Boden</t>
  </si>
  <si>
    <t>Engine power SL (normal, Hp)</t>
  </si>
  <si>
    <t>Engine power SL (Boost, Hp)</t>
  </si>
  <si>
    <t>Boost PWR (kW/ton)</t>
  </si>
  <si>
    <t>PWR (kW/ton)</t>
  </si>
  <si>
    <t>Emergency/WEP/other (Hp)</t>
  </si>
  <si>
    <t>Emergency/other PWR (kW/ton)</t>
  </si>
  <si>
    <t>A-20B</t>
  </si>
  <si>
    <t>IL-2 1941</t>
  </si>
  <si>
    <t>Pe-2 35</t>
  </si>
  <si>
    <t>Bf 110 E2</t>
  </si>
  <si>
    <t>Ju-88 A4</t>
  </si>
  <si>
    <t>IL-2 1942</t>
  </si>
  <si>
    <t>Stallingrad</t>
  </si>
  <si>
    <t>Pe-2 87</t>
  </si>
  <si>
    <t>Ju 87 D3</t>
  </si>
  <si>
    <t>He 111 H6</t>
  </si>
  <si>
    <t>IL-2 1943</t>
  </si>
  <si>
    <t>Bf 110 G2</t>
  </si>
  <si>
    <t>He 111 H16</t>
  </si>
  <si>
    <t>Max PWR</t>
  </si>
  <si>
    <t>Max Load Factor (Gs)</t>
  </si>
  <si>
    <t>Max Speed* @SL (km/h)</t>
  </si>
  <si>
    <t>Max Boost Speed* @SL (km/h)</t>
  </si>
  <si>
    <t>* "Boost" being any engine mode with &lt;=10 minutes of operation</t>
  </si>
  <si>
    <t>Service Ceiling (m)</t>
  </si>
  <si>
    <t>PWR W/ Max Payload</t>
  </si>
  <si>
    <t>P-51D</t>
  </si>
  <si>
    <t>P-38J</t>
  </si>
  <si>
    <t>B-25D</t>
  </si>
  <si>
    <t>Continuous speed altitude† (m)</t>
  </si>
  <si>
    <t>Max Continuous Speed† (km/h)</t>
  </si>
  <si>
    <t>Max Boost Speed @6k*† (km/h)</t>
  </si>
  <si>
    <t>Max Speed @6K*† (km/h)</t>
  </si>
  <si>
    <t>Max Boost Speed @3k*† (km/h)</t>
  </si>
  <si>
    <t>Max Speed @3K*† (km/h)</t>
  </si>
  <si>
    <t>Max Boost Speed @1k*† (km/h)</t>
  </si>
  <si>
    <t>Max Speed @1k*† (km/h)</t>
  </si>
  <si>
    <t>Boost levels &amp; time (min)</t>
  </si>
  <si>
    <t>Boosted (5)</t>
  </si>
  <si>
    <t>Boosted (10)</t>
  </si>
  <si>
    <t>none</t>
  </si>
  <si>
    <t>CBT (30) 
EMG (5)
BST (1)</t>
  </si>
  <si>
    <t>CBT (30) 
EMG (3)
BST (1)</t>
  </si>
  <si>
    <t>Clmb (30)
TO (1)</t>
  </si>
  <si>
    <t>CBT (30) 
EMG (1)</t>
  </si>
  <si>
    <t>Cbt (30)</t>
  </si>
  <si>
    <t>Mil (15)
TO (5)
Max (2)</t>
  </si>
  <si>
    <t>Cbt (30)
Emg (1)</t>
  </si>
  <si>
    <t>Cbt (30)
Emg (3)</t>
  </si>
  <si>
    <t>Intl (60)
Emg (5)</t>
  </si>
  <si>
    <t>6-1942</t>
  </si>
  <si>
    <t>Cbt (15)
WEP (5)</t>
  </si>
  <si>
    <t>Bst (5)</t>
  </si>
  <si>
    <t>Bst (10)</t>
  </si>
  <si>
    <t>Cbt (5)
TO (2)
Max (0)</t>
  </si>
  <si>
    <t>Intl (30)
Emg (5)</t>
  </si>
  <si>
    <t>Cbt (5)</t>
  </si>
  <si>
    <t>Max ROC @Above alt† (m/s)</t>
  </si>
  <si>
    <t>†True Air Speed, Data retrieved from Il-2 compare on 2019-10-22</t>
  </si>
  <si>
    <t>Type</t>
  </si>
  <si>
    <t>Fighter</t>
  </si>
  <si>
    <t>Fuel load (kg)</t>
  </si>
  <si>
    <t>custom load mass</t>
  </si>
  <si>
    <t>custom load wingload (kg/m^2)</t>
  </si>
  <si>
    <t>custom load max PWR (kW/ton)</t>
  </si>
  <si>
    <t>Attacker</t>
  </si>
  <si>
    <t>Bomber</t>
  </si>
  <si>
    <t>MC.202</t>
  </si>
  <si>
    <t>Fw 190 A3</t>
  </si>
  <si>
    <t>Yak-1b 127</t>
  </si>
  <si>
    <t>Ju52/3m</t>
  </si>
  <si>
    <t>Bf 109 G6</t>
  </si>
  <si>
    <t>Hs 129 B2</t>
  </si>
  <si>
    <t>Cbt (5)
Bst (1)</t>
  </si>
  <si>
    <t>Transport</t>
  </si>
  <si>
    <t>Cbt (30)
TO (1)</t>
  </si>
  <si>
    <t>Clmb (30)
TO (5)</t>
  </si>
  <si>
    <t>Me-262</t>
  </si>
  <si>
    <r>
      <t>Bst (5-</t>
    </r>
    <r>
      <rPr>
        <sz val="11"/>
        <color theme="1"/>
        <rFont val="Calibri"/>
        <family val="2"/>
      </rPr>
      <t>∞</t>
    </r>
    <r>
      <rPr>
        <sz val="11"/>
        <color theme="1"/>
        <rFont val="Calibri"/>
        <family val="2"/>
        <scheme val="minor"/>
      </rPr>
      <t>)</t>
    </r>
  </si>
  <si>
    <t>Fw 190 A8</t>
  </si>
  <si>
    <t>Bf 109 K4 DC</t>
  </si>
  <si>
    <t>Bf 109 G14</t>
  </si>
  <si>
    <t>Cbt (30)
Emg (10)</t>
  </si>
  <si>
    <t>Tempest Mk V</t>
  </si>
  <si>
    <t>Clmb (1)
Cbt (5)</t>
  </si>
  <si>
    <t>Fw 190 D9</t>
  </si>
  <si>
    <t>Max (15)</t>
  </si>
  <si>
    <t>Cbt (30)
Emg (3)
MW-50 (10)</t>
  </si>
  <si>
    <t>Cbt (30)
WEP (5)</t>
  </si>
  <si>
    <t>Vne (km/h)</t>
  </si>
  <si>
    <t>Fuel Load (l)</t>
  </si>
  <si>
    <t>Flight Endurance (minutes)</t>
  </si>
  <si>
    <t>fuel density (kg/l)</t>
  </si>
  <si>
    <r>
      <t>30 minute fuel load? (%)</t>
    </r>
    <r>
      <rPr>
        <sz val="11"/>
        <color theme="1"/>
        <rFont val="Calibri"/>
        <family val="2"/>
      </rPr>
      <t>‡</t>
    </r>
  </si>
  <si>
    <t>Fuel Consumption (l/min)‡</t>
  </si>
  <si>
    <t>‡ fuel consumptions and "30 minute" fuel loads are based off the aircraft's flight endurance and an assumption of 30 minutes of fuel consumption with a 1.5 factor of safety</t>
  </si>
  <si>
    <t>Fuel load (l)</t>
  </si>
  <si>
    <t>compact sheet order number</t>
  </si>
  <si>
    <t>wingload</t>
  </si>
  <si>
    <t>PWR</t>
  </si>
  <si>
    <r>
      <t>30 minute fuel load? (%)</t>
    </r>
    <r>
      <rPr>
        <sz val="8"/>
        <color theme="1"/>
        <rFont val="Calibri"/>
        <family val="2"/>
      </rPr>
      <t>‡</t>
    </r>
  </si>
  <si>
    <t>Max PWR (kW/ton)</t>
  </si>
  <si>
    <t>PWR W/ Max Payload  (kW/ton)</t>
  </si>
  <si>
    <t>30-minute std loadout mass (kg)</t>
  </si>
  <si>
    <t>30-minute std loadout Wingload (kg/m^2)</t>
  </si>
  <si>
    <t>30-minute std loadout 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</si>
</sst>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17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9" fontId="0" fillId="0" borderId="0" xfId="1" applyFont="1" applyBorder="1"/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1" fontId="0" fillId="0" borderId="4" xfId="0" applyNumberForma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2" fontId="0" fillId="0" borderId="12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91"/>
  <sheetViews>
    <sheetView topLeftCell="C8" workbookViewId="0">
      <pane xSplit="1" ySplit="1" topLeftCell="D36" activePane="bottomRight" state="frozen"/>
      <selection activeCell="C8" sqref="C8"/>
      <selection pane="topRight" activeCell="D8" sqref="D8"/>
      <selection pane="bottomLeft" activeCell="C9" sqref="C9"/>
      <selection pane="bottomRight" activeCell="K47" sqref="K47"/>
    </sheetView>
  </sheetViews>
  <sheetFormatPr defaultRowHeight="15" x14ac:dyDescent="0.25"/>
  <cols>
    <col min="1" max="1" width="0" hidden="1" customWidth="1"/>
    <col min="2" max="2" width="10.140625" hidden="1" customWidth="1"/>
    <col min="3" max="3" width="29.28515625" customWidth="1"/>
    <col min="4" max="4" width="10.7109375" customWidth="1"/>
    <col min="7" max="7" width="10" customWidth="1"/>
    <col min="12" max="12" width="10.28515625" bestFit="1" customWidth="1"/>
    <col min="16" max="16" width="11" customWidth="1"/>
    <col min="19" max="19" width="11" bestFit="1" customWidth="1"/>
    <col min="20" max="20" width="11" customWidth="1"/>
    <col min="21" max="21" width="11" bestFit="1" customWidth="1"/>
    <col min="22" max="22" width="11.5703125" bestFit="1" customWidth="1"/>
    <col min="28" max="28" width="9.7109375" bestFit="1" customWidth="1"/>
    <col min="29" max="29" width="10.85546875" customWidth="1"/>
    <col min="30" max="30" width="10" bestFit="1" customWidth="1"/>
    <col min="31" max="31" width="9.7109375" customWidth="1"/>
    <col min="34" max="34" width="1.85546875" customWidth="1"/>
    <col min="46" max="46" width="10.5703125" bestFit="1" customWidth="1"/>
    <col min="48" max="48" width="9.42578125" bestFit="1" customWidth="1"/>
  </cols>
  <sheetData>
    <row r="1" spans="3:49" hidden="1" x14ac:dyDescent="0.25"/>
    <row r="2" spans="3:49" hidden="1" x14ac:dyDescent="0.25"/>
    <row r="3" spans="3:49" hidden="1" x14ac:dyDescent="0.25"/>
    <row r="4" spans="3:49" hidden="1" x14ac:dyDescent="0.25"/>
    <row r="5" spans="3:49" hidden="1" x14ac:dyDescent="0.25"/>
    <row r="6" spans="3:49" hidden="1" x14ac:dyDescent="0.25"/>
    <row r="7" spans="3:49" hidden="1" x14ac:dyDescent="0.25">
      <c r="D7" s="1"/>
      <c r="E7" s="1"/>
      <c r="G7" s="1"/>
      <c r="H7" s="1"/>
      <c r="I7" s="1"/>
      <c r="J7" s="1"/>
      <c r="K7" s="1"/>
      <c r="L7" s="1"/>
      <c r="N7" s="1"/>
      <c r="O7" s="1"/>
      <c r="Q7" s="1"/>
    </row>
    <row r="8" spans="3:49" s="4" customFormat="1" ht="37.5" customHeight="1" thickBot="1" x14ac:dyDescent="0.3">
      <c r="C8" s="58" t="s">
        <v>1</v>
      </c>
      <c r="D8" s="17" t="s">
        <v>0</v>
      </c>
      <c r="E8" s="17" t="s">
        <v>19</v>
      </c>
      <c r="F8" s="17" t="s">
        <v>33</v>
      </c>
      <c r="G8" s="17" t="s">
        <v>20</v>
      </c>
      <c r="H8" s="17" t="s">
        <v>22</v>
      </c>
      <c r="I8" s="17" t="s">
        <v>120</v>
      </c>
      <c r="J8" s="17" t="s">
        <v>25</v>
      </c>
      <c r="K8" s="17" t="s">
        <v>26</v>
      </c>
      <c r="L8" s="17" t="s">
        <v>122</v>
      </c>
      <c r="M8" s="17" t="s">
        <v>38</v>
      </c>
      <c r="N8" s="17" t="s">
        <v>27</v>
      </c>
      <c r="O8" s="17" t="s">
        <v>28</v>
      </c>
      <c r="P8" s="17" t="s">
        <v>121</v>
      </c>
      <c r="Q8" s="17" t="s">
        <v>29</v>
      </c>
      <c r="R8" s="17" t="s">
        <v>30</v>
      </c>
      <c r="S8" s="17" t="s">
        <v>32</v>
      </c>
      <c r="T8" s="17" t="s">
        <v>124</v>
      </c>
      <c r="U8" s="17" t="s">
        <v>31</v>
      </c>
      <c r="V8" s="17" t="s">
        <v>34</v>
      </c>
      <c r="W8" s="17" t="s">
        <v>39</v>
      </c>
      <c r="X8" s="17" t="s">
        <v>35</v>
      </c>
      <c r="Y8" s="17" t="s">
        <v>37</v>
      </c>
      <c r="Z8" s="17" t="s">
        <v>79</v>
      </c>
      <c r="AA8" s="17" t="s">
        <v>80</v>
      </c>
      <c r="AB8" s="17" t="s">
        <v>132</v>
      </c>
      <c r="AC8" s="17" t="s">
        <v>138</v>
      </c>
      <c r="AD8" s="17" t="s">
        <v>134</v>
      </c>
      <c r="AE8" s="36" t="s">
        <v>133</v>
      </c>
      <c r="AF8" s="36" t="s">
        <v>136</v>
      </c>
      <c r="AG8" s="17" t="s">
        <v>130</v>
      </c>
      <c r="AH8" s="57"/>
      <c r="AI8" s="17" t="s">
        <v>60</v>
      </c>
      <c r="AJ8" s="17" t="s">
        <v>61</v>
      </c>
      <c r="AK8" s="17" t="s">
        <v>62</v>
      </c>
      <c r="AL8" s="17" t="s">
        <v>63</v>
      </c>
      <c r="AM8" s="17" t="s">
        <v>64</v>
      </c>
      <c r="AN8" s="17" t="s">
        <v>66</v>
      </c>
      <c r="AO8" s="17" t="s">
        <v>67</v>
      </c>
      <c r="AP8" s="17" t="s">
        <v>68</v>
      </c>
      <c r="AQ8" s="17" t="s">
        <v>69</v>
      </c>
      <c r="AR8" s="17" t="s">
        <v>59</v>
      </c>
      <c r="AS8" s="17" t="s">
        <v>70</v>
      </c>
      <c r="AT8" s="17" t="s">
        <v>71</v>
      </c>
      <c r="AU8" s="17" t="s">
        <v>81</v>
      </c>
      <c r="AV8" s="17" t="s">
        <v>123</v>
      </c>
      <c r="AW8" s="17" t="s">
        <v>125</v>
      </c>
    </row>
    <row r="9" spans="3:49" x14ac:dyDescent="0.25">
      <c r="C9" s="2" t="s">
        <v>2</v>
      </c>
      <c r="D9" s="4" t="s">
        <v>15</v>
      </c>
      <c r="E9" s="1" t="s">
        <v>15</v>
      </c>
      <c r="F9" s="1" t="s">
        <v>15</v>
      </c>
      <c r="G9" s="1" t="s">
        <v>21</v>
      </c>
      <c r="H9" s="1" t="s">
        <v>21</v>
      </c>
      <c r="I9" s="1" t="s">
        <v>21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21</v>
      </c>
      <c r="O9" s="1" t="s">
        <v>21</v>
      </c>
      <c r="P9" s="1" t="s">
        <v>21</v>
      </c>
      <c r="Q9" s="1" t="s">
        <v>15</v>
      </c>
      <c r="R9" s="1" t="s">
        <v>15</v>
      </c>
      <c r="S9" s="1" t="s">
        <v>21</v>
      </c>
      <c r="T9" s="1" t="s">
        <v>21</v>
      </c>
      <c r="U9" s="1" t="s">
        <v>21</v>
      </c>
      <c r="V9" s="1" t="s">
        <v>15</v>
      </c>
      <c r="W9" s="1" t="s">
        <v>15</v>
      </c>
      <c r="X9" s="1" t="s">
        <v>36</v>
      </c>
      <c r="Y9" s="1" t="s">
        <v>47</v>
      </c>
      <c r="Z9" s="1" t="s">
        <v>36</v>
      </c>
      <c r="AA9" s="1" t="s">
        <v>36</v>
      </c>
      <c r="AB9" s="1" t="s">
        <v>21</v>
      </c>
      <c r="AC9" s="1" t="s">
        <v>21</v>
      </c>
      <c r="AD9" s="1" t="s">
        <v>21</v>
      </c>
      <c r="AE9" s="1" t="s">
        <v>21</v>
      </c>
      <c r="AF9" s="1" t="s">
        <v>47</v>
      </c>
      <c r="AG9" s="1" t="s">
        <v>21</v>
      </c>
      <c r="AH9" s="19"/>
      <c r="AI9" s="1" t="s">
        <v>15</v>
      </c>
      <c r="AJ9" s="1" t="s">
        <v>15</v>
      </c>
      <c r="AK9" s="1" t="s">
        <v>21</v>
      </c>
      <c r="AL9" s="1" t="s">
        <v>21</v>
      </c>
      <c r="AM9" s="1" t="s">
        <v>15</v>
      </c>
      <c r="AN9" s="1" t="s">
        <v>15</v>
      </c>
      <c r="AO9" s="1" t="s">
        <v>21</v>
      </c>
      <c r="AP9" s="1" t="s">
        <v>21</v>
      </c>
      <c r="AQ9" s="1" t="s">
        <v>15</v>
      </c>
      <c r="AR9" s="1" t="s">
        <v>15</v>
      </c>
      <c r="AS9" s="1" t="s">
        <v>21</v>
      </c>
      <c r="AT9" s="1" t="s">
        <v>21</v>
      </c>
      <c r="AU9" s="1" t="s">
        <v>47</v>
      </c>
      <c r="AV9" s="1" t="s">
        <v>21</v>
      </c>
      <c r="AW9" s="1" t="s">
        <v>21</v>
      </c>
    </row>
    <row r="10" spans="3:49" x14ac:dyDescent="0.25">
      <c r="C10" s="8" t="s">
        <v>48</v>
      </c>
      <c r="D10" s="12" t="s">
        <v>49</v>
      </c>
      <c r="E10" s="9" t="s">
        <v>49</v>
      </c>
      <c r="F10" s="9" t="s">
        <v>49</v>
      </c>
      <c r="G10" s="9" t="s">
        <v>49</v>
      </c>
      <c r="H10" s="9" t="s">
        <v>49</v>
      </c>
      <c r="I10" s="9" t="s">
        <v>49</v>
      </c>
      <c r="J10" s="9" t="s">
        <v>50</v>
      </c>
      <c r="K10" s="9" t="s">
        <v>50</v>
      </c>
      <c r="L10" s="9"/>
      <c r="M10" s="9" t="s">
        <v>50</v>
      </c>
      <c r="N10" s="9" t="s">
        <v>50</v>
      </c>
      <c r="O10" s="9" t="s">
        <v>50</v>
      </c>
      <c r="P10" s="9" t="s">
        <v>50</v>
      </c>
      <c r="Q10" s="9" t="s">
        <v>51</v>
      </c>
      <c r="R10" s="9" t="s">
        <v>51</v>
      </c>
      <c r="S10" s="9" t="s">
        <v>51</v>
      </c>
      <c r="T10" s="9"/>
      <c r="U10" s="9" t="s">
        <v>51</v>
      </c>
      <c r="V10" s="9" t="s">
        <v>51</v>
      </c>
      <c r="W10" s="9"/>
      <c r="X10" s="9" t="s">
        <v>52</v>
      </c>
      <c r="Y10" s="9" t="s">
        <v>52</v>
      </c>
      <c r="Z10" s="9" t="s">
        <v>52</v>
      </c>
      <c r="AA10" s="9" t="s">
        <v>52</v>
      </c>
      <c r="AB10" s="9" t="s">
        <v>52</v>
      </c>
      <c r="AC10" s="9" t="s">
        <v>52</v>
      </c>
      <c r="AD10" s="9" t="s">
        <v>52</v>
      </c>
      <c r="AE10" s="9" t="s">
        <v>52</v>
      </c>
      <c r="AF10" s="9" t="s">
        <v>52</v>
      </c>
      <c r="AG10" s="9" t="s">
        <v>52</v>
      </c>
      <c r="AH10" s="19"/>
      <c r="AI10" s="1" t="s">
        <v>49</v>
      </c>
      <c r="AJ10" s="1" t="s">
        <v>49</v>
      </c>
      <c r="AK10" s="1" t="s">
        <v>49</v>
      </c>
      <c r="AL10" s="1" t="s">
        <v>49</v>
      </c>
      <c r="AM10" s="1" t="s">
        <v>65</v>
      </c>
      <c r="AN10" s="1" t="s">
        <v>65</v>
      </c>
      <c r="AO10" s="1" t="s">
        <v>65</v>
      </c>
      <c r="AP10" s="1" t="s">
        <v>65</v>
      </c>
      <c r="AQ10" s="1" t="s">
        <v>51</v>
      </c>
      <c r="AR10" s="1" t="s">
        <v>51</v>
      </c>
      <c r="AS10" s="1" t="s">
        <v>51</v>
      </c>
      <c r="AT10" s="1" t="s">
        <v>51</v>
      </c>
      <c r="AU10" s="1" t="s">
        <v>52</v>
      </c>
      <c r="AV10" s="1"/>
      <c r="AW10" s="1" t="s">
        <v>51</v>
      </c>
    </row>
    <row r="11" spans="3:49" x14ac:dyDescent="0.25">
      <c r="C11" s="2" t="s">
        <v>40</v>
      </c>
      <c r="D11" s="34">
        <v>15128</v>
      </c>
      <c r="E11" s="35">
        <v>15158</v>
      </c>
      <c r="F11" s="35">
        <v>15311</v>
      </c>
      <c r="G11" s="35">
        <v>14824</v>
      </c>
      <c r="H11" s="35">
        <v>15036</v>
      </c>
      <c r="I11" s="35">
        <v>15493</v>
      </c>
      <c r="J11" s="35">
        <v>15462</v>
      </c>
      <c r="K11" s="35">
        <v>15462</v>
      </c>
      <c r="L11" s="35">
        <v>15797</v>
      </c>
      <c r="M11" s="35">
        <v>15585</v>
      </c>
      <c r="N11" s="35">
        <v>15128</v>
      </c>
      <c r="O11" s="35">
        <v>15462</v>
      </c>
      <c r="P11" s="35">
        <v>15401</v>
      </c>
      <c r="Q11" s="35">
        <v>15462</v>
      </c>
      <c r="R11" s="35">
        <v>15646</v>
      </c>
      <c r="S11" s="35">
        <v>15827</v>
      </c>
      <c r="T11" s="35">
        <v>15738</v>
      </c>
      <c r="U11" s="35">
        <v>15827</v>
      </c>
      <c r="V11" s="35">
        <v>15008</v>
      </c>
      <c r="W11" s="35">
        <v>15858</v>
      </c>
      <c r="X11" s="1">
        <v>1944</v>
      </c>
      <c r="Y11" s="1" t="s">
        <v>103</v>
      </c>
      <c r="Z11" s="1">
        <v>1944</v>
      </c>
      <c r="AA11" s="1">
        <v>1944</v>
      </c>
      <c r="AB11" s="35">
        <v>16193</v>
      </c>
      <c r="AC11" s="35">
        <v>16316</v>
      </c>
      <c r="AD11" s="35">
        <v>16254</v>
      </c>
      <c r="AE11" s="35">
        <v>16346</v>
      </c>
      <c r="AF11" s="35">
        <v>16193</v>
      </c>
      <c r="AG11" s="35">
        <v>16254</v>
      </c>
      <c r="AH11" s="19"/>
      <c r="AI11" s="35">
        <v>15128</v>
      </c>
      <c r="AJ11" s="35">
        <v>15158</v>
      </c>
      <c r="AK11" s="35">
        <v>14885</v>
      </c>
      <c r="AL11" s="1">
        <v>1941</v>
      </c>
      <c r="AM11" s="35">
        <v>15493</v>
      </c>
      <c r="AN11" s="35">
        <v>15462</v>
      </c>
      <c r="AO11" s="35">
        <v>15401</v>
      </c>
      <c r="AP11" s="35">
        <v>15128</v>
      </c>
      <c r="AQ11" s="35">
        <v>15738</v>
      </c>
      <c r="AR11" s="35">
        <v>15462</v>
      </c>
      <c r="AS11" s="35">
        <v>15646</v>
      </c>
      <c r="AT11" s="1">
        <v>1943</v>
      </c>
      <c r="AU11" s="1">
        <v>1942</v>
      </c>
      <c r="AV11" s="1">
        <v>1936</v>
      </c>
      <c r="AW11" s="35">
        <v>15462</v>
      </c>
    </row>
    <row r="12" spans="3:49" x14ac:dyDescent="0.25">
      <c r="C12" s="2" t="s">
        <v>112</v>
      </c>
      <c r="D12" s="4" t="s">
        <v>113</v>
      </c>
      <c r="E12" s="1" t="s">
        <v>113</v>
      </c>
      <c r="F12" s="1" t="s">
        <v>113</v>
      </c>
      <c r="G12" s="1" t="s">
        <v>113</v>
      </c>
      <c r="H12" s="1" t="s">
        <v>113</v>
      </c>
      <c r="I12" s="1" t="s">
        <v>113</v>
      </c>
      <c r="J12" s="1" t="s">
        <v>113</v>
      </c>
      <c r="K12" s="1" t="s">
        <v>113</v>
      </c>
      <c r="L12" s="1" t="s">
        <v>113</v>
      </c>
      <c r="M12" s="1" t="s">
        <v>113</v>
      </c>
      <c r="N12" s="1" t="s">
        <v>113</v>
      </c>
      <c r="O12" s="1" t="s">
        <v>113</v>
      </c>
      <c r="P12" s="1" t="s">
        <v>113</v>
      </c>
      <c r="Q12" s="1" t="s">
        <v>113</v>
      </c>
      <c r="R12" s="1" t="s">
        <v>113</v>
      </c>
      <c r="S12" s="1" t="s">
        <v>113</v>
      </c>
      <c r="T12" s="1" t="s">
        <v>113</v>
      </c>
      <c r="U12" s="1" t="s">
        <v>113</v>
      </c>
      <c r="V12" s="1" t="s">
        <v>113</v>
      </c>
      <c r="W12" s="1" t="s">
        <v>113</v>
      </c>
      <c r="X12" s="1" t="s">
        <v>113</v>
      </c>
      <c r="Y12" s="1" t="s">
        <v>113</v>
      </c>
      <c r="Z12" s="1" t="s">
        <v>113</v>
      </c>
      <c r="AA12" s="1" t="s">
        <v>113</v>
      </c>
      <c r="AB12" s="1" t="s">
        <v>113</v>
      </c>
      <c r="AC12" s="1" t="s">
        <v>113</v>
      </c>
      <c r="AD12" s="1" t="s">
        <v>113</v>
      </c>
      <c r="AE12" s="1" t="s">
        <v>113</v>
      </c>
      <c r="AF12" s="1" t="s">
        <v>113</v>
      </c>
      <c r="AG12" s="1" t="s">
        <v>113</v>
      </c>
      <c r="AH12" s="19"/>
      <c r="AI12" s="1" t="s">
        <v>118</v>
      </c>
      <c r="AJ12" s="1" t="s">
        <v>119</v>
      </c>
      <c r="AK12" s="1" t="s">
        <v>118</v>
      </c>
      <c r="AL12" s="1" t="s">
        <v>119</v>
      </c>
      <c r="AM12" s="1" t="s">
        <v>118</v>
      </c>
      <c r="AN12" s="1" t="s">
        <v>119</v>
      </c>
      <c r="AO12" s="1" t="s">
        <v>119</v>
      </c>
      <c r="AP12" s="1" t="s">
        <v>119</v>
      </c>
      <c r="AQ12" s="1" t="s">
        <v>118</v>
      </c>
      <c r="AR12" s="1" t="s">
        <v>119</v>
      </c>
      <c r="AS12" s="1" t="s">
        <v>118</v>
      </c>
      <c r="AT12" s="1" t="s">
        <v>119</v>
      </c>
      <c r="AU12" s="1" t="s">
        <v>119</v>
      </c>
      <c r="AV12" s="1" t="s">
        <v>127</v>
      </c>
      <c r="AW12" s="1" t="s">
        <v>118</v>
      </c>
    </row>
    <row r="13" spans="3:49" hidden="1" x14ac:dyDescent="0.25">
      <c r="C13" s="56" t="s">
        <v>150</v>
      </c>
      <c r="D13" s="4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  <c r="Z13" s="1">
        <v>23</v>
      </c>
      <c r="AA13" s="1">
        <v>24</v>
      </c>
      <c r="AB13" s="1">
        <v>25</v>
      </c>
      <c r="AC13" s="1">
        <v>26</v>
      </c>
      <c r="AD13" s="1">
        <v>27</v>
      </c>
      <c r="AE13" s="1">
        <v>28</v>
      </c>
      <c r="AF13" s="1">
        <v>29</v>
      </c>
      <c r="AG13" s="1">
        <v>30</v>
      </c>
      <c r="AH13" s="1">
        <v>31</v>
      </c>
      <c r="AI13" s="1">
        <v>32</v>
      </c>
      <c r="AJ13" s="1">
        <v>33</v>
      </c>
      <c r="AK13" s="1">
        <v>34</v>
      </c>
      <c r="AL13" s="1">
        <v>35</v>
      </c>
      <c r="AM13" s="1">
        <v>36</v>
      </c>
      <c r="AN13" s="1">
        <v>37</v>
      </c>
      <c r="AO13" s="1">
        <v>38</v>
      </c>
      <c r="AP13" s="1">
        <v>39</v>
      </c>
      <c r="AQ13" s="1">
        <v>40</v>
      </c>
      <c r="AR13" s="1">
        <v>41</v>
      </c>
      <c r="AS13" s="1">
        <v>42</v>
      </c>
      <c r="AT13" s="1">
        <v>43</v>
      </c>
      <c r="AU13" s="1">
        <v>44</v>
      </c>
      <c r="AV13" s="1">
        <v>45</v>
      </c>
      <c r="AW13" s="1">
        <v>46</v>
      </c>
    </row>
    <row r="14" spans="3:49" x14ac:dyDescent="0.25">
      <c r="C14" s="6" t="s">
        <v>16</v>
      </c>
      <c r="D14" s="7">
        <v>143</v>
      </c>
      <c r="E14" s="7">
        <v>159</v>
      </c>
      <c r="F14" s="7">
        <v>153</v>
      </c>
      <c r="G14" s="7">
        <v>152</v>
      </c>
      <c r="H14" s="7">
        <v>151</v>
      </c>
      <c r="I14" s="7">
        <v>151</v>
      </c>
      <c r="J14" s="7">
        <v>163</v>
      </c>
      <c r="K14" s="7">
        <v>155</v>
      </c>
      <c r="L14" s="7">
        <v>153</v>
      </c>
      <c r="M14" s="7">
        <v>165</v>
      </c>
      <c r="N14" s="7">
        <v>154</v>
      </c>
      <c r="O14" s="7">
        <v>158</v>
      </c>
      <c r="P14" s="7">
        <v>166</v>
      </c>
      <c r="Q14" s="7">
        <v>155</v>
      </c>
      <c r="R14" s="7">
        <v>160</v>
      </c>
      <c r="S14" s="7">
        <v>165</v>
      </c>
      <c r="T14" s="7">
        <v>160</v>
      </c>
      <c r="U14" s="7">
        <v>169</v>
      </c>
      <c r="V14" s="7">
        <v>137</v>
      </c>
      <c r="W14" s="7">
        <v>168</v>
      </c>
      <c r="X14" s="7">
        <v>178</v>
      </c>
      <c r="Y14" s="7">
        <v>143</v>
      </c>
      <c r="Z14" s="7">
        <v>159</v>
      </c>
      <c r="AA14" s="7">
        <v>179</v>
      </c>
      <c r="AB14" s="7">
        <v>177</v>
      </c>
      <c r="AC14" s="7">
        <v>174</v>
      </c>
      <c r="AD14" s="7">
        <v>164</v>
      </c>
      <c r="AE14" s="7">
        <v>167</v>
      </c>
      <c r="AF14" s="7">
        <v>140</v>
      </c>
      <c r="AG14" s="7">
        <v>165</v>
      </c>
      <c r="AH14" s="19"/>
      <c r="AI14" s="7">
        <v>136</v>
      </c>
      <c r="AJ14" s="7">
        <v>175</v>
      </c>
      <c r="AK14" s="7">
        <v>148</v>
      </c>
      <c r="AL14" s="7">
        <v>188</v>
      </c>
      <c r="AM14" s="7">
        <v>138</v>
      </c>
      <c r="AN14" s="7">
        <v>175</v>
      </c>
      <c r="AO14" s="7">
        <v>176</v>
      </c>
      <c r="AP14" s="7">
        <v>184</v>
      </c>
      <c r="AQ14" s="7">
        <v>159</v>
      </c>
      <c r="AR14" s="7">
        <v>193</v>
      </c>
      <c r="AS14" s="7">
        <v>190</v>
      </c>
      <c r="AT14" s="7">
        <v>194</v>
      </c>
      <c r="AU14" s="7">
        <v>160</v>
      </c>
      <c r="AV14" s="7">
        <v>105</v>
      </c>
      <c r="AW14" s="7">
        <v>143</v>
      </c>
    </row>
    <row r="15" spans="3:49" x14ac:dyDescent="0.25">
      <c r="C15" s="8" t="s">
        <v>17</v>
      </c>
      <c r="D15" s="9">
        <v>164</v>
      </c>
      <c r="E15" s="9">
        <v>175</v>
      </c>
      <c r="F15" s="9">
        <v>176</v>
      </c>
      <c r="G15" s="9">
        <v>159</v>
      </c>
      <c r="H15" s="9">
        <v>168</v>
      </c>
      <c r="I15" s="9">
        <v>166</v>
      </c>
      <c r="J15" s="9">
        <v>189</v>
      </c>
      <c r="K15" s="9">
        <v>171</v>
      </c>
      <c r="L15" s="9">
        <v>169</v>
      </c>
      <c r="M15" s="9">
        <v>183</v>
      </c>
      <c r="N15" s="9">
        <v>171</v>
      </c>
      <c r="O15" s="9">
        <v>174</v>
      </c>
      <c r="P15" s="9">
        <v>189</v>
      </c>
      <c r="Q15" s="9">
        <v>172</v>
      </c>
      <c r="R15" s="9">
        <v>172</v>
      </c>
      <c r="S15" s="9">
        <v>175</v>
      </c>
      <c r="T15" s="9">
        <v>177</v>
      </c>
      <c r="U15" s="9">
        <v>195</v>
      </c>
      <c r="V15" s="9">
        <v>144</v>
      </c>
      <c r="W15" s="9">
        <v>185</v>
      </c>
      <c r="X15" s="9">
        <v>222</v>
      </c>
      <c r="Y15" s="9">
        <v>163</v>
      </c>
      <c r="Z15" s="9">
        <v>196</v>
      </c>
      <c r="AA15" s="9">
        <v>220</v>
      </c>
      <c r="AB15" s="9">
        <v>208</v>
      </c>
      <c r="AC15" s="9">
        <v>197</v>
      </c>
      <c r="AD15" s="9">
        <v>181</v>
      </c>
      <c r="AE15" s="9">
        <v>190</v>
      </c>
      <c r="AF15" s="9">
        <v>163</v>
      </c>
      <c r="AG15" s="9">
        <v>200</v>
      </c>
      <c r="AH15" s="19"/>
      <c r="AI15" s="9">
        <v>156</v>
      </c>
      <c r="AJ15" s="9">
        <v>200</v>
      </c>
      <c r="AK15" s="9">
        <v>182</v>
      </c>
      <c r="AL15" s="9">
        <v>205</v>
      </c>
      <c r="AM15" s="9">
        <v>158</v>
      </c>
      <c r="AN15" s="9">
        <v>200</v>
      </c>
      <c r="AO15" s="9">
        <v>137</v>
      </c>
      <c r="AP15" s="9">
        <v>150</v>
      </c>
      <c r="AQ15" s="9">
        <v>144</v>
      </c>
      <c r="AR15" s="9">
        <v>161</v>
      </c>
      <c r="AS15" s="9">
        <v>160</v>
      </c>
      <c r="AT15" s="9">
        <v>150</v>
      </c>
      <c r="AU15" s="9">
        <v>191</v>
      </c>
      <c r="AV15" s="9">
        <v>117</v>
      </c>
      <c r="AW15" s="9">
        <v>159</v>
      </c>
    </row>
    <row r="16" spans="3:49" x14ac:dyDescent="0.25">
      <c r="C16" s="10" t="s">
        <v>7</v>
      </c>
      <c r="D16" s="11">
        <v>17.600000000000001</v>
      </c>
      <c r="E16" s="11">
        <v>17.3</v>
      </c>
      <c r="F16" s="11">
        <v>14</v>
      </c>
      <c r="G16" s="11">
        <v>20</v>
      </c>
      <c r="H16" s="11">
        <v>19.7</v>
      </c>
      <c r="I16" s="11">
        <v>19.600000000000001</v>
      </c>
      <c r="J16" s="11">
        <v>18</v>
      </c>
      <c r="K16" s="11">
        <v>18</v>
      </c>
      <c r="L16" s="11">
        <v>18</v>
      </c>
      <c r="M16" s="11">
        <v>22.7</v>
      </c>
      <c r="N16" s="11">
        <v>19.899999999999999</v>
      </c>
      <c r="O16" s="11">
        <v>19.8</v>
      </c>
      <c r="P16" s="11">
        <v>19.5</v>
      </c>
      <c r="Q16" s="11">
        <v>20</v>
      </c>
      <c r="R16" s="11">
        <v>18.3</v>
      </c>
      <c r="S16" s="11">
        <v>19.8</v>
      </c>
      <c r="T16" s="11">
        <v>19.8</v>
      </c>
      <c r="U16" s="11">
        <v>19.5</v>
      </c>
      <c r="V16" s="11">
        <v>18.8</v>
      </c>
      <c r="W16" s="11">
        <v>22.2</v>
      </c>
      <c r="X16" s="11">
        <v>17.100000000000001</v>
      </c>
      <c r="Y16" s="11">
        <v>18.8</v>
      </c>
      <c r="Z16" s="11">
        <v>19.100000000000001</v>
      </c>
      <c r="AA16" s="11">
        <v>14.1</v>
      </c>
      <c r="AB16" s="11">
        <v>19.5</v>
      </c>
      <c r="AC16" s="11">
        <v>19.5</v>
      </c>
      <c r="AD16" s="11">
        <v>19.8</v>
      </c>
      <c r="AE16" s="11">
        <v>19.8</v>
      </c>
      <c r="AF16" s="11">
        <v>17.5</v>
      </c>
      <c r="AG16" s="11">
        <v>17</v>
      </c>
      <c r="AH16" s="19"/>
      <c r="AI16" s="11">
        <v>19.399999999999999</v>
      </c>
      <c r="AJ16" s="11">
        <v>13.9</v>
      </c>
      <c r="AK16" s="11">
        <v>20.7</v>
      </c>
      <c r="AL16" s="11">
        <v>21</v>
      </c>
      <c r="AM16" s="11">
        <v>19.399999999999999</v>
      </c>
      <c r="AN16" s="11">
        <v>13.9</v>
      </c>
      <c r="AO16" s="11">
        <v>19.899999999999999</v>
      </c>
      <c r="AP16" s="11">
        <v>20</v>
      </c>
      <c r="AQ16" s="11">
        <v>19.399999999999999</v>
      </c>
      <c r="AR16" s="11">
        <v>19.100000000000001</v>
      </c>
      <c r="AS16" s="11">
        <v>20.3</v>
      </c>
      <c r="AT16" s="11">
        <v>20</v>
      </c>
      <c r="AU16" s="11">
        <v>18.3</v>
      </c>
      <c r="AV16" s="11">
        <v>20</v>
      </c>
      <c r="AW16" s="11">
        <v>20</v>
      </c>
    </row>
    <row r="17" spans="3:49" x14ac:dyDescent="0.25">
      <c r="C17" s="10" t="s">
        <v>73</v>
      </c>
      <c r="D17" s="11">
        <v>12</v>
      </c>
      <c r="E17" s="11">
        <v>12.8</v>
      </c>
      <c r="F17" s="11">
        <v>12.2</v>
      </c>
      <c r="G17" s="11">
        <v>11</v>
      </c>
      <c r="H17" s="11">
        <v>11</v>
      </c>
      <c r="I17" s="11">
        <v>14.8</v>
      </c>
      <c r="J17" s="11">
        <v>11</v>
      </c>
      <c r="K17" s="11">
        <v>10.3</v>
      </c>
      <c r="L17" s="11">
        <v>10.3</v>
      </c>
      <c r="M17" s="11">
        <v>10</v>
      </c>
      <c r="N17" s="11">
        <v>11</v>
      </c>
      <c r="O17" s="11">
        <v>10.5</v>
      </c>
      <c r="P17" s="11">
        <v>11</v>
      </c>
      <c r="Q17" s="11">
        <v>11.5</v>
      </c>
      <c r="R17" s="11">
        <v>13</v>
      </c>
      <c r="S17" s="11">
        <v>10.5</v>
      </c>
      <c r="T17" s="11">
        <v>10.5</v>
      </c>
      <c r="U17" s="11">
        <v>11</v>
      </c>
      <c r="V17" s="11">
        <v>12.5</v>
      </c>
      <c r="W17" s="11">
        <v>10</v>
      </c>
      <c r="X17" s="11">
        <v>11</v>
      </c>
      <c r="Y17" s="11">
        <v>12.5</v>
      </c>
      <c r="Z17" s="11">
        <v>10</v>
      </c>
      <c r="AA17" s="11">
        <v>9</v>
      </c>
      <c r="AB17" s="11">
        <v>11</v>
      </c>
      <c r="AC17" s="11">
        <v>11</v>
      </c>
      <c r="AD17" s="11">
        <v>10.5</v>
      </c>
      <c r="AE17" s="11">
        <v>10.5</v>
      </c>
      <c r="AF17" s="11">
        <v>12</v>
      </c>
      <c r="AG17" s="11">
        <v>12.5</v>
      </c>
      <c r="AH17" s="20"/>
      <c r="AI17" s="11">
        <v>11.5</v>
      </c>
      <c r="AJ17" s="11">
        <v>11</v>
      </c>
      <c r="AK17" s="11">
        <v>11</v>
      </c>
      <c r="AL17" s="11">
        <v>8</v>
      </c>
      <c r="AM17" s="11">
        <v>10.5</v>
      </c>
      <c r="AN17" s="11">
        <v>11</v>
      </c>
      <c r="AO17" s="11">
        <v>9</v>
      </c>
      <c r="AP17" s="11">
        <v>4.5</v>
      </c>
      <c r="AQ17" s="11">
        <v>10.5</v>
      </c>
      <c r="AR17" s="11">
        <v>6.5</v>
      </c>
      <c r="AS17" s="11">
        <v>11</v>
      </c>
      <c r="AT17" s="11">
        <v>4.5</v>
      </c>
      <c r="AU17" s="11">
        <v>6.5</v>
      </c>
      <c r="AV17" s="11">
        <v>4</v>
      </c>
      <c r="AW17" s="11">
        <v>9</v>
      </c>
    </row>
    <row r="18" spans="3:49" s="28" customFormat="1" ht="51.75" customHeight="1" x14ac:dyDescent="0.25">
      <c r="C18" s="29" t="s">
        <v>90</v>
      </c>
      <c r="D18" s="30" t="s">
        <v>91</v>
      </c>
      <c r="E18" s="30" t="s">
        <v>92</v>
      </c>
      <c r="F18" s="30" t="s">
        <v>107</v>
      </c>
      <c r="G18" s="30" t="s">
        <v>94</v>
      </c>
      <c r="H18" s="30" t="s">
        <v>95</v>
      </c>
      <c r="I18" s="30" t="s">
        <v>126</v>
      </c>
      <c r="J18" s="30" t="s">
        <v>93</v>
      </c>
      <c r="K18" s="30" t="s">
        <v>93</v>
      </c>
      <c r="L18" s="30" t="s">
        <v>93</v>
      </c>
      <c r="M18" s="30" t="s">
        <v>131</v>
      </c>
      <c r="N18" s="30" t="s">
        <v>97</v>
      </c>
      <c r="O18" s="30" t="s">
        <v>98</v>
      </c>
      <c r="P18" s="30" t="s">
        <v>101</v>
      </c>
      <c r="Q18" s="30" t="s">
        <v>93</v>
      </c>
      <c r="R18" s="30" t="s">
        <v>99</v>
      </c>
      <c r="S18" s="30" t="s">
        <v>100</v>
      </c>
      <c r="T18" s="30" t="s">
        <v>100</v>
      </c>
      <c r="U18" s="30" t="s">
        <v>101</v>
      </c>
      <c r="V18" s="30" t="s">
        <v>108</v>
      </c>
      <c r="W18" s="30" t="s">
        <v>106</v>
      </c>
      <c r="X18" s="30" t="s">
        <v>104</v>
      </c>
      <c r="Y18" s="30" t="s">
        <v>102</v>
      </c>
      <c r="Z18" s="30" t="s">
        <v>104</v>
      </c>
      <c r="AA18" s="30" t="s">
        <v>141</v>
      </c>
      <c r="AB18" s="30" t="s">
        <v>101</v>
      </c>
      <c r="AC18" s="30" t="s">
        <v>140</v>
      </c>
      <c r="AD18" s="30" t="s">
        <v>135</v>
      </c>
      <c r="AE18" s="30" t="s">
        <v>135</v>
      </c>
      <c r="AF18" s="30" t="s">
        <v>137</v>
      </c>
      <c r="AG18" s="30" t="s">
        <v>139</v>
      </c>
      <c r="AH18" s="31"/>
      <c r="AI18" s="30" t="s">
        <v>92</v>
      </c>
      <c r="AJ18" s="30" t="s">
        <v>93</v>
      </c>
      <c r="AK18" s="30" t="s">
        <v>94</v>
      </c>
      <c r="AL18" s="30" t="s">
        <v>96</v>
      </c>
      <c r="AM18" s="30" t="s">
        <v>92</v>
      </c>
      <c r="AN18" s="30" t="s">
        <v>93</v>
      </c>
      <c r="AO18" s="30" t="s">
        <v>96</v>
      </c>
      <c r="AP18" s="30" t="s">
        <v>96</v>
      </c>
      <c r="AQ18" s="30" t="s">
        <v>105</v>
      </c>
      <c r="AR18" s="30" t="s">
        <v>109</v>
      </c>
      <c r="AS18" s="30" t="s">
        <v>100</v>
      </c>
      <c r="AT18" s="30" t="s">
        <v>96</v>
      </c>
      <c r="AU18" s="30"/>
      <c r="AV18" s="30" t="s">
        <v>129</v>
      </c>
      <c r="AW18" s="30" t="s">
        <v>128</v>
      </c>
    </row>
    <row r="19" spans="3:49" x14ac:dyDescent="0.25">
      <c r="C19" s="8" t="s">
        <v>142</v>
      </c>
      <c r="D19" s="9">
        <v>620</v>
      </c>
      <c r="E19" s="9">
        <v>750</v>
      </c>
      <c r="F19" s="9">
        <v>860</v>
      </c>
      <c r="G19" s="9">
        <v>850</v>
      </c>
      <c r="H19" s="9">
        <v>850</v>
      </c>
      <c r="I19" s="9">
        <v>850</v>
      </c>
      <c r="J19" s="9">
        <v>750</v>
      </c>
      <c r="K19" s="9">
        <v>720</v>
      </c>
      <c r="L19" s="9">
        <v>720</v>
      </c>
      <c r="M19" s="9">
        <v>720</v>
      </c>
      <c r="N19" s="9">
        <v>850</v>
      </c>
      <c r="O19" s="9">
        <v>850</v>
      </c>
      <c r="P19" s="9">
        <v>850</v>
      </c>
      <c r="Q19" s="9">
        <v>740</v>
      </c>
      <c r="R19" s="9">
        <v>841</v>
      </c>
      <c r="S19" s="9">
        <v>850</v>
      </c>
      <c r="T19" s="9">
        <v>850</v>
      </c>
      <c r="U19" s="9">
        <v>850</v>
      </c>
      <c r="V19" s="9">
        <v>725</v>
      </c>
      <c r="W19" s="9">
        <v>720</v>
      </c>
      <c r="X19" s="9">
        <v>805</v>
      </c>
      <c r="Y19" s="9">
        <v>725</v>
      </c>
      <c r="Z19" s="9">
        <v>812</v>
      </c>
      <c r="AA19" s="9">
        <v>725</v>
      </c>
      <c r="AB19" s="9">
        <v>850</v>
      </c>
      <c r="AC19" s="9">
        <v>850</v>
      </c>
      <c r="AD19" s="9">
        <v>850</v>
      </c>
      <c r="AE19" s="9">
        <v>850</v>
      </c>
      <c r="AF19" s="9">
        <v>870</v>
      </c>
      <c r="AG19" s="9">
        <v>1000</v>
      </c>
      <c r="AH19" s="19"/>
      <c r="AI19" s="9">
        <v>570</v>
      </c>
      <c r="AJ19" s="9">
        <v>790</v>
      </c>
      <c r="AK19" s="9">
        <v>740</v>
      </c>
      <c r="AL19" s="9">
        <v>670</v>
      </c>
      <c r="AM19" s="9">
        <v>570</v>
      </c>
      <c r="AN19" s="9">
        <v>790</v>
      </c>
      <c r="AO19" s="9">
        <v>650</v>
      </c>
      <c r="AP19" s="9">
        <v>560</v>
      </c>
      <c r="AQ19" s="9">
        <v>570</v>
      </c>
      <c r="AR19" s="9">
        <v>665</v>
      </c>
      <c r="AS19" s="9">
        <v>740</v>
      </c>
      <c r="AT19" s="9">
        <v>560</v>
      </c>
      <c r="AU19" s="9">
        <v>544</v>
      </c>
      <c r="AV19" s="9">
        <v>330</v>
      </c>
      <c r="AW19" s="9">
        <v>670</v>
      </c>
    </row>
    <row r="20" spans="3:49" x14ac:dyDescent="0.25">
      <c r="C20" s="8" t="s">
        <v>74</v>
      </c>
      <c r="D20" s="9"/>
      <c r="E20" s="9">
        <v>493</v>
      </c>
      <c r="F20" s="9"/>
      <c r="G20" s="9"/>
      <c r="H20" s="9"/>
      <c r="I20" s="9"/>
      <c r="J20" s="9">
        <v>505</v>
      </c>
      <c r="K20" s="9">
        <v>514</v>
      </c>
      <c r="L20" s="9">
        <v>530</v>
      </c>
      <c r="M20" s="9">
        <v>571</v>
      </c>
      <c r="N20" s="9">
        <v>522</v>
      </c>
      <c r="O20" s="9">
        <v>530</v>
      </c>
      <c r="P20" s="9">
        <v>535</v>
      </c>
      <c r="Q20" s="9">
        <v>526</v>
      </c>
      <c r="R20" s="9"/>
      <c r="S20" s="9">
        <v>517</v>
      </c>
      <c r="T20" s="9">
        <v>505</v>
      </c>
      <c r="U20" s="9">
        <v>533</v>
      </c>
      <c r="V20" s="9">
        <v>480</v>
      </c>
      <c r="W20" s="9">
        <v>583</v>
      </c>
      <c r="X20" s="9">
        <v>502</v>
      </c>
      <c r="Y20" s="9"/>
      <c r="Z20" s="9">
        <v>578</v>
      </c>
      <c r="AA20" s="9">
        <v>540</v>
      </c>
      <c r="AB20" s="9">
        <v>532</v>
      </c>
      <c r="AC20" s="9">
        <v>565</v>
      </c>
      <c r="AD20" s="9">
        <v>505</v>
      </c>
      <c r="AE20" s="9">
        <v>543</v>
      </c>
      <c r="AF20" s="9"/>
      <c r="AG20" s="9">
        <v>759</v>
      </c>
      <c r="AH20" s="19"/>
      <c r="AI20" s="9">
        <v>421</v>
      </c>
      <c r="AJ20" s="9">
        <v>434</v>
      </c>
      <c r="AK20" s="9"/>
      <c r="AL20" s="9">
        <v>424</v>
      </c>
      <c r="AM20" s="9">
        <v>380</v>
      </c>
      <c r="AN20" s="9">
        <v>446</v>
      </c>
      <c r="AO20" s="9">
        <v>367</v>
      </c>
      <c r="AP20" s="9">
        <v>369</v>
      </c>
      <c r="AQ20" s="9">
        <v>389</v>
      </c>
      <c r="AR20" s="9">
        <v>467</v>
      </c>
      <c r="AS20" s="9">
        <v>489</v>
      </c>
      <c r="AT20" s="9">
        <v>370</v>
      </c>
      <c r="AU20" s="9">
        <v>419</v>
      </c>
      <c r="AV20" s="9">
        <v>260</v>
      </c>
      <c r="AW20" s="9">
        <v>349</v>
      </c>
    </row>
    <row r="21" spans="3:49" x14ac:dyDescent="0.25">
      <c r="C21" s="10" t="s">
        <v>75</v>
      </c>
      <c r="D21" s="11">
        <v>448</v>
      </c>
      <c r="E21" s="11">
        <v>525</v>
      </c>
      <c r="F21" s="11">
        <v>494</v>
      </c>
      <c r="G21" s="11">
        <v>477</v>
      </c>
      <c r="H21" s="11">
        <v>528</v>
      </c>
      <c r="I21" s="11">
        <v>500</v>
      </c>
      <c r="J21" s="11"/>
      <c r="K21" s="11"/>
      <c r="L21" s="11"/>
      <c r="M21" s="11">
        <v>544</v>
      </c>
      <c r="N21" s="11"/>
      <c r="O21" s="11"/>
      <c r="P21" s="11">
        <v>560</v>
      </c>
      <c r="Q21" s="11"/>
      <c r="R21" s="11">
        <v>539</v>
      </c>
      <c r="S21" s="11">
        <v>540</v>
      </c>
      <c r="T21" s="11">
        <v>529</v>
      </c>
      <c r="U21" s="11">
        <v>558</v>
      </c>
      <c r="V21" s="11">
        <v>535</v>
      </c>
      <c r="W21" s="11">
        <v>552</v>
      </c>
      <c r="X21" s="11">
        <v>557</v>
      </c>
      <c r="Y21" s="11">
        <v>542</v>
      </c>
      <c r="Z21" s="11">
        <v>607</v>
      </c>
      <c r="AA21" s="11">
        <v>557</v>
      </c>
      <c r="AB21" s="11">
        <v>558</v>
      </c>
      <c r="AC21" s="11">
        <v>607</v>
      </c>
      <c r="AD21" s="11">
        <v>576</v>
      </c>
      <c r="AE21" s="11">
        <v>599</v>
      </c>
      <c r="AF21" s="11">
        <v>600</v>
      </c>
      <c r="AG21" s="11">
        <v>837</v>
      </c>
      <c r="AH21" s="20"/>
      <c r="AI21" s="11">
        <v>430</v>
      </c>
      <c r="AJ21" s="11"/>
      <c r="AK21" s="11">
        <v>456</v>
      </c>
      <c r="AL21" s="11"/>
      <c r="AM21" s="11">
        <v>400</v>
      </c>
      <c r="AN21" s="11"/>
      <c r="AO21" s="11"/>
      <c r="AP21" s="11"/>
      <c r="AQ21" s="11">
        <v>407</v>
      </c>
      <c r="AR21" s="11">
        <v>505</v>
      </c>
      <c r="AS21" s="11"/>
      <c r="AT21" s="11"/>
      <c r="AU21" s="11">
        <v>430</v>
      </c>
      <c r="AV21" s="11"/>
      <c r="AW21" s="11"/>
    </row>
    <row r="22" spans="3:49" x14ac:dyDescent="0.25">
      <c r="C22" s="8" t="s">
        <v>89</v>
      </c>
      <c r="D22" s="9">
        <v>440</v>
      </c>
      <c r="E22" s="9">
        <v>517</v>
      </c>
      <c r="F22" s="9">
        <v>477</v>
      </c>
      <c r="G22" s="9">
        <v>491</v>
      </c>
      <c r="H22" s="9">
        <v>535</v>
      </c>
      <c r="I22" s="9">
        <v>502</v>
      </c>
      <c r="J22" s="9">
        <v>527</v>
      </c>
      <c r="K22" s="9">
        <v>535</v>
      </c>
      <c r="L22" s="9">
        <v>553</v>
      </c>
      <c r="M22" s="9">
        <v>538</v>
      </c>
      <c r="N22" s="9">
        <v>553</v>
      </c>
      <c r="O22" s="9">
        <v>547</v>
      </c>
      <c r="P22" s="9">
        <v>560</v>
      </c>
      <c r="Q22" s="9">
        <v>539</v>
      </c>
      <c r="R22" s="9">
        <v>535</v>
      </c>
      <c r="S22" s="9">
        <v>543</v>
      </c>
      <c r="T22" s="9">
        <v>530</v>
      </c>
      <c r="U22" s="9">
        <v>564</v>
      </c>
      <c r="V22" s="9">
        <v>480</v>
      </c>
      <c r="W22" s="9">
        <v>578</v>
      </c>
      <c r="X22" s="9">
        <v>433</v>
      </c>
      <c r="Y22" s="9">
        <v>510</v>
      </c>
      <c r="Z22" s="9">
        <v>605</v>
      </c>
      <c r="AA22" s="9">
        <v>570</v>
      </c>
      <c r="AB22" s="9">
        <v>555</v>
      </c>
      <c r="AC22" s="9">
        <v>582</v>
      </c>
      <c r="AD22" s="9">
        <v>528</v>
      </c>
      <c r="AE22" s="9">
        <v>579</v>
      </c>
      <c r="AF22" s="9">
        <v>617</v>
      </c>
      <c r="AG22" s="9">
        <v>760</v>
      </c>
      <c r="AH22" s="19"/>
      <c r="AI22" s="9">
        <v>435</v>
      </c>
      <c r="AJ22" s="9">
        <v>470</v>
      </c>
      <c r="AK22" s="9">
        <v>468</v>
      </c>
      <c r="AL22" s="9">
        <v>460</v>
      </c>
      <c r="AM22" s="9">
        <v>406</v>
      </c>
      <c r="AN22" s="9">
        <v>475</v>
      </c>
      <c r="AO22" s="9">
        <v>391</v>
      </c>
      <c r="AP22" s="9">
        <v>392</v>
      </c>
      <c r="AQ22" s="9">
        <v>402</v>
      </c>
      <c r="AR22" s="9">
        <v>509</v>
      </c>
      <c r="AS22" s="9">
        <v>520</v>
      </c>
      <c r="AT22" s="9">
        <v>395</v>
      </c>
      <c r="AU22" s="9">
        <v>434</v>
      </c>
      <c r="AV22" s="9">
        <v>259</v>
      </c>
      <c r="AW22" s="9">
        <v>365</v>
      </c>
    </row>
    <row r="23" spans="3:49" x14ac:dyDescent="0.25">
      <c r="C23" s="8" t="s">
        <v>88</v>
      </c>
      <c r="D23" s="9">
        <v>461</v>
      </c>
      <c r="E23" s="9">
        <v>542</v>
      </c>
      <c r="F23" s="9">
        <v>517</v>
      </c>
      <c r="G23" s="9">
        <v>500</v>
      </c>
      <c r="H23" s="9">
        <v>561</v>
      </c>
      <c r="I23" s="9">
        <v>535</v>
      </c>
      <c r="J23" s="9"/>
      <c r="K23" s="9"/>
      <c r="L23" s="9"/>
      <c r="M23" s="9">
        <v>572</v>
      </c>
      <c r="N23" s="9">
        <v>566</v>
      </c>
      <c r="O23" s="9"/>
      <c r="P23" s="9">
        <v>583</v>
      </c>
      <c r="Q23" s="9"/>
      <c r="R23" s="9">
        <v>591</v>
      </c>
      <c r="S23" s="9">
        <v>556</v>
      </c>
      <c r="T23" s="9">
        <v>545</v>
      </c>
      <c r="U23" s="9">
        <v>587</v>
      </c>
      <c r="V23" s="9">
        <v>533</v>
      </c>
      <c r="W23" s="9">
        <v>602</v>
      </c>
      <c r="X23" s="9">
        <v>586</v>
      </c>
      <c r="Y23" s="9">
        <v>550</v>
      </c>
      <c r="Z23" s="9">
        <v>630</v>
      </c>
      <c r="AA23" s="9">
        <v>582</v>
      </c>
      <c r="AB23" s="9">
        <v>578</v>
      </c>
      <c r="AC23" s="9">
        <v>624</v>
      </c>
      <c r="AD23" s="9">
        <v>588</v>
      </c>
      <c r="AE23" s="9">
        <v>649</v>
      </c>
      <c r="AF23" s="9">
        <v>654</v>
      </c>
      <c r="AG23" s="9">
        <v>833</v>
      </c>
      <c r="AH23" s="19"/>
      <c r="AI23" s="9">
        <v>444</v>
      </c>
      <c r="AJ23" s="9"/>
      <c r="AK23" s="9">
        <v>485</v>
      </c>
      <c r="AL23" s="9">
        <v>486</v>
      </c>
      <c r="AM23" s="9">
        <v>416</v>
      </c>
      <c r="AN23" s="9"/>
      <c r="AO23" s="9">
        <v>410</v>
      </c>
      <c r="AP23" s="9">
        <v>403</v>
      </c>
      <c r="AQ23" s="9">
        <v>420</v>
      </c>
      <c r="AR23" s="9">
        <v>528</v>
      </c>
      <c r="AS23" s="9">
        <v>532</v>
      </c>
      <c r="AT23" s="9">
        <v>406</v>
      </c>
      <c r="AU23" s="9">
        <v>460</v>
      </c>
      <c r="AV23" s="9"/>
      <c r="AW23" s="9"/>
    </row>
    <row r="24" spans="3:49" s="25" customFormat="1" x14ac:dyDescent="0.25">
      <c r="C24" s="6" t="s">
        <v>87</v>
      </c>
      <c r="D24" s="7">
        <v>463</v>
      </c>
      <c r="E24" s="7">
        <v>554</v>
      </c>
      <c r="F24" s="7">
        <v>517</v>
      </c>
      <c r="G24" s="7">
        <v>519</v>
      </c>
      <c r="H24" s="7">
        <v>568</v>
      </c>
      <c r="I24" s="7">
        <v>541</v>
      </c>
      <c r="J24" s="7">
        <v>549</v>
      </c>
      <c r="K24" s="7">
        <v>560</v>
      </c>
      <c r="L24" s="7">
        <v>577</v>
      </c>
      <c r="M24" s="7">
        <v>577</v>
      </c>
      <c r="N24" s="7">
        <v>598</v>
      </c>
      <c r="O24" s="7">
        <v>592</v>
      </c>
      <c r="P24" s="7">
        <v>563</v>
      </c>
      <c r="Q24" s="7">
        <v>565</v>
      </c>
      <c r="R24" s="7">
        <v>579</v>
      </c>
      <c r="S24" s="7">
        <v>585</v>
      </c>
      <c r="T24" s="7">
        <v>568</v>
      </c>
      <c r="U24" s="7">
        <v>565</v>
      </c>
      <c r="V24" s="7">
        <v>518</v>
      </c>
      <c r="W24" s="7">
        <v>578</v>
      </c>
      <c r="X24" s="7">
        <v>567</v>
      </c>
      <c r="Y24" s="7">
        <v>552</v>
      </c>
      <c r="Z24" s="7">
        <v>645</v>
      </c>
      <c r="AA24" s="7">
        <v>605</v>
      </c>
      <c r="AB24" s="7">
        <v>557</v>
      </c>
      <c r="AC24" s="7">
        <v>620</v>
      </c>
      <c r="AD24" s="7">
        <v>562</v>
      </c>
      <c r="AE24" s="7">
        <v>618</v>
      </c>
      <c r="AF24" s="7">
        <v>663</v>
      </c>
      <c r="AG24" s="7">
        <v>769</v>
      </c>
      <c r="AH24" s="26"/>
      <c r="AI24" s="7">
        <v>445</v>
      </c>
      <c r="AJ24" s="7">
        <v>521</v>
      </c>
      <c r="AK24" s="7">
        <v>500</v>
      </c>
      <c r="AL24" s="7">
        <v>468</v>
      </c>
      <c r="AM24" s="7">
        <v>411</v>
      </c>
      <c r="AN24" s="7">
        <v>490</v>
      </c>
      <c r="AO24" s="7">
        <v>403</v>
      </c>
      <c r="AP24" s="7">
        <v>395</v>
      </c>
      <c r="AQ24" s="7">
        <v>395</v>
      </c>
      <c r="AR24" s="7">
        <v>506</v>
      </c>
      <c r="AS24" s="7">
        <v>553</v>
      </c>
      <c r="AT24" s="7">
        <v>396</v>
      </c>
      <c r="AU24" s="7">
        <v>443</v>
      </c>
      <c r="AV24" s="7">
        <v>258</v>
      </c>
      <c r="AW24" s="7">
        <v>396</v>
      </c>
    </row>
    <row r="25" spans="3:49" s="21" customFormat="1" x14ac:dyDescent="0.25">
      <c r="C25" s="10" t="s">
        <v>86</v>
      </c>
      <c r="D25" s="11">
        <v>477</v>
      </c>
      <c r="E25" s="11">
        <v>574</v>
      </c>
      <c r="F25" s="11">
        <v>562</v>
      </c>
      <c r="G25" s="11">
        <v>531</v>
      </c>
      <c r="H25" s="11">
        <v>594</v>
      </c>
      <c r="I25" s="11">
        <v>574</v>
      </c>
      <c r="J25" s="11"/>
      <c r="K25" s="11"/>
      <c r="L25" s="11"/>
      <c r="M25" s="11">
        <v>581</v>
      </c>
      <c r="N25" s="11">
        <v>610</v>
      </c>
      <c r="O25" s="11"/>
      <c r="P25" s="11">
        <v>580</v>
      </c>
      <c r="Q25" s="11"/>
      <c r="R25" s="11">
        <v>599</v>
      </c>
      <c r="S25" s="11">
        <v>591</v>
      </c>
      <c r="T25" s="11">
        <v>580</v>
      </c>
      <c r="U25" s="11">
        <v>586</v>
      </c>
      <c r="V25" s="11">
        <v>570</v>
      </c>
      <c r="W25" s="11">
        <v>605</v>
      </c>
      <c r="X25" s="11">
        <v>625</v>
      </c>
      <c r="Y25" s="11">
        <v>591</v>
      </c>
      <c r="Z25" s="11">
        <v>662</v>
      </c>
      <c r="AA25" s="11">
        <v>615</v>
      </c>
      <c r="AB25" s="11">
        <v>578</v>
      </c>
      <c r="AC25" s="11">
        <v>638</v>
      </c>
      <c r="AD25" s="11">
        <v>614</v>
      </c>
      <c r="AE25" s="11">
        <v>672</v>
      </c>
      <c r="AF25" s="11">
        <v>663</v>
      </c>
      <c r="AG25" s="11">
        <v>849</v>
      </c>
      <c r="AH25" s="20"/>
      <c r="AI25" s="11">
        <v>453</v>
      </c>
      <c r="AJ25" s="11"/>
      <c r="AK25" s="11">
        <v>515</v>
      </c>
      <c r="AL25" s="11">
        <v>487</v>
      </c>
      <c r="AM25" s="11">
        <v>419</v>
      </c>
      <c r="AN25" s="11"/>
      <c r="AO25" s="11">
        <v>417</v>
      </c>
      <c r="AP25" s="11">
        <v>408</v>
      </c>
      <c r="AQ25" s="11">
        <v>425</v>
      </c>
      <c r="AR25" s="11">
        <v>533</v>
      </c>
      <c r="AS25" s="11">
        <v>564</v>
      </c>
      <c r="AT25" s="11">
        <v>409</v>
      </c>
      <c r="AU25" s="11">
        <v>476</v>
      </c>
      <c r="AV25" s="11"/>
      <c r="AW25" s="11"/>
    </row>
    <row r="26" spans="3:49" s="22" customFormat="1" x14ac:dyDescent="0.25">
      <c r="C26" s="8" t="s">
        <v>85</v>
      </c>
      <c r="D26" s="9">
        <v>484</v>
      </c>
      <c r="E26" s="9">
        <v>596</v>
      </c>
      <c r="F26" s="9">
        <v>517</v>
      </c>
      <c r="G26" s="9">
        <v>546</v>
      </c>
      <c r="H26" s="9">
        <v>612</v>
      </c>
      <c r="I26" s="9">
        <v>560</v>
      </c>
      <c r="J26" s="9">
        <v>564</v>
      </c>
      <c r="K26" s="9">
        <v>570</v>
      </c>
      <c r="L26" s="9">
        <v>595</v>
      </c>
      <c r="M26" s="9">
        <v>499</v>
      </c>
      <c r="N26" s="9">
        <v>637</v>
      </c>
      <c r="O26" s="9">
        <v>641</v>
      </c>
      <c r="P26" s="9">
        <v>630</v>
      </c>
      <c r="Q26" s="9">
        <v>577</v>
      </c>
      <c r="R26" s="9">
        <v>576</v>
      </c>
      <c r="S26" s="9">
        <v>633</v>
      </c>
      <c r="T26" s="9">
        <v>616</v>
      </c>
      <c r="U26" s="9">
        <v>633</v>
      </c>
      <c r="V26" s="9">
        <v>572</v>
      </c>
      <c r="W26" s="9">
        <v>624</v>
      </c>
      <c r="X26" s="9">
        <v>624</v>
      </c>
      <c r="Y26" s="9">
        <v>601</v>
      </c>
      <c r="Z26" s="9">
        <v>675</v>
      </c>
      <c r="AA26" s="9">
        <v>650</v>
      </c>
      <c r="AB26" s="9">
        <v>619</v>
      </c>
      <c r="AC26" s="9">
        <v>660</v>
      </c>
      <c r="AD26" s="9">
        <v>610</v>
      </c>
      <c r="AE26" s="9">
        <v>662</v>
      </c>
      <c r="AF26" s="9">
        <v>701</v>
      </c>
      <c r="AG26" s="9">
        <v>780</v>
      </c>
      <c r="AH26" s="19"/>
      <c r="AI26" s="9">
        <v>427</v>
      </c>
      <c r="AJ26" s="9">
        <v>530</v>
      </c>
      <c r="AK26" s="9">
        <v>518</v>
      </c>
      <c r="AL26" s="9">
        <v>509</v>
      </c>
      <c r="AM26" s="9">
        <v>393</v>
      </c>
      <c r="AN26" s="9">
        <v>485</v>
      </c>
      <c r="AO26" s="9">
        <v>425</v>
      </c>
      <c r="AP26" s="9">
        <v>428</v>
      </c>
      <c r="AQ26" s="9">
        <v>355</v>
      </c>
      <c r="AR26" s="9">
        <v>515</v>
      </c>
      <c r="AS26" s="9">
        <v>592</v>
      </c>
      <c r="AT26" s="9">
        <v>430</v>
      </c>
      <c r="AU26" s="9">
        <v>444</v>
      </c>
      <c r="AV26" s="9">
        <v>241</v>
      </c>
      <c r="AW26" s="9">
        <v>354</v>
      </c>
    </row>
    <row r="27" spans="3:49" s="22" customFormat="1" x14ac:dyDescent="0.25">
      <c r="C27" s="8" t="s">
        <v>84</v>
      </c>
      <c r="D27" s="9">
        <v>493</v>
      </c>
      <c r="E27" s="9">
        <v>609</v>
      </c>
      <c r="F27" s="9">
        <v>569</v>
      </c>
      <c r="G27" s="9">
        <v>561</v>
      </c>
      <c r="H27" s="9">
        <v>635</v>
      </c>
      <c r="I27" s="9">
        <v>598</v>
      </c>
      <c r="J27" s="9"/>
      <c r="K27" s="9"/>
      <c r="L27" s="9"/>
      <c r="M27" s="9">
        <v>610</v>
      </c>
      <c r="N27" s="9">
        <v>652</v>
      </c>
      <c r="O27" s="9"/>
      <c r="P27" s="9">
        <v>650</v>
      </c>
      <c r="Q27" s="9"/>
      <c r="R27" s="9">
        <v>576</v>
      </c>
      <c r="S27" s="9">
        <v>636</v>
      </c>
      <c r="T27" s="9">
        <v>620</v>
      </c>
      <c r="U27" s="9">
        <v>656</v>
      </c>
      <c r="V27" s="9">
        <v>598</v>
      </c>
      <c r="W27" s="9">
        <v>643</v>
      </c>
      <c r="X27" s="9">
        <v>692</v>
      </c>
      <c r="Y27" s="9">
        <v>629</v>
      </c>
      <c r="Z27" s="9">
        <v>698</v>
      </c>
      <c r="AA27" s="9">
        <v>658</v>
      </c>
      <c r="AB27" s="9">
        <v>642</v>
      </c>
      <c r="AC27" s="9">
        <v>690</v>
      </c>
      <c r="AD27" s="9">
        <v>647</v>
      </c>
      <c r="AE27" s="9">
        <v>710</v>
      </c>
      <c r="AF27" s="9">
        <v>703</v>
      </c>
      <c r="AG27" s="9">
        <v>870</v>
      </c>
      <c r="AH27" s="19"/>
      <c r="AI27" s="9">
        <v>435</v>
      </c>
      <c r="AJ27" s="9"/>
      <c r="AK27" s="9">
        <v>518</v>
      </c>
      <c r="AL27" s="9">
        <v>532</v>
      </c>
      <c r="AM27" s="9">
        <v>403</v>
      </c>
      <c r="AN27" s="9"/>
      <c r="AO27" s="9">
        <v>444</v>
      </c>
      <c r="AP27" s="9">
        <v>450</v>
      </c>
      <c r="AQ27" s="9">
        <v>402</v>
      </c>
      <c r="AR27" s="9">
        <v>537</v>
      </c>
      <c r="AS27" s="9">
        <v>605</v>
      </c>
      <c r="AT27" s="9">
        <v>451</v>
      </c>
      <c r="AU27" s="9">
        <v>471</v>
      </c>
      <c r="AV27" s="9"/>
      <c r="AW27" s="9"/>
    </row>
    <row r="28" spans="3:49" s="25" customFormat="1" x14ac:dyDescent="0.25">
      <c r="C28" s="6" t="s">
        <v>83</v>
      </c>
      <c r="D28" s="7">
        <v>486</v>
      </c>
      <c r="E28" s="7">
        <v>610</v>
      </c>
      <c r="F28" s="7">
        <v>530</v>
      </c>
      <c r="G28" s="7">
        <v>549</v>
      </c>
      <c r="H28" s="7">
        <v>612</v>
      </c>
      <c r="I28" s="7">
        <v>567</v>
      </c>
      <c r="J28" s="7">
        <v>571</v>
      </c>
      <c r="K28" s="7">
        <v>577</v>
      </c>
      <c r="L28" s="7">
        <v>599</v>
      </c>
      <c r="M28" s="7">
        <v>606</v>
      </c>
      <c r="N28" s="7">
        <v>637</v>
      </c>
      <c r="O28" s="7">
        <v>643</v>
      </c>
      <c r="P28" s="7">
        <v>633</v>
      </c>
      <c r="Q28" s="7">
        <v>581</v>
      </c>
      <c r="R28" s="7">
        <v>595</v>
      </c>
      <c r="S28" s="7">
        <v>634</v>
      </c>
      <c r="T28" s="7">
        <v>616</v>
      </c>
      <c r="U28" s="7">
        <v>634</v>
      </c>
      <c r="V28" s="7">
        <v>577</v>
      </c>
      <c r="W28" s="7">
        <v>625</v>
      </c>
      <c r="X28" s="7">
        <v>666</v>
      </c>
      <c r="Y28" s="7">
        <v>648</v>
      </c>
      <c r="Z28" s="7">
        <v>720</v>
      </c>
      <c r="AA28" s="7">
        <v>674</v>
      </c>
      <c r="AB28" s="7">
        <v>620</v>
      </c>
      <c r="AC28" s="7">
        <v>665</v>
      </c>
      <c r="AD28" s="7">
        <v>620</v>
      </c>
      <c r="AE28" s="7">
        <v>690</v>
      </c>
      <c r="AF28" s="7">
        <v>701</v>
      </c>
      <c r="AG28" s="7">
        <v>780</v>
      </c>
      <c r="AH28" s="26"/>
      <c r="AI28" s="7">
        <v>447</v>
      </c>
      <c r="AJ28" s="7">
        <v>539</v>
      </c>
      <c r="AK28" s="7">
        <v>524</v>
      </c>
      <c r="AL28" s="7">
        <v>509</v>
      </c>
      <c r="AM28" s="7">
        <v>412</v>
      </c>
      <c r="AN28" s="7">
        <v>510</v>
      </c>
      <c r="AO28" s="7">
        <v>427</v>
      </c>
      <c r="AP28" s="7">
        <v>428</v>
      </c>
      <c r="AQ28" s="7">
        <v>404</v>
      </c>
      <c r="AR28" s="7">
        <v>429</v>
      </c>
      <c r="AS28" s="7">
        <v>592</v>
      </c>
      <c r="AT28" s="7">
        <v>430</v>
      </c>
      <c r="AU28" s="7">
        <v>461</v>
      </c>
      <c r="AV28" s="7">
        <v>260</v>
      </c>
      <c r="AW28" s="7">
        <v>396</v>
      </c>
    </row>
    <row r="29" spans="3:49" s="22" customFormat="1" x14ac:dyDescent="0.25">
      <c r="C29" s="8" t="s">
        <v>82</v>
      </c>
      <c r="D29" s="9">
        <v>5000</v>
      </c>
      <c r="E29" s="9">
        <v>7500</v>
      </c>
      <c r="F29" s="9">
        <v>4000</v>
      </c>
      <c r="G29" s="9">
        <v>5000</v>
      </c>
      <c r="H29" s="9">
        <v>6000</v>
      </c>
      <c r="I29" s="9">
        <v>4500</v>
      </c>
      <c r="J29" s="9">
        <v>4000</v>
      </c>
      <c r="K29" s="9">
        <v>4000</v>
      </c>
      <c r="L29" s="9">
        <v>4000</v>
      </c>
      <c r="M29" s="9">
        <v>7000</v>
      </c>
      <c r="N29" s="9">
        <v>6000</v>
      </c>
      <c r="O29" s="9">
        <v>7000</v>
      </c>
      <c r="P29" s="9">
        <v>6500</v>
      </c>
      <c r="Q29" s="9">
        <v>4000</v>
      </c>
      <c r="R29" s="9">
        <v>4500</v>
      </c>
      <c r="S29" s="9">
        <v>7000</v>
      </c>
      <c r="T29" s="9">
        <v>6000</v>
      </c>
      <c r="U29" s="9">
        <v>6500</v>
      </c>
      <c r="V29" s="9">
        <v>6500</v>
      </c>
      <c r="W29" s="9">
        <v>5000</v>
      </c>
      <c r="X29" s="9">
        <v>9000</v>
      </c>
      <c r="Y29" s="9">
        <v>10000</v>
      </c>
      <c r="Z29" s="9">
        <v>8500</v>
      </c>
      <c r="AA29" s="9">
        <v>8500</v>
      </c>
      <c r="AB29" s="9">
        <v>5550</v>
      </c>
      <c r="AC29" s="9">
        <v>6500</v>
      </c>
      <c r="AD29" s="9">
        <v>7000</v>
      </c>
      <c r="AE29" s="9">
        <v>7500</v>
      </c>
      <c r="AF29" s="9">
        <v>6000</v>
      </c>
      <c r="AG29" s="9">
        <v>6000</v>
      </c>
      <c r="AH29" s="19"/>
      <c r="AI29" s="9">
        <v>2000</v>
      </c>
      <c r="AJ29" s="9">
        <v>5000</v>
      </c>
      <c r="AK29" s="9">
        <v>5000</v>
      </c>
      <c r="AL29" s="9">
        <v>6000</v>
      </c>
      <c r="AM29" s="9">
        <v>2000</v>
      </c>
      <c r="AN29" s="9">
        <v>4000</v>
      </c>
      <c r="AO29" s="9">
        <v>5500</v>
      </c>
      <c r="AP29" s="9">
        <v>6000</v>
      </c>
      <c r="AQ29" s="9">
        <v>2000</v>
      </c>
      <c r="AR29" s="9">
        <v>4500</v>
      </c>
      <c r="AS29" s="9">
        <v>6000</v>
      </c>
      <c r="AT29" s="9">
        <v>6000</v>
      </c>
      <c r="AU29" s="9">
        <v>4550</v>
      </c>
      <c r="AV29" s="9">
        <v>0</v>
      </c>
      <c r="AW29" s="9">
        <v>3000</v>
      </c>
    </row>
    <row r="30" spans="3:49" s="22" customFormat="1" x14ac:dyDescent="0.25">
      <c r="C30" s="8" t="s">
        <v>110</v>
      </c>
      <c r="D30" s="9">
        <v>12</v>
      </c>
      <c r="E30" s="9">
        <v>9.1</v>
      </c>
      <c r="F30" s="9">
        <v>10.199999999999999</v>
      </c>
      <c r="G30" s="9">
        <v>9.5</v>
      </c>
      <c r="H30" s="9">
        <v>11.7</v>
      </c>
      <c r="I30" s="9">
        <v>15.2</v>
      </c>
      <c r="J30" s="9">
        <v>13</v>
      </c>
      <c r="K30" s="9">
        <v>14.2</v>
      </c>
      <c r="L30" s="9">
        <v>14.3</v>
      </c>
      <c r="M30" s="9">
        <v>7</v>
      </c>
      <c r="N30" s="9">
        <v>13.6</v>
      </c>
      <c r="O30" s="9">
        <v>13.9</v>
      </c>
      <c r="P30" s="9">
        <v>10</v>
      </c>
      <c r="Q30" s="9">
        <v>13.1</v>
      </c>
      <c r="R30" s="9">
        <v>15.2</v>
      </c>
      <c r="S30" s="9">
        <v>13</v>
      </c>
      <c r="T30" s="9">
        <v>16.100000000000001</v>
      </c>
      <c r="U30" s="9">
        <v>10</v>
      </c>
      <c r="V30" s="9">
        <v>11.5</v>
      </c>
      <c r="W30" s="9">
        <v>15.2</v>
      </c>
      <c r="X30" s="9">
        <v>10.8</v>
      </c>
      <c r="Y30" s="9">
        <v>8.9</v>
      </c>
      <c r="Z30" s="9">
        <v>9.3000000000000007</v>
      </c>
      <c r="AA30" s="9">
        <v>11.4</v>
      </c>
      <c r="AB30" s="9">
        <v>11.2</v>
      </c>
      <c r="AC30" s="9">
        <v>14.2</v>
      </c>
      <c r="AD30" s="9">
        <v>14.8</v>
      </c>
      <c r="AE30" s="9">
        <v>14.4</v>
      </c>
      <c r="AF30" s="9">
        <v>13</v>
      </c>
      <c r="AG30" s="9">
        <v>10.3</v>
      </c>
      <c r="AH30" s="19"/>
      <c r="AI30" s="9">
        <v>6.7</v>
      </c>
      <c r="AJ30" s="9">
        <v>5.6</v>
      </c>
      <c r="AK30" s="9">
        <v>8.3000000000000007</v>
      </c>
      <c r="AL30" s="9">
        <v>4</v>
      </c>
      <c r="AM30" s="9">
        <v>6.7</v>
      </c>
      <c r="AN30" s="9">
        <v>7.7</v>
      </c>
      <c r="AO30" s="9">
        <v>6.3</v>
      </c>
      <c r="AP30" s="9">
        <v>1.7</v>
      </c>
      <c r="AQ30" s="9">
        <v>6.7</v>
      </c>
      <c r="AR30" s="9">
        <v>7.8</v>
      </c>
      <c r="AS30" s="9">
        <v>11.5</v>
      </c>
      <c r="AT30" s="9">
        <v>1.6</v>
      </c>
      <c r="AU30" s="9">
        <v>5.2</v>
      </c>
      <c r="AV30" s="9">
        <v>7</v>
      </c>
      <c r="AW30" s="9">
        <v>8.1999999999999993</v>
      </c>
    </row>
    <row r="31" spans="3:49" s="25" customFormat="1" x14ac:dyDescent="0.25">
      <c r="C31" s="6" t="s">
        <v>77</v>
      </c>
      <c r="D31" s="7">
        <v>10500</v>
      </c>
      <c r="E31" s="7">
        <v>11800</v>
      </c>
      <c r="F31" s="7">
        <v>9200</v>
      </c>
      <c r="G31" s="7">
        <v>10500</v>
      </c>
      <c r="H31" s="7">
        <v>11500</v>
      </c>
      <c r="I31" s="7">
        <v>11300</v>
      </c>
      <c r="J31" s="7">
        <v>10500</v>
      </c>
      <c r="K31" s="7">
        <v>10200</v>
      </c>
      <c r="L31" s="7">
        <v>10600</v>
      </c>
      <c r="M31" s="7">
        <v>9500</v>
      </c>
      <c r="N31" s="7">
        <v>11600</v>
      </c>
      <c r="O31" s="7">
        <v>12100</v>
      </c>
      <c r="P31" s="7">
        <v>10800</v>
      </c>
      <c r="Q31" s="7">
        <v>10660</v>
      </c>
      <c r="R31" s="7">
        <v>9300</v>
      </c>
      <c r="S31" s="7">
        <v>11800</v>
      </c>
      <c r="T31" s="7">
        <v>11800</v>
      </c>
      <c r="U31" s="7">
        <v>10600</v>
      </c>
      <c r="V31" s="7">
        <v>12000</v>
      </c>
      <c r="W31" s="7">
        <v>10500</v>
      </c>
      <c r="X31" s="7">
        <v>11580</v>
      </c>
      <c r="Y31" s="7">
        <v>12500</v>
      </c>
      <c r="Z31" s="7">
        <v>12680</v>
      </c>
      <c r="AA31" s="7">
        <v>12350</v>
      </c>
      <c r="AB31" s="7">
        <v>10300</v>
      </c>
      <c r="AC31" s="7">
        <v>11600</v>
      </c>
      <c r="AD31" s="7">
        <v>11500</v>
      </c>
      <c r="AE31" s="7">
        <v>12300</v>
      </c>
      <c r="AF31" s="7">
        <v>10800</v>
      </c>
      <c r="AG31" s="7">
        <v>12000</v>
      </c>
      <c r="AH31" s="26"/>
      <c r="AI31" s="7">
        <v>7500</v>
      </c>
      <c r="AJ31" s="7">
        <v>9100</v>
      </c>
      <c r="AK31" s="7">
        <v>9500</v>
      </c>
      <c r="AL31" s="7">
        <v>7500</v>
      </c>
      <c r="AM31" s="7">
        <v>6000</v>
      </c>
      <c r="AN31" s="7">
        <v>8000</v>
      </c>
      <c r="AO31" s="7">
        <v>7000</v>
      </c>
      <c r="AP31" s="7">
        <v>6300</v>
      </c>
      <c r="AQ31" s="7">
        <v>5600</v>
      </c>
      <c r="AR31" s="7">
        <v>8700</v>
      </c>
      <c r="AS31" s="7">
        <v>10800</v>
      </c>
      <c r="AT31" s="7">
        <v>6850</v>
      </c>
      <c r="AU31" s="7">
        <v>7450</v>
      </c>
      <c r="AV31" s="7">
        <v>6800</v>
      </c>
      <c r="AW31" s="7">
        <v>7000</v>
      </c>
    </row>
    <row r="32" spans="3:49" x14ac:dyDescent="0.25">
      <c r="C32" s="2" t="s">
        <v>12</v>
      </c>
      <c r="D32" s="1">
        <v>16.7</v>
      </c>
      <c r="E32" s="1">
        <v>15.9</v>
      </c>
      <c r="F32" s="1">
        <v>12.5</v>
      </c>
      <c r="G32" s="1">
        <v>14</v>
      </c>
      <c r="H32" s="1">
        <v>16.399999999999999</v>
      </c>
      <c r="I32" s="1">
        <v>17.3</v>
      </c>
      <c r="J32" s="1">
        <v>14.9</v>
      </c>
      <c r="K32" s="1">
        <v>16.899999999999999</v>
      </c>
      <c r="L32" s="1">
        <v>17</v>
      </c>
      <c r="M32" s="1">
        <v>18</v>
      </c>
      <c r="N32" s="1">
        <v>19.5</v>
      </c>
      <c r="O32" s="1">
        <v>21</v>
      </c>
      <c r="P32" s="1">
        <v>16</v>
      </c>
      <c r="Q32" s="1">
        <v>16.899999999999999</v>
      </c>
      <c r="R32" s="1">
        <v>16.7</v>
      </c>
      <c r="S32" s="1">
        <v>20.100000000000001</v>
      </c>
      <c r="T32" s="1">
        <v>20.100000000000001</v>
      </c>
      <c r="U32" s="1">
        <v>15.4</v>
      </c>
      <c r="V32" s="1">
        <v>14.5</v>
      </c>
      <c r="W32" s="1">
        <v>20</v>
      </c>
      <c r="X32" s="1">
        <v>12.1</v>
      </c>
      <c r="Y32" s="1">
        <v>21.5</v>
      </c>
      <c r="Z32" s="1">
        <v>18.100000000000001</v>
      </c>
      <c r="AA32" s="1">
        <v>20.399999999999999</v>
      </c>
      <c r="AB32" s="1">
        <v>13.8</v>
      </c>
      <c r="AC32" s="1">
        <v>19</v>
      </c>
      <c r="AD32" s="1">
        <v>19.2</v>
      </c>
      <c r="AE32" s="1">
        <v>20.5</v>
      </c>
      <c r="AF32" s="1">
        <v>21</v>
      </c>
      <c r="AG32" s="1">
        <v>19.3</v>
      </c>
      <c r="AH32" s="19"/>
      <c r="AI32" s="1">
        <v>9.4</v>
      </c>
      <c r="AJ32" s="1">
        <v>9.3000000000000007</v>
      </c>
      <c r="AK32" s="1">
        <v>10.3</v>
      </c>
      <c r="AL32" s="1">
        <v>7</v>
      </c>
      <c r="AM32" s="1">
        <v>7.1</v>
      </c>
      <c r="AN32" s="1">
        <v>10.4</v>
      </c>
      <c r="AO32" s="1">
        <v>8</v>
      </c>
      <c r="AP32" s="1">
        <v>4.5</v>
      </c>
      <c r="AQ32" s="1">
        <v>7.5</v>
      </c>
      <c r="AR32" s="1">
        <v>10</v>
      </c>
      <c r="AS32" s="1">
        <v>15.6</v>
      </c>
      <c r="AT32" s="1">
        <v>5.3</v>
      </c>
      <c r="AU32" s="1">
        <v>8.3000000000000007</v>
      </c>
      <c r="AV32" s="1">
        <v>6.9</v>
      </c>
      <c r="AW32" s="1">
        <v>8.4</v>
      </c>
    </row>
    <row r="33" spans="3:49" x14ac:dyDescent="0.25">
      <c r="C33" s="8" t="s">
        <v>13</v>
      </c>
      <c r="D33" s="9">
        <v>13.8</v>
      </c>
      <c r="E33" s="9">
        <v>14</v>
      </c>
      <c r="F33" s="9">
        <v>10</v>
      </c>
      <c r="G33" s="9">
        <v>13.3</v>
      </c>
      <c r="H33" s="9">
        <v>14.1</v>
      </c>
      <c r="I33" s="9">
        <v>15.1</v>
      </c>
      <c r="J33" s="9">
        <v>13.3</v>
      </c>
      <c r="K33" s="9">
        <v>15</v>
      </c>
      <c r="L33" s="9">
        <v>15</v>
      </c>
      <c r="M33" s="9">
        <v>13.3</v>
      </c>
      <c r="N33" s="9">
        <v>18.8</v>
      </c>
      <c r="O33" s="9">
        <v>19.5</v>
      </c>
      <c r="P33" s="9">
        <v>12.7</v>
      </c>
      <c r="Q33" s="9">
        <v>14.3</v>
      </c>
      <c r="R33" s="9">
        <v>13.5</v>
      </c>
      <c r="S33" s="9">
        <v>18.899999999999999</v>
      </c>
      <c r="T33" s="9">
        <v>18.8</v>
      </c>
      <c r="U33" s="9">
        <v>11.9</v>
      </c>
      <c r="V33" s="9">
        <v>14.7</v>
      </c>
      <c r="W33" s="9">
        <v>16.7</v>
      </c>
      <c r="X33" s="9">
        <v>11.5</v>
      </c>
      <c r="Y33" s="9">
        <v>18.600000000000001</v>
      </c>
      <c r="Z33" s="9">
        <v>15.7</v>
      </c>
      <c r="AA33" s="9">
        <v>19.100000000000001</v>
      </c>
      <c r="AB33" s="9">
        <v>10.1</v>
      </c>
      <c r="AC33" s="9">
        <v>17.3</v>
      </c>
      <c r="AD33" s="9">
        <v>17.5</v>
      </c>
      <c r="AE33" s="9">
        <v>17.5</v>
      </c>
      <c r="AF33" s="9">
        <v>15.1</v>
      </c>
      <c r="AG33" s="9">
        <v>9.6999999999999993</v>
      </c>
      <c r="AH33" s="19"/>
      <c r="AI33" s="1">
        <v>8.9</v>
      </c>
      <c r="AJ33" s="1">
        <v>8.4</v>
      </c>
      <c r="AK33" s="1">
        <v>9.6</v>
      </c>
      <c r="AL33" s="1">
        <v>5.0999999999999996</v>
      </c>
      <c r="AM33" s="1">
        <v>5.6</v>
      </c>
      <c r="AN33" s="1">
        <v>7.8</v>
      </c>
      <c r="AO33" s="1">
        <v>7</v>
      </c>
      <c r="AP33" s="1">
        <v>3.6</v>
      </c>
      <c r="AQ33" s="1">
        <v>4.2</v>
      </c>
      <c r="AR33" s="1">
        <v>8.1999999999999993</v>
      </c>
      <c r="AS33" s="1">
        <v>14.1</v>
      </c>
      <c r="AT33" s="1">
        <v>4.0999999999999996</v>
      </c>
      <c r="AU33" s="1">
        <v>6.3</v>
      </c>
      <c r="AV33" s="1">
        <v>4.2</v>
      </c>
      <c r="AW33" s="1">
        <v>8.1</v>
      </c>
    </row>
    <row r="34" spans="3:49" x14ac:dyDescent="0.25">
      <c r="C34" s="8" t="s">
        <v>14</v>
      </c>
      <c r="D34" s="9">
        <v>8.8000000000000007</v>
      </c>
      <c r="E34" s="9">
        <v>10.199999999999999</v>
      </c>
      <c r="F34" s="9">
        <v>3.7</v>
      </c>
      <c r="G34" s="9">
        <v>7</v>
      </c>
      <c r="H34" s="9">
        <v>10</v>
      </c>
      <c r="I34" s="9">
        <v>10.6</v>
      </c>
      <c r="J34" s="9">
        <v>8</v>
      </c>
      <c r="K34" s="9">
        <v>9.4</v>
      </c>
      <c r="L34" s="9">
        <v>9.5</v>
      </c>
      <c r="M34" s="9">
        <v>8.1999999999999993</v>
      </c>
      <c r="N34" s="9">
        <v>14.9</v>
      </c>
      <c r="O34" s="9">
        <v>16.5</v>
      </c>
      <c r="P34" s="9">
        <v>10.3</v>
      </c>
      <c r="Q34" s="9">
        <v>8.6</v>
      </c>
      <c r="R34" s="9">
        <v>7.2</v>
      </c>
      <c r="S34" s="9">
        <v>15.4</v>
      </c>
      <c r="T34" s="9">
        <v>15.2</v>
      </c>
      <c r="U34" s="9">
        <v>9.6999999999999993</v>
      </c>
      <c r="V34" s="9">
        <v>11.4</v>
      </c>
      <c r="W34" s="9">
        <v>12.5</v>
      </c>
      <c r="X34" s="9">
        <v>10.3</v>
      </c>
      <c r="Y34" s="9">
        <v>15.5</v>
      </c>
      <c r="Z34" s="9">
        <v>12.4</v>
      </c>
      <c r="AA34" s="9">
        <v>15</v>
      </c>
      <c r="AB34" s="9">
        <v>7.8</v>
      </c>
      <c r="AC34" s="9">
        <v>14.6</v>
      </c>
      <c r="AD34" s="9">
        <v>13.1</v>
      </c>
      <c r="AE34" s="9">
        <v>13.4</v>
      </c>
      <c r="AF34" s="9">
        <v>12.1</v>
      </c>
      <c r="AG34" s="9">
        <v>5.4</v>
      </c>
      <c r="AH34" s="19"/>
      <c r="AI34" s="1">
        <v>3.9</v>
      </c>
      <c r="AJ34" s="1">
        <v>5.6</v>
      </c>
      <c r="AK34" s="1">
        <v>6.1</v>
      </c>
      <c r="AL34" s="1">
        <v>3.4</v>
      </c>
      <c r="AM34" s="1">
        <v>0</v>
      </c>
      <c r="AN34" s="1">
        <v>3</v>
      </c>
      <c r="AO34" s="1">
        <v>2.5</v>
      </c>
      <c r="AP34" s="1">
        <v>1.8</v>
      </c>
      <c r="AQ34" s="1">
        <v>0</v>
      </c>
      <c r="AR34" s="1">
        <v>5</v>
      </c>
      <c r="AS34" s="1">
        <v>10.7</v>
      </c>
      <c r="AT34" s="1">
        <v>2.2999999999999998</v>
      </c>
      <c r="AU34" s="1">
        <v>2.7</v>
      </c>
      <c r="AV34" s="1">
        <v>1.4</v>
      </c>
      <c r="AW34" s="1">
        <v>2.6</v>
      </c>
    </row>
    <row r="35" spans="3:49" x14ac:dyDescent="0.25">
      <c r="C35" s="6" t="s">
        <v>3</v>
      </c>
      <c r="D35" s="7">
        <v>19</v>
      </c>
      <c r="E35" s="7">
        <v>22.4</v>
      </c>
      <c r="F35" s="7">
        <v>24.3</v>
      </c>
      <c r="G35" s="7">
        <v>20.5</v>
      </c>
      <c r="H35" s="7">
        <v>23.6</v>
      </c>
      <c r="I35" s="7">
        <v>22.6</v>
      </c>
      <c r="J35" s="7">
        <v>22.2</v>
      </c>
      <c r="K35" s="7">
        <v>19.2</v>
      </c>
      <c r="L35" s="7">
        <v>19</v>
      </c>
      <c r="M35" s="7">
        <v>23.4</v>
      </c>
      <c r="N35" s="7">
        <v>20.3</v>
      </c>
      <c r="O35" s="7">
        <v>22.2</v>
      </c>
      <c r="P35" s="7">
        <v>23</v>
      </c>
      <c r="Q35" s="7">
        <v>20</v>
      </c>
      <c r="R35" s="7">
        <v>21.5</v>
      </c>
      <c r="S35" s="7">
        <v>21.2</v>
      </c>
      <c r="T35" s="7">
        <v>21.5</v>
      </c>
      <c r="U35" s="7">
        <v>23.5</v>
      </c>
      <c r="V35" s="7">
        <v>22</v>
      </c>
      <c r="W35" s="7">
        <v>21</v>
      </c>
      <c r="X35" s="7">
        <v>27.5</v>
      </c>
      <c r="Y35" s="7">
        <v>17.7</v>
      </c>
      <c r="Z35" s="7">
        <v>20</v>
      </c>
      <c r="AA35" s="7">
        <v>20</v>
      </c>
      <c r="AB35" s="7">
        <v>24.2</v>
      </c>
      <c r="AC35" s="7">
        <v>20</v>
      </c>
      <c r="AD35" s="7">
        <v>23</v>
      </c>
      <c r="AE35" s="7">
        <v>24</v>
      </c>
      <c r="AF35" s="7">
        <v>20</v>
      </c>
      <c r="AG35" s="7">
        <v>33</v>
      </c>
      <c r="AH35" s="19"/>
      <c r="AI35" s="7">
        <v>23.1</v>
      </c>
      <c r="AJ35" s="7">
        <v>30.5</v>
      </c>
      <c r="AK35" s="7">
        <v>27.4</v>
      </c>
      <c r="AL35" s="7">
        <v>33</v>
      </c>
      <c r="AM35" s="7">
        <v>25.7</v>
      </c>
      <c r="AN35" s="7">
        <v>29.9</v>
      </c>
      <c r="AO35" s="7">
        <v>22.2</v>
      </c>
      <c r="AP35" s="7">
        <v>30.8</v>
      </c>
      <c r="AQ35" s="7">
        <v>26.6</v>
      </c>
      <c r="AR35" s="7">
        <v>24.5</v>
      </c>
      <c r="AS35" s="7">
        <v>23.5</v>
      </c>
      <c r="AT35" s="7">
        <v>30.8</v>
      </c>
      <c r="AU35" s="7">
        <v>28.8</v>
      </c>
      <c r="AV35" s="7">
        <v>24</v>
      </c>
      <c r="AW35" s="7">
        <v>30</v>
      </c>
    </row>
    <row r="36" spans="3:49" x14ac:dyDescent="0.25">
      <c r="C36" s="10" t="s">
        <v>4</v>
      </c>
      <c r="D36" s="11">
        <v>230</v>
      </c>
      <c r="E36" s="11">
        <v>270</v>
      </c>
      <c r="F36" s="11">
        <v>270</v>
      </c>
      <c r="G36" s="11">
        <v>270</v>
      </c>
      <c r="H36" s="11">
        <v>270</v>
      </c>
      <c r="I36" s="11">
        <v>270</v>
      </c>
      <c r="J36" s="11">
        <v>280</v>
      </c>
      <c r="K36" s="11">
        <v>270</v>
      </c>
      <c r="L36" s="11">
        <v>270</v>
      </c>
      <c r="M36" s="11">
        <v>270</v>
      </c>
      <c r="N36" s="11">
        <v>270</v>
      </c>
      <c r="O36" s="11">
        <v>270</v>
      </c>
      <c r="P36" s="11">
        <v>280</v>
      </c>
      <c r="Q36" s="11">
        <v>310</v>
      </c>
      <c r="R36" s="11">
        <v>270</v>
      </c>
      <c r="S36" s="11">
        <v>270</v>
      </c>
      <c r="T36" s="11">
        <v>270</v>
      </c>
      <c r="U36" s="11">
        <v>280</v>
      </c>
      <c r="V36" s="11">
        <v>270</v>
      </c>
      <c r="W36" s="11">
        <v>320</v>
      </c>
      <c r="X36" s="11">
        <v>322</v>
      </c>
      <c r="Y36" s="11">
        <v>270</v>
      </c>
      <c r="Z36" s="11">
        <v>290</v>
      </c>
      <c r="AA36" s="11">
        <v>310</v>
      </c>
      <c r="AB36" s="11">
        <v>280</v>
      </c>
      <c r="AC36" s="11">
        <v>300</v>
      </c>
      <c r="AD36" s="11">
        <v>270</v>
      </c>
      <c r="AE36" s="11">
        <v>270</v>
      </c>
      <c r="AF36" s="11">
        <v>270</v>
      </c>
      <c r="AG36" s="11">
        <v>450</v>
      </c>
      <c r="AH36" s="19"/>
      <c r="AI36" s="11">
        <v>250</v>
      </c>
      <c r="AJ36" s="11">
        <v>270</v>
      </c>
      <c r="AK36" s="11">
        <v>270</v>
      </c>
      <c r="AL36" s="11">
        <v>250</v>
      </c>
      <c r="AM36" s="11">
        <v>250</v>
      </c>
      <c r="AN36" s="11">
        <v>270</v>
      </c>
      <c r="AO36" s="11">
        <v>230</v>
      </c>
      <c r="AP36" s="11">
        <v>250</v>
      </c>
      <c r="AQ36" s="11">
        <v>250</v>
      </c>
      <c r="AR36" s="11">
        <v>270</v>
      </c>
      <c r="AS36" s="11">
        <v>270</v>
      </c>
      <c r="AT36" s="11">
        <v>250</v>
      </c>
      <c r="AU36" s="11">
        <v>270</v>
      </c>
      <c r="AV36" s="11">
        <v>165</v>
      </c>
      <c r="AW36" s="11">
        <v>255</v>
      </c>
    </row>
    <row r="37" spans="3:49" x14ac:dyDescent="0.25">
      <c r="C37" s="6" t="s">
        <v>5</v>
      </c>
      <c r="D37" s="7">
        <v>25.3</v>
      </c>
      <c r="E37" s="7">
        <v>28.7</v>
      </c>
      <c r="F37" s="7">
        <v>36.1</v>
      </c>
      <c r="G37" s="7">
        <v>25.5</v>
      </c>
      <c r="H37" s="7">
        <v>29</v>
      </c>
      <c r="I37" s="7">
        <v>28.2</v>
      </c>
      <c r="J37" s="7">
        <v>28.9</v>
      </c>
      <c r="K37" s="7">
        <v>24.6</v>
      </c>
      <c r="L37" s="7">
        <v>24.1</v>
      </c>
      <c r="M37" s="7">
        <v>35.299999999999997</v>
      </c>
      <c r="N37" s="7">
        <v>26.1</v>
      </c>
      <c r="O37" s="7">
        <v>28.3</v>
      </c>
      <c r="P37" s="7">
        <v>28</v>
      </c>
      <c r="Q37" s="7">
        <v>25</v>
      </c>
      <c r="R37" s="7">
        <v>30.3</v>
      </c>
      <c r="S37" s="7">
        <v>27.2</v>
      </c>
      <c r="T37" s="7">
        <v>28</v>
      </c>
      <c r="U37" s="7">
        <v>35.5</v>
      </c>
      <c r="V37" s="7">
        <v>28.2</v>
      </c>
      <c r="W37" s="7">
        <v>28</v>
      </c>
      <c r="X37" s="7">
        <v>31</v>
      </c>
      <c r="Y37" s="7">
        <v>20.5</v>
      </c>
      <c r="Z37" s="7">
        <v>29.5</v>
      </c>
      <c r="AA37" s="7">
        <v>28.3</v>
      </c>
      <c r="AB37" s="7">
        <v>33</v>
      </c>
      <c r="AC37" s="7">
        <v>29</v>
      </c>
      <c r="AD37" s="7">
        <v>31.5</v>
      </c>
      <c r="AE37" s="7">
        <v>32.200000000000003</v>
      </c>
      <c r="AF37" s="7">
        <v>27.8</v>
      </c>
      <c r="AG37" s="7">
        <v>45</v>
      </c>
      <c r="AH37" s="19"/>
      <c r="AI37" s="7">
        <v>32.6</v>
      </c>
      <c r="AJ37" s="7">
        <v>39.9</v>
      </c>
      <c r="AK37" s="7">
        <v>35.4</v>
      </c>
      <c r="AL37" s="7">
        <v>50.5</v>
      </c>
      <c r="AM37" s="7">
        <v>37.299999999999997</v>
      </c>
      <c r="AN37" s="7">
        <v>40.299999999999997</v>
      </c>
      <c r="AO37" s="7">
        <v>31.3</v>
      </c>
      <c r="AP37" s="7">
        <v>45.2</v>
      </c>
      <c r="AQ37" s="7">
        <v>39.299999999999997</v>
      </c>
      <c r="AR37" s="7">
        <v>34.1</v>
      </c>
      <c r="AS37" s="7">
        <v>31.2</v>
      </c>
      <c r="AT37" s="7">
        <v>45.2</v>
      </c>
      <c r="AU37" s="7">
        <v>47</v>
      </c>
      <c r="AV37" s="7">
        <v>35.4</v>
      </c>
      <c r="AW37" s="7">
        <v>45</v>
      </c>
    </row>
    <row r="38" spans="3:49" x14ac:dyDescent="0.25">
      <c r="C38" s="10" t="s">
        <v>6</v>
      </c>
      <c r="D38" s="11">
        <v>230</v>
      </c>
      <c r="E38" s="11">
        <v>270</v>
      </c>
      <c r="F38" s="11">
        <v>270</v>
      </c>
      <c r="G38" s="11">
        <v>270</v>
      </c>
      <c r="H38" s="11">
        <v>270</v>
      </c>
      <c r="I38" s="11">
        <v>270</v>
      </c>
      <c r="J38" s="11">
        <v>270</v>
      </c>
      <c r="K38" s="11">
        <v>270</v>
      </c>
      <c r="L38" s="11">
        <v>270</v>
      </c>
      <c r="M38" s="11">
        <v>270</v>
      </c>
      <c r="N38" s="11">
        <v>270</v>
      </c>
      <c r="O38" s="11">
        <v>270</v>
      </c>
      <c r="P38" s="11">
        <v>280</v>
      </c>
      <c r="Q38" s="11">
        <v>310</v>
      </c>
      <c r="R38" s="11">
        <v>270</v>
      </c>
      <c r="S38" s="11">
        <v>270</v>
      </c>
      <c r="T38" s="11">
        <v>270</v>
      </c>
      <c r="U38" s="11">
        <v>280</v>
      </c>
      <c r="V38" s="11">
        <v>260</v>
      </c>
      <c r="W38" s="11">
        <v>340</v>
      </c>
      <c r="X38" s="11">
        <v>330</v>
      </c>
      <c r="Y38" s="11">
        <v>260</v>
      </c>
      <c r="Z38" s="11">
        <v>295</v>
      </c>
      <c r="AA38" s="11">
        <v>320</v>
      </c>
      <c r="AB38" s="11">
        <v>280</v>
      </c>
      <c r="AC38" s="11">
        <v>300</v>
      </c>
      <c r="AD38" s="11">
        <v>270</v>
      </c>
      <c r="AE38" s="11">
        <v>270</v>
      </c>
      <c r="AF38" s="11">
        <v>270</v>
      </c>
      <c r="AG38" s="11">
        <v>380</v>
      </c>
      <c r="AH38" s="19"/>
      <c r="AI38" s="11">
        <v>250</v>
      </c>
      <c r="AJ38" s="11">
        <v>270</v>
      </c>
      <c r="AK38" s="11">
        <v>270</v>
      </c>
      <c r="AL38" s="11">
        <v>250</v>
      </c>
      <c r="AM38" s="11">
        <v>250</v>
      </c>
      <c r="AN38" s="11">
        <v>270</v>
      </c>
      <c r="AO38" s="11">
        <v>230</v>
      </c>
      <c r="AP38" s="11">
        <v>250</v>
      </c>
      <c r="AQ38" s="11">
        <v>250</v>
      </c>
      <c r="AR38" s="11">
        <v>270</v>
      </c>
      <c r="AS38" s="11">
        <v>270</v>
      </c>
      <c r="AT38" s="11">
        <v>250</v>
      </c>
      <c r="AU38" s="11">
        <v>280</v>
      </c>
      <c r="AV38" s="11">
        <v>165</v>
      </c>
      <c r="AW38" s="11">
        <v>270</v>
      </c>
    </row>
    <row r="39" spans="3:49" x14ac:dyDescent="0.25">
      <c r="C39" s="2" t="s">
        <v>41</v>
      </c>
      <c r="D39" s="4">
        <v>175</v>
      </c>
      <c r="E39" s="1">
        <v>200</v>
      </c>
      <c r="F39" s="1">
        <v>190</v>
      </c>
      <c r="G39" s="1">
        <v>170</v>
      </c>
      <c r="H39" s="1">
        <v>175</v>
      </c>
      <c r="I39" s="1">
        <v>190</v>
      </c>
      <c r="J39" s="1">
        <v>200</v>
      </c>
      <c r="K39" s="1">
        <v>190</v>
      </c>
      <c r="L39" s="1">
        <v>190</v>
      </c>
      <c r="M39" s="1">
        <v>200</v>
      </c>
      <c r="N39" s="1">
        <v>180</v>
      </c>
      <c r="O39" s="1">
        <v>180</v>
      </c>
      <c r="P39" s="1">
        <v>210</v>
      </c>
      <c r="Q39" s="1">
        <v>175</v>
      </c>
      <c r="R39" s="1">
        <v>180</v>
      </c>
      <c r="S39" s="1">
        <v>180</v>
      </c>
      <c r="T39" s="1">
        <v>180</v>
      </c>
      <c r="U39" s="1">
        <v>210</v>
      </c>
      <c r="V39" s="1">
        <v>170</v>
      </c>
      <c r="W39" s="1">
        <v>195</v>
      </c>
      <c r="X39" s="1">
        <v>200</v>
      </c>
      <c r="Y39" s="1">
        <v>195</v>
      </c>
      <c r="Z39" s="1">
        <v>200</v>
      </c>
      <c r="AA39" s="1">
        <v>175</v>
      </c>
      <c r="AB39" s="1">
        <v>220</v>
      </c>
      <c r="AC39" s="1">
        <v>220</v>
      </c>
      <c r="AD39" s="1">
        <v>180</v>
      </c>
      <c r="AE39" s="1">
        <v>190</v>
      </c>
      <c r="AF39" s="1">
        <v>170</v>
      </c>
      <c r="AG39" s="1">
        <v>220</v>
      </c>
      <c r="AH39" s="19"/>
      <c r="AI39" s="1">
        <v>190</v>
      </c>
      <c r="AJ39" s="1">
        <v>200</v>
      </c>
      <c r="AK39" s="1">
        <v>220</v>
      </c>
      <c r="AL39" s="1">
        <v>210</v>
      </c>
      <c r="AM39" s="1">
        <v>190</v>
      </c>
      <c r="AN39" s="1">
        <v>200</v>
      </c>
      <c r="AO39" s="1">
        <v>170</v>
      </c>
      <c r="AP39" s="1">
        <v>210</v>
      </c>
      <c r="AQ39" s="1">
        <v>200</v>
      </c>
      <c r="AR39" s="1">
        <v>195</v>
      </c>
      <c r="AS39" s="1">
        <v>230</v>
      </c>
      <c r="AT39" s="1">
        <v>210</v>
      </c>
      <c r="AU39" s="1">
        <v>180</v>
      </c>
      <c r="AV39" s="1">
        <v>120</v>
      </c>
      <c r="AW39" s="1">
        <v>155</v>
      </c>
    </row>
    <row r="40" spans="3:49" x14ac:dyDescent="0.25">
      <c r="C40" s="8" t="s">
        <v>42</v>
      </c>
      <c r="D40" s="12">
        <v>145</v>
      </c>
      <c r="E40" s="9">
        <v>180</v>
      </c>
      <c r="F40" s="9">
        <v>160</v>
      </c>
      <c r="G40" s="9">
        <v>140</v>
      </c>
      <c r="H40" s="9">
        <v>145</v>
      </c>
      <c r="I40" s="9">
        <v>160</v>
      </c>
      <c r="J40" s="9">
        <v>165</v>
      </c>
      <c r="K40" s="9">
        <v>160</v>
      </c>
      <c r="L40" s="9">
        <v>160</v>
      </c>
      <c r="M40" s="9">
        <v>170</v>
      </c>
      <c r="N40" s="9">
        <v>150</v>
      </c>
      <c r="O40" s="9">
        <v>155</v>
      </c>
      <c r="P40" s="9">
        <v>170</v>
      </c>
      <c r="Q40" s="9">
        <v>170</v>
      </c>
      <c r="R40" s="9">
        <v>150</v>
      </c>
      <c r="S40" s="9">
        <v>155</v>
      </c>
      <c r="T40" s="9">
        <v>155</v>
      </c>
      <c r="U40" s="9">
        <v>170</v>
      </c>
      <c r="V40" s="9">
        <v>160</v>
      </c>
      <c r="W40" s="9">
        <v>175</v>
      </c>
      <c r="X40" s="9">
        <v>185</v>
      </c>
      <c r="Y40" s="9">
        <v>185</v>
      </c>
      <c r="Z40" s="9">
        <v>185</v>
      </c>
      <c r="AA40" s="9">
        <v>160</v>
      </c>
      <c r="AB40" s="9">
        <v>180</v>
      </c>
      <c r="AC40" s="9">
        <v>180</v>
      </c>
      <c r="AD40" s="9">
        <v>155</v>
      </c>
      <c r="AE40" s="9">
        <v>160</v>
      </c>
      <c r="AF40" s="9">
        <v>150</v>
      </c>
      <c r="AG40" s="9">
        <v>200</v>
      </c>
      <c r="AH40" s="19"/>
      <c r="AI40" s="9">
        <v>150</v>
      </c>
      <c r="AJ40" s="9">
        <v>160</v>
      </c>
      <c r="AK40" s="9">
        <v>180</v>
      </c>
      <c r="AL40" s="9">
        <v>170</v>
      </c>
      <c r="AM40" s="9">
        <v>150</v>
      </c>
      <c r="AN40" s="9">
        <v>160</v>
      </c>
      <c r="AO40" s="9">
        <v>140</v>
      </c>
      <c r="AP40" s="9">
        <v>170</v>
      </c>
      <c r="AQ40" s="9">
        <v>160</v>
      </c>
      <c r="AR40" s="9">
        <v>170</v>
      </c>
      <c r="AS40" s="9">
        <v>190</v>
      </c>
      <c r="AT40" s="9">
        <v>170</v>
      </c>
      <c r="AU40" s="9">
        <v>165</v>
      </c>
      <c r="AV40" s="9">
        <v>100</v>
      </c>
      <c r="AW40" s="9">
        <v>145</v>
      </c>
    </row>
    <row r="41" spans="3:49" x14ac:dyDescent="0.25">
      <c r="C41" s="10" t="s">
        <v>45</v>
      </c>
      <c r="D41" s="13">
        <f>(175+145)/2</f>
        <v>160</v>
      </c>
      <c r="E41" s="11">
        <f>(200+180)/2</f>
        <v>190</v>
      </c>
      <c r="F41" s="11">
        <f>(F39+F40)/2</f>
        <v>175</v>
      </c>
      <c r="G41" s="11">
        <f>AVERAGE(170,140)</f>
        <v>155</v>
      </c>
      <c r="H41" s="11">
        <f>(175+145)/2</f>
        <v>160</v>
      </c>
      <c r="I41" s="11">
        <f>(I39+I40)/2</f>
        <v>175</v>
      </c>
      <c r="J41" s="11">
        <f>(200+165)/2</f>
        <v>182.5</v>
      </c>
      <c r="K41" s="11">
        <f>(190+160)/2</f>
        <v>175</v>
      </c>
      <c r="L41" s="11">
        <f>(L39+L40)/2</f>
        <v>175</v>
      </c>
      <c r="M41" s="11">
        <f>(M39+M40)/2</f>
        <v>185</v>
      </c>
      <c r="N41" s="11">
        <f>(180+150)/2</f>
        <v>165</v>
      </c>
      <c r="O41" s="11">
        <f t="shared" ref="O41:AG41" si="0">(O39+O40)/2</f>
        <v>167.5</v>
      </c>
      <c r="P41" s="11">
        <f t="shared" si="0"/>
        <v>190</v>
      </c>
      <c r="Q41" s="11">
        <f t="shared" si="0"/>
        <v>172.5</v>
      </c>
      <c r="R41" s="11">
        <f t="shared" si="0"/>
        <v>165</v>
      </c>
      <c r="S41" s="11">
        <f t="shared" si="0"/>
        <v>167.5</v>
      </c>
      <c r="T41" s="11">
        <f t="shared" si="0"/>
        <v>167.5</v>
      </c>
      <c r="U41" s="11">
        <f t="shared" si="0"/>
        <v>190</v>
      </c>
      <c r="V41" s="11">
        <f t="shared" si="0"/>
        <v>165</v>
      </c>
      <c r="W41" s="11">
        <f t="shared" si="0"/>
        <v>185</v>
      </c>
      <c r="X41" s="11">
        <f t="shared" si="0"/>
        <v>192.5</v>
      </c>
      <c r="Y41" s="11">
        <f t="shared" si="0"/>
        <v>190</v>
      </c>
      <c r="Z41" s="11">
        <f t="shared" si="0"/>
        <v>192.5</v>
      </c>
      <c r="AA41" s="11">
        <f t="shared" si="0"/>
        <v>167.5</v>
      </c>
      <c r="AB41" s="11">
        <f t="shared" si="0"/>
        <v>200</v>
      </c>
      <c r="AC41" s="11">
        <f t="shared" si="0"/>
        <v>200</v>
      </c>
      <c r="AD41" s="11">
        <f t="shared" si="0"/>
        <v>167.5</v>
      </c>
      <c r="AE41" s="11">
        <f t="shared" si="0"/>
        <v>175</v>
      </c>
      <c r="AF41" s="11">
        <f t="shared" si="0"/>
        <v>160</v>
      </c>
      <c r="AG41" s="11">
        <f t="shared" si="0"/>
        <v>210</v>
      </c>
      <c r="AH41" s="19"/>
      <c r="AI41" s="11">
        <f>(AI39+AI40)/2</f>
        <v>170</v>
      </c>
      <c r="AJ41" s="11">
        <f t="shared" ref="AJ41:AW41" si="1">(AJ39+AJ40)/2</f>
        <v>180</v>
      </c>
      <c r="AK41" s="11">
        <f t="shared" si="1"/>
        <v>200</v>
      </c>
      <c r="AL41" s="11">
        <f t="shared" si="1"/>
        <v>190</v>
      </c>
      <c r="AM41" s="11">
        <f t="shared" si="1"/>
        <v>170</v>
      </c>
      <c r="AN41" s="11">
        <f t="shared" si="1"/>
        <v>180</v>
      </c>
      <c r="AO41" s="11">
        <f t="shared" si="1"/>
        <v>155</v>
      </c>
      <c r="AP41" s="11">
        <f t="shared" si="1"/>
        <v>190</v>
      </c>
      <c r="AQ41" s="11">
        <f t="shared" si="1"/>
        <v>180</v>
      </c>
      <c r="AR41" s="11">
        <f t="shared" si="1"/>
        <v>182.5</v>
      </c>
      <c r="AS41" s="11">
        <f t="shared" si="1"/>
        <v>210</v>
      </c>
      <c r="AT41" s="11">
        <f t="shared" si="1"/>
        <v>190</v>
      </c>
      <c r="AU41" s="11">
        <f t="shared" si="1"/>
        <v>172.5</v>
      </c>
      <c r="AV41" s="11">
        <f t="shared" si="1"/>
        <v>110</v>
      </c>
      <c r="AW41" s="11">
        <f t="shared" si="1"/>
        <v>150</v>
      </c>
    </row>
    <row r="42" spans="3:49" x14ac:dyDescent="0.25">
      <c r="C42" s="8" t="s">
        <v>43</v>
      </c>
      <c r="D42" s="12">
        <v>145</v>
      </c>
      <c r="E42" s="9">
        <v>145</v>
      </c>
      <c r="F42" s="9">
        <v>145</v>
      </c>
      <c r="G42" s="9">
        <v>140</v>
      </c>
      <c r="H42" s="9">
        <v>145</v>
      </c>
      <c r="I42" s="9">
        <v>150</v>
      </c>
      <c r="J42" s="9">
        <v>160</v>
      </c>
      <c r="K42" s="9">
        <v>145</v>
      </c>
      <c r="L42" s="9">
        <v>145</v>
      </c>
      <c r="M42" s="9">
        <v>160</v>
      </c>
      <c r="N42" s="9">
        <v>155</v>
      </c>
      <c r="O42" s="9">
        <v>155</v>
      </c>
      <c r="P42" s="9">
        <v>170</v>
      </c>
      <c r="Q42" s="9">
        <v>165</v>
      </c>
      <c r="R42" s="9">
        <v>160</v>
      </c>
      <c r="S42" s="9">
        <v>155</v>
      </c>
      <c r="T42" s="9">
        <v>155</v>
      </c>
      <c r="U42" s="9">
        <v>170</v>
      </c>
      <c r="V42" s="9">
        <v>135</v>
      </c>
      <c r="W42" s="9">
        <v>160</v>
      </c>
      <c r="X42" s="9">
        <v>195</v>
      </c>
      <c r="Y42" s="9">
        <v>155</v>
      </c>
      <c r="Z42" s="9">
        <v>195</v>
      </c>
      <c r="AA42" s="9">
        <v>175</v>
      </c>
      <c r="AB42" s="9">
        <v>180</v>
      </c>
      <c r="AC42" s="9">
        <v>180</v>
      </c>
      <c r="AD42" s="9">
        <v>155</v>
      </c>
      <c r="AE42" s="9">
        <v>160</v>
      </c>
      <c r="AF42" s="9">
        <v>155</v>
      </c>
      <c r="AG42" s="9">
        <v>185</v>
      </c>
      <c r="AH42" s="19"/>
      <c r="AI42" s="9">
        <v>140</v>
      </c>
      <c r="AJ42" s="9">
        <v>165</v>
      </c>
      <c r="AK42" s="9">
        <v>160</v>
      </c>
      <c r="AL42" s="9">
        <v>160</v>
      </c>
      <c r="AM42" s="9">
        <v>145</v>
      </c>
      <c r="AN42" s="9">
        <v>165</v>
      </c>
      <c r="AO42" s="9">
        <v>145</v>
      </c>
      <c r="AP42" s="9">
        <v>150</v>
      </c>
      <c r="AQ42" s="9">
        <v>155</v>
      </c>
      <c r="AR42" s="9">
        <v>170</v>
      </c>
      <c r="AS42" s="9">
        <v>170</v>
      </c>
      <c r="AT42" s="9">
        <v>150</v>
      </c>
      <c r="AU42" s="9">
        <v>192</v>
      </c>
      <c r="AV42" s="9">
        <v>110</v>
      </c>
      <c r="AW42" s="9">
        <v>145</v>
      </c>
    </row>
    <row r="43" spans="3:49" x14ac:dyDescent="0.25">
      <c r="C43" s="8" t="s">
        <v>44</v>
      </c>
      <c r="D43" s="12">
        <v>135</v>
      </c>
      <c r="E43" s="9">
        <v>135</v>
      </c>
      <c r="F43" s="9">
        <v>140</v>
      </c>
      <c r="G43" s="9">
        <v>130</v>
      </c>
      <c r="H43" s="9">
        <v>135</v>
      </c>
      <c r="I43" s="9">
        <v>140</v>
      </c>
      <c r="J43" s="9">
        <v>140</v>
      </c>
      <c r="K43" s="9">
        <v>135</v>
      </c>
      <c r="L43" s="9">
        <v>135</v>
      </c>
      <c r="M43" s="9">
        <v>150</v>
      </c>
      <c r="N43" s="9">
        <v>145</v>
      </c>
      <c r="O43" s="9">
        <v>150</v>
      </c>
      <c r="P43" s="9">
        <v>160</v>
      </c>
      <c r="Q43" s="9">
        <v>145</v>
      </c>
      <c r="R43" s="9">
        <v>155</v>
      </c>
      <c r="S43" s="9">
        <v>150</v>
      </c>
      <c r="T43" s="9">
        <v>150</v>
      </c>
      <c r="U43" s="9">
        <v>160</v>
      </c>
      <c r="V43" s="9">
        <v>130</v>
      </c>
      <c r="W43" s="9">
        <v>150</v>
      </c>
      <c r="X43" s="9">
        <v>175</v>
      </c>
      <c r="Y43" s="9">
        <v>150</v>
      </c>
      <c r="Z43" s="9">
        <v>175</v>
      </c>
      <c r="AA43" s="9">
        <v>150</v>
      </c>
      <c r="AB43" s="9">
        <v>160</v>
      </c>
      <c r="AC43" s="9">
        <v>160</v>
      </c>
      <c r="AD43" s="9">
        <v>150</v>
      </c>
      <c r="AE43" s="9">
        <v>155</v>
      </c>
      <c r="AF43" s="9">
        <v>150</v>
      </c>
      <c r="AG43" s="9">
        <v>165</v>
      </c>
      <c r="AH43" s="19"/>
      <c r="AI43" s="9">
        <v>130</v>
      </c>
      <c r="AJ43" s="9">
        <v>155</v>
      </c>
      <c r="AK43" s="9">
        <v>140</v>
      </c>
      <c r="AL43" s="9">
        <v>150</v>
      </c>
      <c r="AM43" s="9">
        <v>135</v>
      </c>
      <c r="AN43" s="9">
        <v>155</v>
      </c>
      <c r="AO43" s="9">
        <v>125</v>
      </c>
      <c r="AP43" s="9">
        <v>125</v>
      </c>
      <c r="AQ43" s="9">
        <v>145</v>
      </c>
      <c r="AR43" s="9">
        <v>150</v>
      </c>
      <c r="AS43" s="9">
        <v>150</v>
      </c>
      <c r="AT43" s="9">
        <v>125</v>
      </c>
      <c r="AU43" s="9">
        <v>176</v>
      </c>
      <c r="AV43" s="9">
        <v>95</v>
      </c>
      <c r="AW43" s="9">
        <v>135</v>
      </c>
    </row>
    <row r="44" spans="3:49" x14ac:dyDescent="0.25">
      <c r="C44" s="10" t="s">
        <v>46</v>
      </c>
      <c r="D44" s="13">
        <f>(145+135)/2</f>
        <v>140</v>
      </c>
      <c r="E44" s="11">
        <f>(145+135)/2</f>
        <v>140</v>
      </c>
      <c r="F44" s="11">
        <f>(F42+F43)/2</f>
        <v>142.5</v>
      </c>
      <c r="G44" s="11">
        <f>(140+130)/2</f>
        <v>135</v>
      </c>
      <c r="H44" s="11">
        <f>(145+135)/2</f>
        <v>140</v>
      </c>
      <c r="I44" s="11">
        <f>(I42+I43)/2</f>
        <v>145</v>
      </c>
      <c r="J44" s="11">
        <f>(160+140)/2</f>
        <v>150</v>
      </c>
      <c r="K44" s="11">
        <f>(145+135)/2</f>
        <v>140</v>
      </c>
      <c r="L44" s="11">
        <f>(L42+L43)/2</f>
        <v>140</v>
      </c>
      <c r="M44" s="11">
        <f>(M42+M43)/2</f>
        <v>155</v>
      </c>
      <c r="N44" s="11">
        <f>(155+145)/2</f>
        <v>150</v>
      </c>
      <c r="O44" s="11">
        <f t="shared" ref="O44:AG44" si="2">(O42+O43)/2</f>
        <v>152.5</v>
      </c>
      <c r="P44" s="11">
        <f t="shared" si="2"/>
        <v>165</v>
      </c>
      <c r="Q44" s="11">
        <f t="shared" si="2"/>
        <v>155</v>
      </c>
      <c r="R44" s="11">
        <f t="shared" si="2"/>
        <v>157.5</v>
      </c>
      <c r="S44" s="11">
        <f t="shared" si="2"/>
        <v>152.5</v>
      </c>
      <c r="T44" s="11">
        <f t="shared" si="2"/>
        <v>152.5</v>
      </c>
      <c r="U44" s="11">
        <f t="shared" si="2"/>
        <v>165</v>
      </c>
      <c r="V44" s="11">
        <f t="shared" si="2"/>
        <v>132.5</v>
      </c>
      <c r="W44" s="11">
        <f t="shared" si="2"/>
        <v>155</v>
      </c>
      <c r="X44" s="11">
        <f t="shared" si="2"/>
        <v>185</v>
      </c>
      <c r="Y44" s="11">
        <f t="shared" si="2"/>
        <v>152.5</v>
      </c>
      <c r="Z44" s="11">
        <f t="shared" si="2"/>
        <v>185</v>
      </c>
      <c r="AA44" s="11">
        <f t="shared" si="2"/>
        <v>162.5</v>
      </c>
      <c r="AB44" s="11">
        <f t="shared" si="2"/>
        <v>170</v>
      </c>
      <c r="AC44" s="11">
        <f t="shared" si="2"/>
        <v>170</v>
      </c>
      <c r="AD44" s="11">
        <f t="shared" si="2"/>
        <v>152.5</v>
      </c>
      <c r="AE44" s="11">
        <f t="shared" si="2"/>
        <v>157.5</v>
      </c>
      <c r="AF44" s="11">
        <f t="shared" si="2"/>
        <v>152.5</v>
      </c>
      <c r="AG44" s="11">
        <f t="shared" si="2"/>
        <v>175</v>
      </c>
      <c r="AH44" s="19"/>
      <c r="AI44" s="11">
        <f>(AI42+AI43)/2</f>
        <v>135</v>
      </c>
      <c r="AJ44" s="11">
        <f t="shared" ref="AJ44:AW44" si="3">(AJ42+AJ43)/2</f>
        <v>160</v>
      </c>
      <c r="AK44" s="11">
        <f t="shared" si="3"/>
        <v>150</v>
      </c>
      <c r="AL44" s="11">
        <f t="shared" si="3"/>
        <v>155</v>
      </c>
      <c r="AM44" s="11">
        <f t="shared" si="3"/>
        <v>140</v>
      </c>
      <c r="AN44" s="11">
        <f t="shared" si="3"/>
        <v>160</v>
      </c>
      <c r="AO44" s="11">
        <f t="shared" si="3"/>
        <v>135</v>
      </c>
      <c r="AP44" s="11">
        <f t="shared" si="3"/>
        <v>137.5</v>
      </c>
      <c r="AQ44" s="11">
        <f t="shared" si="3"/>
        <v>150</v>
      </c>
      <c r="AR44" s="11">
        <f t="shared" si="3"/>
        <v>160</v>
      </c>
      <c r="AS44" s="11">
        <f t="shared" si="3"/>
        <v>160</v>
      </c>
      <c r="AT44" s="11">
        <f t="shared" si="3"/>
        <v>137.5</v>
      </c>
      <c r="AU44" s="11">
        <f t="shared" si="3"/>
        <v>184</v>
      </c>
      <c r="AV44" s="11">
        <f t="shared" si="3"/>
        <v>102.5</v>
      </c>
      <c r="AW44" s="11">
        <f t="shared" si="3"/>
        <v>140</v>
      </c>
    </row>
    <row r="45" spans="3:49" x14ac:dyDescent="0.25">
      <c r="C45" s="8" t="s">
        <v>53</v>
      </c>
      <c r="D45" s="9">
        <v>930</v>
      </c>
      <c r="E45" s="9">
        <v>1120</v>
      </c>
      <c r="F45" s="9">
        <v>900</v>
      </c>
      <c r="G45" s="9">
        <v>910</v>
      </c>
      <c r="H45" s="9">
        <v>1015</v>
      </c>
      <c r="I45" s="9"/>
      <c r="J45" s="9">
        <v>1200</v>
      </c>
      <c r="K45" s="9">
        <v>1240</v>
      </c>
      <c r="L45" s="9">
        <v>1240</v>
      </c>
      <c r="M45" s="9">
        <v>1400</v>
      </c>
      <c r="N45" s="9">
        <v>1200</v>
      </c>
      <c r="O45" s="9">
        <v>1310</v>
      </c>
      <c r="P45" s="9">
        <v>1520</v>
      </c>
      <c r="Q45" s="9">
        <v>1210</v>
      </c>
      <c r="R45" s="9">
        <v>1000</v>
      </c>
      <c r="S45" s="9">
        <v>1310</v>
      </c>
      <c r="T45" s="9">
        <v>1310</v>
      </c>
      <c r="U45" s="9">
        <v>1520</v>
      </c>
      <c r="V45" s="9">
        <v>1115</v>
      </c>
      <c r="W45" s="9">
        <v>1560</v>
      </c>
      <c r="X45" s="9">
        <v>1620</v>
      </c>
      <c r="Y45" s="9">
        <v>1250</v>
      </c>
      <c r="Z45" s="23">
        <v>1490</v>
      </c>
      <c r="AA45" s="23">
        <v>1490</v>
      </c>
      <c r="AB45" s="23"/>
      <c r="AC45" s="23"/>
      <c r="AD45" s="23"/>
      <c r="AE45" s="23"/>
      <c r="AF45" s="23"/>
      <c r="AG45" s="23"/>
      <c r="AH45" s="24"/>
      <c r="AI45" s="1">
        <v>1500</v>
      </c>
      <c r="AJ45" s="1">
        <v>1020</v>
      </c>
      <c r="AK45" s="1">
        <v>910</v>
      </c>
      <c r="AL45" s="1">
        <v>1190</v>
      </c>
      <c r="AM45" s="1">
        <v>1500</v>
      </c>
      <c r="AN45" s="1">
        <v>1200</v>
      </c>
      <c r="AO45" s="1">
        <v>1190</v>
      </c>
      <c r="AP45" s="1">
        <v>1190</v>
      </c>
      <c r="AQ45" s="1">
        <v>1500</v>
      </c>
      <c r="AR45" s="1">
        <v>810</v>
      </c>
      <c r="AS45" s="1">
        <v>1310</v>
      </c>
      <c r="AT45" s="1">
        <v>1210</v>
      </c>
      <c r="AU45" s="1">
        <v>1520</v>
      </c>
      <c r="AV45" s="1">
        <v>575</v>
      </c>
      <c r="AW45" s="1">
        <v>580</v>
      </c>
    </row>
    <row r="46" spans="3:49" x14ac:dyDescent="0.25">
      <c r="C46" s="2" t="s">
        <v>54</v>
      </c>
      <c r="D46" s="1">
        <v>1100</v>
      </c>
      <c r="E46" s="1">
        <v>1350</v>
      </c>
      <c r="F46" s="1">
        <v>1150</v>
      </c>
      <c r="G46" s="1">
        <v>1100</v>
      </c>
      <c r="H46" s="1"/>
      <c r="I46" s="1">
        <v>1050</v>
      </c>
      <c r="J46" s="1"/>
      <c r="K46" s="1"/>
      <c r="L46" s="1"/>
      <c r="M46" s="1">
        <v>1700</v>
      </c>
      <c r="N46" s="1"/>
      <c r="O46" s="1"/>
      <c r="P46" s="1"/>
      <c r="Q46" s="1"/>
      <c r="R46" s="1">
        <v>1150</v>
      </c>
      <c r="S46" s="1"/>
      <c r="T46" s="1"/>
      <c r="U46" s="1"/>
      <c r="V46" s="1"/>
      <c r="W46" s="1">
        <v>1850</v>
      </c>
      <c r="X46" s="1">
        <v>1950</v>
      </c>
      <c r="Y46" s="1"/>
      <c r="Z46" s="1"/>
      <c r="AA46" s="1"/>
      <c r="AB46" s="1">
        <v>1520</v>
      </c>
      <c r="AC46" s="1">
        <v>1900</v>
      </c>
      <c r="AD46" s="1">
        <v>1310</v>
      </c>
      <c r="AE46" s="1">
        <v>1370</v>
      </c>
      <c r="AF46" s="1"/>
      <c r="AG46" s="1"/>
      <c r="AH46" s="24"/>
      <c r="AI46" s="1">
        <v>1600</v>
      </c>
      <c r="AJ46" s="1"/>
      <c r="AK46" s="1">
        <v>1100</v>
      </c>
      <c r="AL46" s="1"/>
      <c r="AM46" s="1">
        <v>1600</v>
      </c>
      <c r="AN46" s="1"/>
      <c r="AO46" s="1">
        <v>1260</v>
      </c>
      <c r="AP46" s="1">
        <v>1260</v>
      </c>
      <c r="AQ46" s="1">
        <v>1720</v>
      </c>
      <c r="AR46" s="1">
        <v>1350</v>
      </c>
      <c r="AS46" s="1">
        <v>1480</v>
      </c>
      <c r="AT46" s="1"/>
      <c r="AU46" s="1"/>
      <c r="AV46" s="1"/>
      <c r="AW46" s="1"/>
    </row>
    <row r="47" spans="3:49" x14ac:dyDescent="0.25">
      <c r="C47" s="8" t="s">
        <v>57</v>
      </c>
      <c r="D47" s="9"/>
      <c r="E47" s="9"/>
      <c r="F47" s="9">
        <v>1470</v>
      </c>
      <c r="G47" s="9">
        <v>990</v>
      </c>
      <c r="H47" s="9">
        <v>1175</v>
      </c>
      <c r="I47" s="9">
        <v>1175</v>
      </c>
      <c r="J47" s="9"/>
      <c r="K47" s="9"/>
      <c r="L47" s="9"/>
      <c r="M47" s="9"/>
      <c r="N47" s="9">
        <v>1350</v>
      </c>
      <c r="O47" s="9"/>
      <c r="P47" s="9">
        <v>1700</v>
      </c>
      <c r="Q47" s="9"/>
      <c r="R47" s="9">
        <v>1550</v>
      </c>
      <c r="S47" s="9">
        <v>1480</v>
      </c>
      <c r="T47" s="9">
        <v>1480</v>
      </c>
      <c r="U47" s="9">
        <v>1700</v>
      </c>
      <c r="V47" s="9">
        <v>1455</v>
      </c>
      <c r="W47" s="9"/>
      <c r="X47" s="9">
        <v>2600</v>
      </c>
      <c r="Y47" s="9">
        <v>1655</v>
      </c>
      <c r="Z47" s="23">
        <v>1650</v>
      </c>
      <c r="AA47" s="23">
        <v>1550</v>
      </c>
      <c r="AB47" s="23">
        <v>1700</v>
      </c>
      <c r="AC47" s="23">
        <v>2130</v>
      </c>
      <c r="AD47" s="23">
        <v>1800</v>
      </c>
      <c r="AE47" s="23">
        <v>2000</v>
      </c>
      <c r="AF47" s="23">
        <v>2180</v>
      </c>
      <c r="AG47" s="23"/>
      <c r="AH47" s="24"/>
      <c r="AI47" s="1"/>
      <c r="AJ47" s="1"/>
      <c r="AK47" s="1">
        <v>990</v>
      </c>
      <c r="AL47" s="1">
        <v>1420</v>
      </c>
      <c r="AM47" s="1"/>
      <c r="AN47" s="1"/>
      <c r="AO47" s="1">
        <v>1420</v>
      </c>
      <c r="AP47" s="1">
        <v>1420</v>
      </c>
      <c r="AQ47" s="1"/>
      <c r="AR47" s="1">
        <v>1600</v>
      </c>
      <c r="AS47" s="1"/>
      <c r="AT47" s="1">
        <v>1340</v>
      </c>
      <c r="AU47" s="1">
        <v>1725</v>
      </c>
      <c r="AV47" s="1">
        <v>640</v>
      </c>
      <c r="AW47" s="1">
        <v>700</v>
      </c>
    </row>
    <row r="48" spans="3:49" x14ac:dyDescent="0.25">
      <c r="C48" s="6" t="s">
        <v>18</v>
      </c>
      <c r="D48" s="7">
        <v>1633</v>
      </c>
      <c r="E48" s="7">
        <v>2831</v>
      </c>
      <c r="F48" s="7">
        <v>3264</v>
      </c>
      <c r="G48" s="7">
        <v>2340</v>
      </c>
      <c r="H48" s="7">
        <v>2445</v>
      </c>
      <c r="I48" s="7">
        <v>2622</v>
      </c>
      <c r="J48" s="7">
        <v>2773</v>
      </c>
      <c r="K48" s="7">
        <v>2583</v>
      </c>
      <c r="L48" s="7">
        <v>2543</v>
      </c>
      <c r="M48" s="7">
        <v>2928</v>
      </c>
      <c r="N48" s="7">
        <v>2545</v>
      </c>
      <c r="O48" s="7">
        <v>2649</v>
      </c>
      <c r="P48" s="7">
        <v>3330</v>
      </c>
      <c r="Q48" s="7">
        <v>2630</v>
      </c>
      <c r="R48" s="7">
        <v>3331</v>
      </c>
      <c r="S48" s="7">
        <v>2669</v>
      </c>
      <c r="T48" s="7">
        <v>2734</v>
      </c>
      <c r="U48" s="7">
        <v>3401</v>
      </c>
      <c r="V48" s="7">
        <v>2732</v>
      </c>
      <c r="W48" s="7">
        <v>2929</v>
      </c>
      <c r="X48" s="7">
        <v>5163</v>
      </c>
      <c r="Y48" s="7">
        <v>2977</v>
      </c>
      <c r="Z48" s="7">
        <v>3629</v>
      </c>
      <c r="AA48" s="7">
        <v>6662</v>
      </c>
      <c r="AB48" s="7">
        <v>3697</v>
      </c>
      <c r="AC48" s="7">
        <v>3759</v>
      </c>
      <c r="AD48" s="7">
        <v>2899</v>
      </c>
      <c r="AE48" s="7">
        <v>3006</v>
      </c>
      <c r="AF48" s="7">
        <v>4585</v>
      </c>
      <c r="AG48" s="7">
        <v>4737</v>
      </c>
      <c r="AH48" s="19"/>
      <c r="AI48" s="7">
        <v>4464</v>
      </c>
      <c r="AJ48" s="7">
        <v>6640</v>
      </c>
      <c r="AK48" s="7">
        <v>5597</v>
      </c>
      <c r="AL48" s="7">
        <v>9458</v>
      </c>
      <c r="AM48" s="7">
        <v>4651</v>
      </c>
      <c r="AN48" s="7">
        <v>6643</v>
      </c>
      <c r="AO48" s="7">
        <v>4250</v>
      </c>
      <c r="AP48" s="7">
        <v>9946</v>
      </c>
      <c r="AQ48" s="7">
        <v>5014</v>
      </c>
      <c r="AR48" s="7">
        <v>7359</v>
      </c>
      <c r="AS48" s="7">
        <v>6335</v>
      </c>
      <c r="AT48" s="7">
        <v>9831</v>
      </c>
      <c r="AU48" s="7">
        <v>8829</v>
      </c>
      <c r="AV48" s="7">
        <v>7017</v>
      </c>
      <c r="AW48" s="7">
        <v>4200</v>
      </c>
    </row>
    <row r="49" spans="3:49" x14ac:dyDescent="0.25">
      <c r="C49" s="8" t="s">
        <v>23</v>
      </c>
      <c r="D49" s="9">
        <v>1878</v>
      </c>
      <c r="E49" s="9">
        <v>3244</v>
      </c>
      <c r="F49" s="9">
        <v>3819</v>
      </c>
      <c r="G49" s="9">
        <v>2614</v>
      </c>
      <c r="H49" s="9">
        <v>2789</v>
      </c>
      <c r="I49" s="9">
        <v>2967</v>
      </c>
      <c r="J49" s="9">
        <v>3157</v>
      </c>
      <c r="K49" s="9">
        <v>2932</v>
      </c>
      <c r="L49" s="9">
        <v>2887</v>
      </c>
      <c r="M49" s="9">
        <v>3353</v>
      </c>
      <c r="N49" s="9">
        <v>2890</v>
      </c>
      <c r="O49" s="9">
        <v>2994</v>
      </c>
      <c r="P49" s="9">
        <v>3855</v>
      </c>
      <c r="Q49" s="9">
        <v>3002</v>
      </c>
      <c r="R49" s="9">
        <v>3508</v>
      </c>
      <c r="S49" s="9">
        <v>3014</v>
      </c>
      <c r="T49" s="9">
        <v>3100</v>
      </c>
      <c r="U49" s="9">
        <v>3926</v>
      </c>
      <c r="V49" s="9">
        <v>2979</v>
      </c>
      <c r="W49" s="9">
        <v>3305</v>
      </c>
      <c r="X49" s="9">
        <v>6503</v>
      </c>
      <c r="Y49" s="9">
        <v>3359</v>
      </c>
      <c r="Z49" s="9">
        <v>4578</v>
      </c>
      <c r="AA49" s="9">
        <v>7890</v>
      </c>
      <c r="AB49" s="9">
        <v>4391</v>
      </c>
      <c r="AC49" s="9">
        <v>4289</v>
      </c>
      <c r="AD49" s="9">
        <v>3266</v>
      </c>
      <c r="AE49" s="9">
        <v>3361</v>
      </c>
      <c r="AF49" s="9">
        <v>5221</v>
      </c>
      <c r="AG49" s="9">
        <v>6400</v>
      </c>
      <c r="AH49" s="19"/>
      <c r="AI49" s="9">
        <v>5049</v>
      </c>
      <c r="AJ49" s="9">
        <v>7697</v>
      </c>
      <c r="AK49" s="9">
        <v>6706</v>
      </c>
      <c r="AL49" s="9">
        <v>12110</v>
      </c>
      <c r="AM49" s="9">
        <v>5294</v>
      </c>
      <c r="AN49" s="9">
        <v>7685</v>
      </c>
      <c r="AO49" s="9">
        <v>4835</v>
      </c>
      <c r="AP49" s="9">
        <v>13727</v>
      </c>
      <c r="AQ49" s="9">
        <v>5681</v>
      </c>
      <c r="AR49" s="9">
        <v>8366</v>
      </c>
      <c r="AS49" s="9">
        <v>7514</v>
      </c>
      <c r="AT49" s="9">
        <v>13017</v>
      </c>
      <c r="AU49" s="9">
        <v>11544</v>
      </c>
      <c r="AV49" s="9">
        <v>10003</v>
      </c>
      <c r="AW49" s="9">
        <v>4756</v>
      </c>
    </row>
    <row r="50" spans="3:49" x14ac:dyDescent="0.25">
      <c r="C50" s="10" t="s">
        <v>9</v>
      </c>
      <c r="D50" s="11">
        <v>2146</v>
      </c>
      <c r="E50" s="11">
        <v>3476</v>
      </c>
      <c r="F50" s="11">
        <v>4414</v>
      </c>
      <c r="G50" s="11">
        <v>2893</v>
      </c>
      <c r="H50" s="11">
        <v>3092</v>
      </c>
      <c r="I50" s="11">
        <v>3197</v>
      </c>
      <c r="J50" s="11">
        <v>3701</v>
      </c>
      <c r="K50" s="11">
        <v>3170</v>
      </c>
      <c r="L50" s="11">
        <v>3117</v>
      </c>
      <c r="M50" s="11">
        <v>3593</v>
      </c>
      <c r="N50" s="11">
        <v>3189</v>
      </c>
      <c r="O50" s="11">
        <v>3283</v>
      </c>
      <c r="P50" s="11">
        <v>4385</v>
      </c>
      <c r="Q50" s="11">
        <v>3229</v>
      </c>
      <c r="R50" s="11">
        <v>3868</v>
      </c>
      <c r="S50" s="11">
        <v>3303</v>
      </c>
      <c r="T50" s="11">
        <v>3400</v>
      </c>
      <c r="U50" s="11">
        <v>4648</v>
      </c>
      <c r="V50" s="11">
        <f>V49+564</f>
        <v>3543</v>
      </c>
      <c r="W50" s="11">
        <v>3544</v>
      </c>
      <c r="X50" s="11">
        <v>8163</v>
      </c>
      <c r="Y50" s="11">
        <f>Y49+1302</f>
        <v>4661</v>
      </c>
      <c r="Z50" s="11">
        <v>5667</v>
      </c>
      <c r="AA50" s="11">
        <v>10113</v>
      </c>
      <c r="AB50" s="11">
        <v>5239</v>
      </c>
      <c r="AC50" s="11">
        <v>4832</v>
      </c>
      <c r="AD50" s="11">
        <v>3565</v>
      </c>
      <c r="AE50" s="11">
        <v>3891</v>
      </c>
      <c r="AF50" s="11">
        <v>6190</v>
      </c>
      <c r="AG50" s="11">
        <v>7100</v>
      </c>
      <c r="AH50" s="19"/>
      <c r="AI50" s="11">
        <v>5888</v>
      </c>
      <c r="AJ50" s="11">
        <v>8712</v>
      </c>
      <c r="AK50" s="11">
        <v>8398</v>
      </c>
      <c r="AL50" s="11">
        <v>13655</v>
      </c>
      <c r="AM50" s="11">
        <v>6127</v>
      </c>
      <c r="AN50" s="11">
        <v>8701</v>
      </c>
      <c r="AO50" s="11">
        <v>6684</v>
      </c>
      <c r="AP50" s="11">
        <v>15239</v>
      </c>
      <c r="AQ50" s="11">
        <v>6375</v>
      </c>
      <c r="AR50" s="11">
        <v>10466</v>
      </c>
      <c r="AS50" s="11">
        <v>8928</v>
      </c>
      <c r="AT50" s="11">
        <v>15689</v>
      </c>
      <c r="AU50" s="11">
        <v>15422</v>
      </c>
      <c r="AV50" s="11">
        <v>11333</v>
      </c>
      <c r="AW50" s="11">
        <v>5170</v>
      </c>
    </row>
    <row r="51" spans="3:49" x14ac:dyDescent="0.25">
      <c r="C51" s="14" t="s">
        <v>8</v>
      </c>
      <c r="D51" s="15">
        <v>14.54</v>
      </c>
      <c r="E51" s="15">
        <v>17.440000000000001</v>
      </c>
      <c r="F51" s="15">
        <v>21.92</v>
      </c>
      <c r="G51" s="15">
        <v>16.399999999999999</v>
      </c>
      <c r="H51" s="15">
        <v>16.100000000000001</v>
      </c>
      <c r="I51" s="15">
        <v>16.8</v>
      </c>
      <c r="J51" s="15">
        <v>17.510000000000002</v>
      </c>
      <c r="K51" s="15">
        <v>17.149999999999999</v>
      </c>
      <c r="L51" s="15">
        <v>17.149999999999999</v>
      </c>
      <c r="M51" s="15">
        <v>17.510000000000002</v>
      </c>
      <c r="N51" s="15">
        <v>16.100000000000001</v>
      </c>
      <c r="O51" s="15">
        <v>16.100000000000001</v>
      </c>
      <c r="P51" s="15">
        <v>18.3</v>
      </c>
      <c r="Q51" s="15">
        <v>17.149999999999999</v>
      </c>
      <c r="R51" s="15">
        <v>19.82</v>
      </c>
      <c r="S51" s="15">
        <v>16.100000000000001</v>
      </c>
      <c r="T51" s="15">
        <v>16.100000000000001</v>
      </c>
      <c r="U51" s="15">
        <v>18.3</v>
      </c>
      <c r="V51" s="15">
        <v>22.48</v>
      </c>
      <c r="W51" s="15">
        <v>17.510000000000002</v>
      </c>
      <c r="X51" s="15">
        <v>27.87</v>
      </c>
      <c r="Y51" s="15">
        <v>22.48</v>
      </c>
      <c r="Z51" s="15">
        <v>22.3</v>
      </c>
      <c r="AA51" s="15">
        <v>30.4</v>
      </c>
      <c r="AB51" s="15">
        <v>18.3</v>
      </c>
      <c r="AC51" s="15">
        <v>18.3</v>
      </c>
      <c r="AD51" s="15">
        <v>16.100000000000001</v>
      </c>
      <c r="AE51" s="15">
        <v>16.100000000000001</v>
      </c>
      <c r="AF51" s="15">
        <v>27.81</v>
      </c>
      <c r="AG51" s="15">
        <v>20.399999999999999</v>
      </c>
      <c r="AH51" s="19"/>
      <c r="AI51" s="15">
        <v>38.5</v>
      </c>
      <c r="AJ51" s="15">
        <v>40.799999999999997</v>
      </c>
      <c r="AK51" s="15">
        <v>38.4</v>
      </c>
      <c r="AL51" s="15">
        <v>52.7</v>
      </c>
      <c r="AM51" s="15">
        <v>38.5</v>
      </c>
      <c r="AN51" s="15">
        <v>40.799999999999997</v>
      </c>
      <c r="AO51" s="15">
        <v>31.9</v>
      </c>
      <c r="AP51" s="15">
        <v>79.5</v>
      </c>
      <c r="AQ51" s="15">
        <v>38.5</v>
      </c>
      <c r="AR51" s="15">
        <v>43.18</v>
      </c>
      <c r="AS51" s="15">
        <v>38.4</v>
      </c>
      <c r="AT51" s="15">
        <v>79.5</v>
      </c>
      <c r="AU51" s="15">
        <v>57</v>
      </c>
      <c r="AV51" s="15">
        <v>111.5</v>
      </c>
      <c r="AW51" s="15">
        <v>28.9</v>
      </c>
    </row>
    <row r="52" spans="3:49" x14ac:dyDescent="0.25">
      <c r="C52" s="2" t="s">
        <v>11</v>
      </c>
      <c r="D52" s="5">
        <f t="shared" ref="D52:AG52" si="4">D48/D51</f>
        <v>112.31086657496562</v>
      </c>
      <c r="E52" s="5">
        <f t="shared" si="4"/>
        <v>162.32798165137615</v>
      </c>
      <c r="F52" s="5">
        <f t="shared" si="4"/>
        <v>148.90510948905109</v>
      </c>
      <c r="G52" s="5">
        <f t="shared" si="4"/>
        <v>142.6829268292683</v>
      </c>
      <c r="H52" s="5">
        <f t="shared" si="4"/>
        <v>151.86335403726707</v>
      </c>
      <c r="I52" s="5">
        <f t="shared" si="4"/>
        <v>156.07142857142856</v>
      </c>
      <c r="J52" s="5">
        <f t="shared" si="4"/>
        <v>158.36664762992575</v>
      </c>
      <c r="K52" s="5">
        <f t="shared" si="4"/>
        <v>150.61224489795919</v>
      </c>
      <c r="L52" s="5">
        <f t="shared" si="4"/>
        <v>148.27988338192421</v>
      </c>
      <c r="M52" s="5">
        <f t="shared" si="4"/>
        <v>167.21873215305538</v>
      </c>
      <c r="N52" s="5">
        <f t="shared" si="4"/>
        <v>158.07453416149067</v>
      </c>
      <c r="O52" s="5">
        <f t="shared" si="4"/>
        <v>164.5341614906832</v>
      </c>
      <c r="P52" s="5">
        <f t="shared" si="4"/>
        <v>181.96721311475409</v>
      </c>
      <c r="Q52" s="5">
        <f t="shared" si="4"/>
        <v>153.35276967930031</v>
      </c>
      <c r="R52" s="5">
        <f t="shared" si="4"/>
        <v>168.06256306760847</v>
      </c>
      <c r="S52" s="5">
        <f t="shared" si="4"/>
        <v>165.77639751552795</v>
      </c>
      <c r="T52" s="5">
        <f t="shared" si="4"/>
        <v>169.81366459627327</v>
      </c>
      <c r="U52" s="5">
        <f t="shared" si="4"/>
        <v>185.84699453551912</v>
      </c>
      <c r="V52" s="5">
        <f t="shared" si="4"/>
        <v>121.53024911032028</v>
      </c>
      <c r="W52" s="5">
        <f t="shared" si="4"/>
        <v>167.27584237578526</v>
      </c>
      <c r="X52" s="5">
        <f t="shared" si="4"/>
        <v>185.2529601722282</v>
      </c>
      <c r="Y52" s="5">
        <f t="shared" si="4"/>
        <v>132.4288256227758</v>
      </c>
      <c r="Z52" s="5">
        <f t="shared" si="4"/>
        <v>162.7354260089686</v>
      </c>
      <c r="AA52" s="5">
        <f t="shared" si="4"/>
        <v>219.14473684210526</v>
      </c>
      <c r="AB52" s="5">
        <f t="shared" si="4"/>
        <v>202.02185792349727</v>
      </c>
      <c r="AC52" s="5">
        <f t="shared" si="4"/>
        <v>205.40983606557376</v>
      </c>
      <c r="AD52" s="5">
        <f t="shared" si="4"/>
        <v>180.06211180124222</v>
      </c>
      <c r="AE52" s="5">
        <f t="shared" si="4"/>
        <v>186.70807453416148</v>
      </c>
      <c r="AF52" s="5">
        <f t="shared" si="4"/>
        <v>164.86875224739302</v>
      </c>
      <c r="AG52" s="5">
        <f t="shared" si="4"/>
        <v>232.20588235294119</v>
      </c>
      <c r="AH52" s="19"/>
      <c r="AI52" s="5">
        <f>AI48/AI51</f>
        <v>115.94805194805195</v>
      </c>
      <c r="AJ52" s="5">
        <f t="shared" ref="AJ52:AU52" si="5">AJ48/AJ51</f>
        <v>162.74509803921569</v>
      </c>
      <c r="AK52" s="5">
        <f t="shared" si="5"/>
        <v>145.75520833333334</v>
      </c>
      <c r="AL52" s="5">
        <f t="shared" si="5"/>
        <v>179.46869070208729</v>
      </c>
      <c r="AM52" s="5">
        <f t="shared" si="5"/>
        <v>120.8051948051948</v>
      </c>
      <c r="AN52" s="5">
        <f t="shared" si="5"/>
        <v>162.81862745098042</v>
      </c>
      <c r="AO52" s="5">
        <f t="shared" si="5"/>
        <v>133.22884012539186</v>
      </c>
      <c r="AP52" s="5">
        <f t="shared" si="5"/>
        <v>125.10691823899371</v>
      </c>
      <c r="AQ52" s="5">
        <f t="shared" si="5"/>
        <v>130.23376623376623</v>
      </c>
      <c r="AR52" s="5">
        <f t="shared" si="5"/>
        <v>170.42612320518759</v>
      </c>
      <c r="AS52" s="5">
        <f t="shared" si="5"/>
        <v>164.97395833333334</v>
      </c>
      <c r="AT52" s="5">
        <f t="shared" si="5"/>
        <v>123.66037735849056</v>
      </c>
      <c r="AU52" s="5">
        <f t="shared" si="5"/>
        <v>154.89473684210526</v>
      </c>
      <c r="AV52" s="5">
        <f t="shared" ref="AV52:AW52" si="6">AV48/AV51</f>
        <v>62.932735426008968</v>
      </c>
      <c r="AW52" s="5">
        <f t="shared" si="6"/>
        <v>145.32871972318341</v>
      </c>
    </row>
    <row r="53" spans="3:49" x14ac:dyDescent="0.25">
      <c r="C53" s="2" t="s">
        <v>24</v>
      </c>
      <c r="D53" s="5">
        <f t="shared" ref="D53:AG53" si="7">D49/D51</f>
        <v>129.16093535075655</v>
      </c>
      <c r="E53" s="5">
        <f t="shared" si="7"/>
        <v>186.00917431192659</v>
      </c>
      <c r="F53" s="5">
        <f t="shared" si="7"/>
        <v>174.22445255474452</v>
      </c>
      <c r="G53" s="5">
        <f t="shared" si="7"/>
        <v>159.39024390243904</v>
      </c>
      <c r="H53" s="5">
        <f t="shared" si="7"/>
        <v>173.22981366459626</v>
      </c>
      <c r="I53" s="5">
        <f t="shared" si="7"/>
        <v>176.60714285714286</v>
      </c>
      <c r="J53" s="5">
        <f t="shared" si="7"/>
        <v>180.2969731581953</v>
      </c>
      <c r="K53" s="5">
        <f t="shared" si="7"/>
        <v>170.96209912536443</v>
      </c>
      <c r="L53" s="5">
        <f t="shared" si="7"/>
        <v>168.33819241982508</v>
      </c>
      <c r="M53" s="5">
        <f t="shared" si="7"/>
        <v>191.49057681324956</v>
      </c>
      <c r="N53" s="5">
        <f t="shared" si="7"/>
        <v>179.50310559006209</v>
      </c>
      <c r="O53" s="5">
        <f t="shared" si="7"/>
        <v>185.96273291925465</v>
      </c>
      <c r="P53" s="5">
        <f t="shared" si="7"/>
        <v>210.65573770491801</v>
      </c>
      <c r="Q53" s="5">
        <f t="shared" si="7"/>
        <v>175.04373177842567</v>
      </c>
      <c r="R53" s="5">
        <f t="shared" si="7"/>
        <v>176.99293642785065</v>
      </c>
      <c r="S53" s="5">
        <f t="shared" si="7"/>
        <v>187.20496894409936</v>
      </c>
      <c r="T53" s="5">
        <f t="shared" si="7"/>
        <v>192.54658385093165</v>
      </c>
      <c r="U53" s="5">
        <f t="shared" si="7"/>
        <v>214.53551912568304</v>
      </c>
      <c r="V53" s="5">
        <f t="shared" si="7"/>
        <v>132.51779359430606</v>
      </c>
      <c r="W53" s="5">
        <f t="shared" si="7"/>
        <v>188.74928612221586</v>
      </c>
      <c r="X53" s="5">
        <f t="shared" si="7"/>
        <v>233.33333333333331</v>
      </c>
      <c r="Y53" s="5">
        <f t="shared" si="7"/>
        <v>149.42170818505338</v>
      </c>
      <c r="Z53" s="5">
        <f t="shared" si="7"/>
        <v>205.29147982062779</v>
      </c>
      <c r="AA53" s="5">
        <f t="shared" si="7"/>
        <v>259.53947368421052</v>
      </c>
      <c r="AB53" s="5">
        <f t="shared" si="7"/>
        <v>239.94535519125682</v>
      </c>
      <c r="AC53" s="5">
        <f t="shared" si="7"/>
        <v>234.37158469945354</v>
      </c>
      <c r="AD53" s="5">
        <f t="shared" si="7"/>
        <v>202.85714285714283</v>
      </c>
      <c r="AE53" s="5">
        <f t="shared" si="7"/>
        <v>208.75776397515526</v>
      </c>
      <c r="AF53" s="5">
        <f t="shared" si="7"/>
        <v>187.73822366055376</v>
      </c>
      <c r="AG53" s="5">
        <f t="shared" si="7"/>
        <v>313.72549019607845</v>
      </c>
      <c r="AH53" s="19"/>
      <c r="AI53" s="5">
        <f>AI49/AI51</f>
        <v>131.14285714285714</v>
      </c>
      <c r="AJ53" s="5">
        <f t="shared" ref="AJ53:AT53" si="8">AJ49/AJ51</f>
        <v>188.65196078431373</v>
      </c>
      <c r="AK53" s="5">
        <f t="shared" si="8"/>
        <v>174.63541666666669</v>
      </c>
      <c r="AL53" s="5">
        <f t="shared" si="8"/>
        <v>229.79127134724857</v>
      </c>
      <c r="AM53" s="5">
        <f t="shared" si="8"/>
        <v>137.50649350649351</v>
      </c>
      <c r="AN53" s="5">
        <f t="shared" si="8"/>
        <v>188.35784313725492</v>
      </c>
      <c r="AO53" s="5">
        <f t="shared" si="8"/>
        <v>151.56739811912226</v>
      </c>
      <c r="AP53" s="5">
        <f t="shared" si="8"/>
        <v>172.66666666666666</v>
      </c>
      <c r="AQ53" s="5">
        <f t="shared" si="8"/>
        <v>147.55844155844156</v>
      </c>
      <c r="AR53" s="5">
        <f t="shared" si="8"/>
        <v>193.74710514126912</v>
      </c>
      <c r="AS53" s="5">
        <f t="shared" si="8"/>
        <v>195.67708333333334</v>
      </c>
      <c r="AT53" s="5">
        <f t="shared" si="8"/>
        <v>163.73584905660377</v>
      </c>
      <c r="AU53" s="5">
        <f t="shared" ref="AU53:AW53" si="9">AU49/AU51</f>
        <v>202.52631578947367</v>
      </c>
      <c r="AV53" s="5">
        <f t="shared" si="9"/>
        <v>89.713004484304932</v>
      </c>
      <c r="AW53" s="5">
        <f t="shared" si="9"/>
        <v>164.5674740484429</v>
      </c>
    </row>
    <row r="54" spans="3:49" x14ac:dyDescent="0.25">
      <c r="C54" s="2" t="s">
        <v>10</v>
      </c>
      <c r="D54" s="5">
        <f t="shared" ref="D54:AG54" si="10">D50/D51</f>
        <v>147.59284731774417</v>
      </c>
      <c r="E54" s="5">
        <f t="shared" si="10"/>
        <v>199.31192660550457</v>
      </c>
      <c r="F54" s="5">
        <f t="shared" si="10"/>
        <v>201.36861313868613</v>
      </c>
      <c r="G54" s="5">
        <f t="shared" si="10"/>
        <v>176.40243902439025</v>
      </c>
      <c r="H54" s="5">
        <f t="shared" si="10"/>
        <v>192.04968944099377</v>
      </c>
      <c r="I54" s="5">
        <f t="shared" si="10"/>
        <v>190.29761904761904</v>
      </c>
      <c r="J54" s="5">
        <f t="shared" si="10"/>
        <v>211.36493432324383</v>
      </c>
      <c r="K54" s="5">
        <f t="shared" si="10"/>
        <v>184.83965014577262</v>
      </c>
      <c r="L54" s="5">
        <f t="shared" si="10"/>
        <v>181.74927113702626</v>
      </c>
      <c r="M54" s="5">
        <f t="shared" si="10"/>
        <v>205.19703026841802</v>
      </c>
      <c r="N54" s="5">
        <f t="shared" si="10"/>
        <v>198.07453416149067</v>
      </c>
      <c r="O54" s="5">
        <f t="shared" si="10"/>
        <v>203.91304347826085</v>
      </c>
      <c r="P54" s="5">
        <f t="shared" si="10"/>
        <v>239.61748633879782</v>
      </c>
      <c r="Q54" s="5">
        <f t="shared" si="10"/>
        <v>188.27988338192421</v>
      </c>
      <c r="R54" s="5">
        <f t="shared" si="10"/>
        <v>195.15640766902118</v>
      </c>
      <c r="S54" s="5">
        <f t="shared" si="10"/>
        <v>205.15527950310556</v>
      </c>
      <c r="T54" s="5">
        <f t="shared" si="10"/>
        <v>211.18012422360246</v>
      </c>
      <c r="U54" s="5">
        <f t="shared" si="10"/>
        <v>253.98907103825135</v>
      </c>
      <c r="V54" s="5">
        <f t="shared" si="10"/>
        <v>157.60676156583631</v>
      </c>
      <c r="W54" s="5">
        <f t="shared" si="10"/>
        <v>202.39862935465447</v>
      </c>
      <c r="X54" s="5">
        <f t="shared" si="10"/>
        <v>292.89558665231431</v>
      </c>
      <c r="Y54" s="5">
        <f t="shared" si="10"/>
        <v>207.33985765124555</v>
      </c>
      <c r="Z54" s="5">
        <f t="shared" si="10"/>
        <v>254.12556053811659</v>
      </c>
      <c r="AA54" s="5">
        <f t="shared" si="10"/>
        <v>332.66447368421052</v>
      </c>
      <c r="AB54" s="5">
        <f t="shared" si="10"/>
        <v>286.28415300546447</v>
      </c>
      <c r="AC54" s="5">
        <f t="shared" si="10"/>
        <v>264.04371584699453</v>
      </c>
      <c r="AD54" s="5">
        <f t="shared" si="10"/>
        <v>221.42857142857142</v>
      </c>
      <c r="AE54" s="5">
        <f t="shared" si="10"/>
        <v>241.67701863354034</v>
      </c>
      <c r="AF54" s="5">
        <f t="shared" si="10"/>
        <v>222.58180510607696</v>
      </c>
      <c r="AG54" s="5">
        <f t="shared" si="10"/>
        <v>348.03921568627453</v>
      </c>
      <c r="AH54" s="24"/>
      <c r="AI54" s="5">
        <f>AI50/AI51</f>
        <v>152.93506493506493</v>
      </c>
      <c r="AJ54" s="5">
        <f t="shared" ref="AJ54:AT54" si="11">AJ50/AJ51</f>
        <v>213.52941176470588</v>
      </c>
      <c r="AK54" s="5">
        <f t="shared" si="11"/>
        <v>218.69791666666669</v>
      </c>
      <c r="AL54" s="5">
        <f t="shared" si="11"/>
        <v>259.10815939278933</v>
      </c>
      <c r="AM54" s="5">
        <f t="shared" si="11"/>
        <v>159.14285714285714</v>
      </c>
      <c r="AN54" s="5">
        <f t="shared" si="11"/>
        <v>213.25980392156865</v>
      </c>
      <c r="AO54" s="5">
        <f t="shared" si="11"/>
        <v>209.52978056426332</v>
      </c>
      <c r="AP54" s="5">
        <f t="shared" si="11"/>
        <v>191.68553459119497</v>
      </c>
      <c r="AQ54" s="5">
        <f t="shared" si="11"/>
        <v>165.58441558441558</v>
      </c>
      <c r="AR54" s="5">
        <f t="shared" si="11"/>
        <v>242.38073182028717</v>
      </c>
      <c r="AS54" s="5">
        <f t="shared" si="11"/>
        <v>232.5</v>
      </c>
      <c r="AT54" s="5">
        <f t="shared" si="11"/>
        <v>197.34591194968553</v>
      </c>
      <c r="AU54" s="5">
        <f t="shared" ref="AU54:AW54" si="12">AU50/AU51</f>
        <v>270.56140350877195</v>
      </c>
      <c r="AV54" s="5">
        <f t="shared" si="12"/>
        <v>101.64125560538116</v>
      </c>
      <c r="AW54" s="5">
        <f t="shared" si="12"/>
        <v>178.89273356401384</v>
      </c>
    </row>
    <row r="55" spans="3:49" x14ac:dyDescent="0.25">
      <c r="C55" s="2" t="s">
        <v>56</v>
      </c>
      <c r="D55" s="5">
        <f t="shared" ref="D55:Z55" si="13">(D45*0.7457)/(D49/1000)</f>
        <v>369.27635782747603</v>
      </c>
      <c r="E55" s="5">
        <f t="shared" si="13"/>
        <v>257.45499383477187</v>
      </c>
      <c r="F55" s="5">
        <f t="shared" si="13"/>
        <v>175.73448546739985</v>
      </c>
      <c r="G55" s="5">
        <f t="shared" si="13"/>
        <v>259.59716908951799</v>
      </c>
      <c r="H55" s="5">
        <f t="shared" si="13"/>
        <v>271.38239512370023</v>
      </c>
      <c r="I55" s="5">
        <f t="shared" si="13"/>
        <v>0</v>
      </c>
      <c r="J55" s="5">
        <f t="shared" si="13"/>
        <v>283.4463097877732</v>
      </c>
      <c r="K55" s="5">
        <f t="shared" si="13"/>
        <v>315.37107776261939</v>
      </c>
      <c r="L55" s="5">
        <f t="shared" si="13"/>
        <v>320.28680290959471</v>
      </c>
      <c r="M55" s="5">
        <f t="shared" si="13"/>
        <v>311.35699373695195</v>
      </c>
      <c r="N55" s="5">
        <f t="shared" si="13"/>
        <v>309.6332179930796</v>
      </c>
      <c r="O55" s="5">
        <f t="shared" si="13"/>
        <v>326.27488309953242</v>
      </c>
      <c r="P55" s="5">
        <f t="shared" si="13"/>
        <v>294.02438391699093</v>
      </c>
      <c r="Q55" s="5">
        <f t="shared" si="13"/>
        <v>300.56528980679548</v>
      </c>
      <c r="R55" s="5">
        <f t="shared" si="13"/>
        <v>212.57126567844927</v>
      </c>
      <c r="S55" s="5">
        <f t="shared" si="13"/>
        <v>324.10982083609827</v>
      </c>
      <c r="T55" s="5">
        <f t="shared" si="13"/>
        <v>315.1183870967742</v>
      </c>
      <c r="U55" s="5">
        <f t="shared" si="13"/>
        <v>288.70708099847172</v>
      </c>
      <c r="V55" s="5">
        <f t="shared" si="13"/>
        <v>279.10557233971133</v>
      </c>
      <c r="W55" s="5">
        <f t="shared" si="13"/>
        <v>351.97942511346446</v>
      </c>
      <c r="X55" s="5">
        <f t="shared" si="13"/>
        <v>185.7656466246348</v>
      </c>
      <c r="Y55" s="5">
        <f t="shared" si="13"/>
        <v>277.50074426912772</v>
      </c>
      <c r="Z55" s="5">
        <f t="shared" si="13"/>
        <v>242.70270860637834</v>
      </c>
      <c r="AA55" s="5">
        <f>(2*AA45*0.7457)/(AA49/1000)</f>
        <v>281.64588086185046</v>
      </c>
      <c r="AB55" s="5">
        <f>(AB45*0.7457)/(AB49/1000)</f>
        <v>0</v>
      </c>
      <c r="AC55" s="5">
        <f>(AC45*0.7457)/(AC49/1000)</f>
        <v>0</v>
      </c>
      <c r="AD55" s="5">
        <f>(AD45*0.7457)/(AD49/1000)</f>
        <v>0</v>
      </c>
      <c r="AE55" s="5">
        <f>(AE45*0.7457)/(AE49/1000)</f>
        <v>0</v>
      </c>
      <c r="AF55" s="5">
        <f>(AF45*0.7457)/(AF49/1000)</f>
        <v>0</v>
      </c>
      <c r="AG55" s="5">
        <f>(2*AG45*0.7457)/(AG49/1000)</f>
        <v>0</v>
      </c>
      <c r="AH55" s="24"/>
      <c r="AI55" s="5">
        <f>(AI45*0.7457)/(AI49/1000)</f>
        <v>221.53891859774211</v>
      </c>
      <c r="AJ55" s="5">
        <f>(2*AJ45*0.7457)/(AJ49/1000)</f>
        <v>197.63908016110173</v>
      </c>
      <c r="AK55" s="5">
        <f t="shared" ref="AK55:AP55" si="14">(2*AK45*0.7457)/(AK49/1000)</f>
        <v>202.38204592901877</v>
      </c>
      <c r="AL55" s="5">
        <f t="shared" si="14"/>
        <v>146.55375722543354</v>
      </c>
      <c r="AM55" s="5">
        <f>(AM45*0.7457)/(AM49/1000)</f>
        <v>211.28636191915376</v>
      </c>
      <c r="AN55" s="5">
        <f t="shared" si="14"/>
        <v>232.87963565387119</v>
      </c>
      <c r="AO55" s="5">
        <f>(AO45*0.7457)/(AO49/1000)</f>
        <v>183.5331954498449</v>
      </c>
      <c r="AP55" s="5">
        <f t="shared" si="14"/>
        <v>129.29015808261093</v>
      </c>
      <c r="AQ55" s="5">
        <f>(AQ45*0.7457)/(AQ49/1000)</f>
        <v>196.89315261397641</v>
      </c>
      <c r="AR55" s="5">
        <f t="shared" ref="AR55:AT55" si="15">(2*AR45*0.7457)/(AR49/1000)</f>
        <v>144.39803968443704</v>
      </c>
      <c r="AS55" s="5">
        <f t="shared" si="15"/>
        <v>260.01250998136811</v>
      </c>
      <c r="AT55" s="5">
        <f t="shared" si="15"/>
        <v>138.633632941538</v>
      </c>
      <c r="AU55" s="5">
        <f t="shared" ref="AU55:AW55" si="16">(2*AU45*0.7457)/(AU49/1000)</f>
        <v>196.37283437283435</v>
      </c>
      <c r="AV55" s="5">
        <f>(3*AV45*0.7457)/(AV49/1000)</f>
        <v>128.59467159852045</v>
      </c>
      <c r="AW55" s="5">
        <f t="shared" si="16"/>
        <v>181.8780487804878</v>
      </c>
    </row>
    <row r="56" spans="3:49" x14ac:dyDescent="0.25">
      <c r="C56" s="2" t="s">
        <v>55</v>
      </c>
      <c r="D56" s="5">
        <f t="shared" ref="D56:Z56" si="17">(D46*0.7457)/(D49/1000)</f>
        <v>436.77848775292864</v>
      </c>
      <c r="E56" s="5">
        <f t="shared" si="17"/>
        <v>310.32521578298395</v>
      </c>
      <c r="F56" s="5">
        <f t="shared" si="17"/>
        <v>224.54962031945539</v>
      </c>
      <c r="G56" s="5">
        <f t="shared" si="17"/>
        <v>313.79877582249429</v>
      </c>
      <c r="H56" s="5">
        <f t="shared" si="17"/>
        <v>0</v>
      </c>
      <c r="I56" s="5">
        <f t="shared" si="17"/>
        <v>263.8978766430738</v>
      </c>
      <c r="J56" s="5">
        <f t="shared" si="17"/>
        <v>0</v>
      </c>
      <c r="K56" s="5">
        <f t="shared" si="17"/>
        <v>0</v>
      </c>
      <c r="L56" s="5">
        <f t="shared" si="17"/>
        <v>0</v>
      </c>
      <c r="M56" s="5">
        <f t="shared" si="17"/>
        <v>378.07634953772742</v>
      </c>
      <c r="N56" s="5">
        <f t="shared" si="17"/>
        <v>0</v>
      </c>
      <c r="O56" s="5">
        <f t="shared" si="17"/>
        <v>0</v>
      </c>
      <c r="P56" s="5">
        <f t="shared" si="17"/>
        <v>0</v>
      </c>
      <c r="Q56" s="5">
        <f t="shared" si="17"/>
        <v>0</v>
      </c>
      <c r="R56" s="5">
        <f t="shared" si="17"/>
        <v>244.45695553021667</v>
      </c>
      <c r="S56" s="5">
        <f t="shared" si="17"/>
        <v>0</v>
      </c>
      <c r="T56" s="5">
        <f t="shared" si="17"/>
        <v>0</v>
      </c>
      <c r="U56" s="5">
        <f t="shared" si="17"/>
        <v>0</v>
      </c>
      <c r="V56" s="5">
        <f t="shared" si="17"/>
        <v>0</v>
      </c>
      <c r="W56" s="5">
        <f t="shared" si="17"/>
        <v>417.41149773071106</v>
      </c>
      <c r="X56" s="5">
        <f t="shared" si="17"/>
        <v>223.6067968629863</v>
      </c>
      <c r="Y56" s="5">
        <f t="shared" si="17"/>
        <v>0</v>
      </c>
      <c r="Z56" s="5">
        <f t="shared" si="17"/>
        <v>0</v>
      </c>
      <c r="AA56" s="5">
        <f>(2*AA46*0.7457)/(AA49/1000)</f>
        <v>0</v>
      </c>
      <c r="AB56" s="5">
        <f>(AB46*0.7457)/(AB49/1000)</f>
        <v>258.13345479389659</v>
      </c>
      <c r="AC56" s="5">
        <f>(AC46*0.7457)/(AC49/1000)</f>
        <v>330.34040568897183</v>
      </c>
      <c r="AD56" s="5">
        <f>(AD46*0.7457)/(AD49/1000)</f>
        <v>299.1019595835885</v>
      </c>
      <c r="AE56" s="5">
        <f>(AE46*0.7457)/(AE49/1000)</f>
        <v>303.95983338292172</v>
      </c>
      <c r="AF56" s="5">
        <f>(AF46*0.7457)/(AF49/1000)</f>
        <v>0</v>
      </c>
      <c r="AG56" s="5">
        <f>(2*AG46*0.7457)/(AG49/1000)</f>
        <v>0</v>
      </c>
      <c r="AH56" s="24"/>
      <c r="AI56" s="5">
        <f>(AI46*0.7457)/(AI49/1000)</f>
        <v>236.30817983759161</v>
      </c>
      <c r="AJ56" s="5">
        <f t="shared" ref="AJ56:AP56" si="18">(2*AJ46*0.7457)/(AJ49/1000)</f>
        <v>0</v>
      </c>
      <c r="AK56" s="5">
        <f t="shared" si="18"/>
        <v>244.63763793617653</v>
      </c>
      <c r="AL56" s="5">
        <f t="shared" si="18"/>
        <v>0</v>
      </c>
      <c r="AM56" s="5">
        <f>(AM46*0.7457)/(AM49/1000)</f>
        <v>225.37211938043072</v>
      </c>
      <c r="AN56" s="5">
        <f t="shared" si="18"/>
        <v>0</v>
      </c>
      <c r="AO56" s="5">
        <f>(AO46*0.7457)/(AO49/1000)</f>
        <v>194.329265770424</v>
      </c>
      <c r="AP56" s="5">
        <f t="shared" si="18"/>
        <v>136.89546149923507</v>
      </c>
      <c r="AQ56" s="5">
        <f>(AQ46*0.7457)/(AQ49/1000)</f>
        <v>225.77081499735962</v>
      </c>
      <c r="AR56" s="5">
        <f t="shared" ref="AR56:AT56" si="19">(2*AR46*0.7457)/(AR49/1000)</f>
        <v>240.66339947406169</v>
      </c>
      <c r="AS56" s="5">
        <f t="shared" si="19"/>
        <v>293.75459142933192</v>
      </c>
      <c r="AT56" s="5">
        <f t="shared" si="19"/>
        <v>0</v>
      </c>
      <c r="AU56" s="5">
        <f t="shared" ref="AU56:AW56" si="20">(2*AU46*0.7457)/(AU49/1000)</f>
        <v>0</v>
      </c>
      <c r="AV56" s="5">
        <f>(3*AV46*0.7457)/(AV49/1000)</f>
        <v>0</v>
      </c>
      <c r="AW56" s="5">
        <f t="shared" si="20"/>
        <v>0</v>
      </c>
    </row>
    <row r="57" spans="3:49" x14ac:dyDescent="0.25">
      <c r="C57" s="2" t="s">
        <v>58</v>
      </c>
      <c r="D57" s="5">
        <f t="shared" ref="D57:Z57" si="21">(D47*0.7457)/(D49/1000)</f>
        <v>0</v>
      </c>
      <c r="E57" s="5">
        <f t="shared" si="21"/>
        <v>0</v>
      </c>
      <c r="F57" s="5">
        <f t="shared" si="21"/>
        <v>287.03299293008644</v>
      </c>
      <c r="G57" s="5">
        <f t="shared" si="21"/>
        <v>282.41889824024486</v>
      </c>
      <c r="H57" s="5">
        <f t="shared" si="21"/>
        <v>314.1618859806382</v>
      </c>
      <c r="I57" s="5">
        <f t="shared" si="21"/>
        <v>295.31429052915399</v>
      </c>
      <c r="J57" s="5">
        <f t="shared" si="21"/>
        <v>0</v>
      </c>
      <c r="K57" s="5">
        <f t="shared" si="21"/>
        <v>0</v>
      </c>
      <c r="L57" s="5">
        <f t="shared" si="21"/>
        <v>0</v>
      </c>
      <c r="M57" s="5">
        <f t="shared" si="21"/>
        <v>0</v>
      </c>
      <c r="N57" s="5">
        <f t="shared" si="21"/>
        <v>348.33737024221455</v>
      </c>
      <c r="O57" s="5">
        <f t="shared" si="21"/>
        <v>0</v>
      </c>
      <c r="P57" s="5">
        <f t="shared" si="21"/>
        <v>328.84306095979247</v>
      </c>
      <c r="Q57" s="5">
        <f t="shared" si="21"/>
        <v>0</v>
      </c>
      <c r="R57" s="5">
        <f t="shared" si="21"/>
        <v>329.48546180159639</v>
      </c>
      <c r="S57" s="5">
        <f t="shared" si="21"/>
        <v>366.16987392169875</v>
      </c>
      <c r="T57" s="5">
        <f t="shared" si="21"/>
        <v>356.0116129032258</v>
      </c>
      <c r="U57" s="5">
        <f t="shared" si="21"/>
        <v>322.89607743250127</v>
      </c>
      <c r="V57" s="5">
        <f t="shared" si="21"/>
        <v>364.2139979859013</v>
      </c>
      <c r="W57" s="5">
        <f t="shared" si="21"/>
        <v>0</v>
      </c>
      <c r="X57" s="5">
        <f t="shared" si="21"/>
        <v>298.1423958173151</v>
      </c>
      <c r="Y57" s="5">
        <f t="shared" si="21"/>
        <v>367.41098541232515</v>
      </c>
      <c r="Z57" s="5">
        <f t="shared" si="21"/>
        <v>268.764744429882</v>
      </c>
      <c r="AA57" s="5">
        <f>(2*AA47*0.7457)/(AA49/1000)</f>
        <v>292.9873257287706</v>
      </c>
      <c r="AB57" s="5">
        <f>(AB47*0.7457)/(AB49/1000)</f>
        <v>288.70189023001598</v>
      </c>
      <c r="AC57" s="5">
        <f>(AC47*0.7457)/(AC49/1000)</f>
        <v>370.32898111447895</v>
      </c>
      <c r="AD57" s="5">
        <f>(AD47*0.7457)/(AD49/1000)</f>
        <v>410.97979179424374</v>
      </c>
      <c r="AE57" s="5">
        <f>(AE47*0.7457)/(AE49/1000)</f>
        <v>443.73698304076169</v>
      </c>
      <c r="AF57" s="5">
        <f>(AF47*0.7457)/(AF49/1000)</f>
        <v>311.36295728787587</v>
      </c>
      <c r="AG57" s="5">
        <f>(2*AG47*0.7457)/(AG49/1000)</f>
        <v>0</v>
      </c>
      <c r="AH57" s="24"/>
      <c r="AI57" s="5">
        <f>(AI47*0.7457)/(AI49/1000)</f>
        <v>0</v>
      </c>
      <c r="AJ57" s="5">
        <f t="shared" ref="AJ57:AP57" si="22">(2*AJ47*0.7457)/(AJ49/1000)</f>
        <v>0</v>
      </c>
      <c r="AK57" s="5">
        <f>(2*AK47*0.7457)/(AK49/1000)</f>
        <v>220.1738741425589</v>
      </c>
      <c r="AL57" s="5">
        <f t="shared" si="22"/>
        <v>174.87927332782826</v>
      </c>
      <c r="AM57" s="5">
        <f>(AM47*0.7457)/(AM49/1000)</f>
        <v>0</v>
      </c>
      <c r="AN57" s="5">
        <f t="shared" si="22"/>
        <v>0</v>
      </c>
      <c r="AO57" s="5">
        <f>(AO47*0.7457)/(AO49/1000)</f>
        <v>219.00599793174769</v>
      </c>
      <c r="AP57" s="5">
        <f t="shared" si="22"/>
        <v>154.2790121658046</v>
      </c>
      <c r="AQ57" s="5">
        <f>(AQ47*0.7457)/(AQ49/1000)</f>
        <v>0</v>
      </c>
      <c r="AR57" s="5">
        <f t="shared" ref="AR57:AT57" si="23">(2*AR47*0.7457)/(AR49/1000)</f>
        <v>285.23069567296204</v>
      </c>
      <c r="AS57" s="5">
        <f t="shared" si="23"/>
        <v>0</v>
      </c>
      <c r="AT57" s="5">
        <f t="shared" si="23"/>
        <v>153.52815548897598</v>
      </c>
      <c r="AU57" s="5">
        <f t="shared" ref="AU57:AW57" si="24">(2*AU47*0.7457)/(AU49/1000)</f>
        <v>222.85732848232848</v>
      </c>
      <c r="AV57" s="5">
        <f>(3*AV47*0.7457)/(AV49/1000)</f>
        <v>143.13146056183146</v>
      </c>
      <c r="AW57" s="5">
        <f t="shared" si="24"/>
        <v>219.50798990748527</v>
      </c>
    </row>
    <row r="58" spans="3:49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3:49" x14ac:dyDescent="0.25">
      <c r="C59" s="2" t="s">
        <v>72</v>
      </c>
      <c r="D59" s="5">
        <f>MAX(D55:D57)</f>
        <v>436.77848775292864</v>
      </c>
      <c r="E59" s="5">
        <f t="shared" ref="E59:Y59" si="25">MAX(E55:E57)</f>
        <v>310.32521578298395</v>
      </c>
      <c r="F59" s="5">
        <f>MAX(F55:F57)</f>
        <v>287.03299293008644</v>
      </c>
      <c r="G59" s="5">
        <f t="shared" si="25"/>
        <v>313.79877582249429</v>
      </c>
      <c r="H59" s="5">
        <f t="shared" si="25"/>
        <v>314.1618859806382</v>
      </c>
      <c r="I59" s="5">
        <f t="shared" ref="I59" si="26">MAX(I55:I57)</f>
        <v>295.31429052915399</v>
      </c>
      <c r="J59" s="5">
        <f t="shared" si="25"/>
        <v>283.4463097877732</v>
      </c>
      <c r="K59" s="5">
        <f t="shared" si="25"/>
        <v>315.37107776261939</v>
      </c>
      <c r="L59" s="5">
        <f t="shared" ref="L59" si="27">MAX(L55:L57)</f>
        <v>320.28680290959471</v>
      </c>
      <c r="M59" s="5">
        <f>MAX(M55:M57)</f>
        <v>378.07634953772742</v>
      </c>
      <c r="N59" s="5">
        <f t="shared" si="25"/>
        <v>348.33737024221455</v>
      </c>
      <c r="O59" s="5">
        <f t="shared" si="25"/>
        <v>326.27488309953242</v>
      </c>
      <c r="P59" s="5">
        <f t="shared" ref="P59" si="28">MAX(P55:P57)</f>
        <v>328.84306095979247</v>
      </c>
      <c r="Q59" s="5">
        <f t="shared" si="25"/>
        <v>300.56528980679548</v>
      </c>
      <c r="R59" s="5">
        <f t="shared" si="25"/>
        <v>329.48546180159639</v>
      </c>
      <c r="S59" s="5">
        <f t="shared" si="25"/>
        <v>366.16987392169875</v>
      </c>
      <c r="T59" s="5">
        <f t="shared" ref="T59" si="29">MAX(T55:T57)</f>
        <v>356.0116129032258</v>
      </c>
      <c r="U59" s="5">
        <f t="shared" si="25"/>
        <v>322.89607743250127</v>
      </c>
      <c r="V59" s="5">
        <f t="shared" si="25"/>
        <v>364.2139979859013</v>
      </c>
      <c r="W59" s="5">
        <f>MAX(W55:W57)</f>
        <v>417.41149773071106</v>
      </c>
      <c r="X59" s="5">
        <f t="shared" si="25"/>
        <v>298.1423958173151</v>
      </c>
      <c r="Y59" s="5">
        <f t="shared" si="25"/>
        <v>367.41098541232515</v>
      </c>
      <c r="Z59" s="5">
        <f t="shared" ref="Z59:AA59" si="30">MAX(Z55:Z57)</f>
        <v>268.764744429882</v>
      </c>
      <c r="AA59" s="5">
        <f t="shared" si="30"/>
        <v>292.9873257287706</v>
      </c>
      <c r="AB59" s="5">
        <f t="shared" ref="AB59:AG59" si="31">MAX(AB55:AB57)</f>
        <v>288.70189023001598</v>
      </c>
      <c r="AC59" s="5">
        <f t="shared" ref="AC59" si="32">MAX(AC55:AC57)</f>
        <v>370.32898111447895</v>
      </c>
      <c r="AD59" s="5">
        <f t="shared" ref="AD59:AF59" si="33">MAX(AD55:AD57)</f>
        <v>410.97979179424374</v>
      </c>
      <c r="AE59" s="5">
        <f t="shared" si="33"/>
        <v>443.73698304076169</v>
      </c>
      <c r="AF59" s="5">
        <f t="shared" si="33"/>
        <v>311.36295728787587</v>
      </c>
      <c r="AG59" s="5">
        <f t="shared" si="31"/>
        <v>0</v>
      </c>
      <c r="AH59" s="24"/>
      <c r="AI59" s="5">
        <f>MAX(AI55:AI57)</f>
        <v>236.30817983759161</v>
      </c>
      <c r="AJ59" s="5">
        <f t="shared" ref="AJ59:AT59" si="34">MAX(AJ55:AJ57)</f>
        <v>197.63908016110173</v>
      </c>
      <c r="AK59" s="5">
        <f t="shared" si="34"/>
        <v>244.63763793617653</v>
      </c>
      <c r="AL59" s="5">
        <f t="shared" si="34"/>
        <v>174.87927332782826</v>
      </c>
      <c r="AM59" s="5">
        <f t="shared" si="34"/>
        <v>225.37211938043072</v>
      </c>
      <c r="AN59" s="5">
        <f t="shared" si="34"/>
        <v>232.87963565387119</v>
      </c>
      <c r="AO59" s="5">
        <f t="shared" si="34"/>
        <v>219.00599793174769</v>
      </c>
      <c r="AP59" s="5">
        <f t="shared" si="34"/>
        <v>154.2790121658046</v>
      </c>
      <c r="AQ59" s="5">
        <f t="shared" si="34"/>
        <v>225.77081499735962</v>
      </c>
      <c r="AR59" s="5">
        <f t="shared" si="34"/>
        <v>285.23069567296204</v>
      </c>
      <c r="AS59" s="5">
        <f t="shared" si="34"/>
        <v>293.75459142933192</v>
      </c>
      <c r="AT59" s="5">
        <f t="shared" si="34"/>
        <v>153.52815548897598</v>
      </c>
      <c r="AU59" s="5">
        <f t="shared" ref="AU59:AW59" si="35">MAX(AU55:AU57)</f>
        <v>222.85732848232848</v>
      </c>
      <c r="AV59" s="5">
        <f t="shared" si="35"/>
        <v>143.13146056183146</v>
      </c>
      <c r="AW59" s="5">
        <f t="shared" si="35"/>
        <v>219.50798990748527</v>
      </c>
    </row>
    <row r="60" spans="3:49" s="16" customFormat="1" ht="15.75" thickBot="1" x14ac:dyDescent="0.3">
      <c r="C60" s="55" t="s">
        <v>78</v>
      </c>
      <c r="D60" s="59">
        <f>(D45*0.7457)/(D50/1000)</f>
        <v>323.15983224603917</v>
      </c>
      <c r="E60" s="59">
        <f t="shared" ref="E60:Y60" si="36">(E45*0.7457)/(E50/1000)</f>
        <v>240.27157652474111</v>
      </c>
      <c r="F60" s="59">
        <f>(F45*0.7457)/(F50/1000)</f>
        <v>152.04576347983689</v>
      </c>
      <c r="G60" s="59">
        <f t="shared" si="36"/>
        <v>234.56170065675769</v>
      </c>
      <c r="H60" s="59">
        <f t="shared" si="36"/>
        <v>244.78832470892624</v>
      </c>
      <c r="I60" s="59">
        <f t="shared" ref="I60" si="37">(I45*0.7457)/(I50/1000)</f>
        <v>0</v>
      </c>
      <c r="J60" s="59">
        <f t="shared" si="36"/>
        <v>241.78330181032155</v>
      </c>
      <c r="K60" s="59">
        <f t="shared" si="36"/>
        <v>291.69337539432178</v>
      </c>
      <c r="L60" s="59">
        <f t="shared" ref="L60" si="38">(L45*0.7457)/(L50/1000)</f>
        <v>296.6531921719602</v>
      </c>
      <c r="M60" s="59">
        <f>(M45*0.7457)/(M50/1000)</f>
        <v>290.55942109657667</v>
      </c>
      <c r="N60" s="59">
        <f t="shared" si="36"/>
        <v>280.60206961429918</v>
      </c>
      <c r="O60" s="59">
        <f t="shared" si="36"/>
        <v>297.55315260432536</v>
      </c>
      <c r="P60" s="59">
        <f t="shared" ref="P60" si="39">(P45*0.7457)/(P50/1000)</f>
        <v>258.48665906499429</v>
      </c>
      <c r="Q60" s="59">
        <f t="shared" si="36"/>
        <v>279.43542892536391</v>
      </c>
      <c r="R60" s="59">
        <f t="shared" si="36"/>
        <v>192.78697001034129</v>
      </c>
      <c r="S60" s="59">
        <f t="shared" si="36"/>
        <v>295.751438086588</v>
      </c>
      <c r="T60" s="59">
        <f t="shared" ref="T60" si="40">(T45*0.7457)/(T50/1000)</f>
        <v>287.31382352941182</v>
      </c>
      <c r="U60" s="59">
        <f t="shared" si="36"/>
        <v>243.8605851979346</v>
      </c>
      <c r="V60" s="59">
        <f t="shared" si="36"/>
        <v>234.6755574372001</v>
      </c>
      <c r="W60" s="59">
        <f>(W45*0.7457)/(W50/1000)</f>
        <v>328.24266365688493</v>
      </c>
      <c r="X60" s="59">
        <f t="shared" si="36"/>
        <v>147.98897464167587</v>
      </c>
      <c r="Y60" s="59">
        <f t="shared" si="36"/>
        <v>199.9839090323965</v>
      </c>
      <c r="Z60" s="59">
        <f t="shared" ref="Z60" si="41">(Z45*0.7457)/(Z50/1000)</f>
        <v>196.06370213516854</v>
      </c>
      <c r="AA60" s="59">
        <f>(2*AA45*0.7457)/(AA50/1000)</f>
        <v>219.73558785721352</v>
      </c>
      <c r="AB60" s="59">
        <f t="shared" ref="AB60:AG60" si="42">(2*AB45*0.7457)/(AB50/1000)</f>
        <v>0</v>
      </c>
      <c r="AC60" s="59">
        <f t="shared" ref="AC60" si="43">(2*AC45*0.7457)/(AC50/1000)</f>
        <v>0</v>
      </c>
      <c r="AD60" s="59">
        <f t="shared" ref="AD60:AF60" si="44">(2*AD45*0.7457)/(AD50/1000)</f>
        <v>0</v>
      </c>
      <c r="AE60" s="59">
        <f t="shared" si="44"/>
        <v>0</v>
      </c>
      <c r="AF60" s="59">
        <f t="shared" si="44"/>
        <v>0</v>
      </c>
      <c r="AG60" s="59">
        <f t="shared" si="42"/>
        <v>0</v>
      </c>
      <c r="AH60" s="18"/>
      <c r="AI60" s="59">
        <f>(AI45*0.7457)/(AI50/1000)</f>
        <v>189.97112771739131</v>
      </c>
      <c r="AJ60" s="59">
        <f>(2*AJ45*0.7457)/(AJ50/1000)</f>
        <v>174.61294765840222</v>
      </c>
      <c r="AK60" s="59">
        <f>(2*AK45*0.7457)/(AK50/1000)</f>
        <v>161.60681114551085</v>
      </c>
      <c r="AL60" s="59">
        <f>(2*AL45*0.7457)/(AL50/1000)</f>
        <v>129.9718784328085</v>
      </c>
      <c r="AM60" s="59">
        <f>(AM45*0.7457)/(AM50/1000)</f>
        <v>182.56079647462053</v>
      </c>
      <c r="AN60" s="59">
        <f>(2*AN45*0.7457)/(AN50/1000)</f>
        <v>205.68670267785311</v>
      </c>
      <c r="AO60" s="59">
        <f t="shared" ref="AO60:AQ60" si="45">(AO45*0.7457)/(AO50/1000)</f>
        <v>132.76226810293238</v>
      </c>
      <c r="AP60" s="59">
        <f>(2*AP45*0.7457)/(AP50/1000)</f>
        <v>116.46210381258612</v>
      </c>
      <c r="AQ60" s="59">
        <f t="shared" si="45"/>
        <v>175.45882352941175</v>
      </c>
      <c r="AR60" s="59">
        <f>(2*AR45*0.7457)/(AR50/1000)</f>
        <v>115.42461303267726</v>
      </c>
      <c r="AS60" s="59">
        <f>(2*AS45*0.7457)/(AS50/1000)</f>
        <v>218.83221326164875</v>
      </c>
      <c r="AT60" s="59">
        <f>(2*AT45*0.7457)/(AT50/1000)</f>
        <v>115.02288227420486</v>
      </c>
      <c r="AU60" s="59">
        <f>(2*AU45*0.7457)/(AU50/1000)</f>
        <v>146.99312670211384</v>
      </c>
      <c r="AV60" s="59">
        <f t="shared" ref="AV60:AW60" si="46">(2*AV45*0.7457)/(AV50/1000)</f>
        <v>75.668843201270633</v>
      </c>
      <c r="AW60" s="59">
        <f t="shared" si="46"/>
        <v>167.31373307543521</v>
      </c>
    </row>
    <row r="61" spans="3:49" x14ac:dyDescent="0.25">
      <c r="C61" s="2" t="s">
        <v>144</v>
      </c>
      <c r="D61" s="12">
        <f>0.9*60</f>
        <v>54</v>
      </c>
      <c r="E61" s="12">
        <f>2.5*60</f>
        <v>150</v>
      </c>
      <c r="F61" s="12">
        <f>60*2.8</f>
        <v>168</v>
      </c>
      <c r="G61" s="12">
        <f>2.2*60</f>
        <v>132</v>
      </c>
      <c r="H61" s="12">
        <f>2.4*60</f>
        <v>144</v>
      </c>
      <c r="I61" s="12">
        <f>60*2.2</f>
        <v>132</v>
      </c>
      <c r="J61" s="12">
        <f>2.2*60</f>
        <v>132</v>
      </c>
      <c r="K61" s="12">
        <f>1.9*60</f>
        <v>114</v>
      </c>
      <c r="L61" s="12">
        <f>60*2</f>
        <v>120</v>
      </c>
      <c r="M61" s="12">
        <f>60*1.9</f>
        <v>114</v>
      </c>
      <c r="N61" s="12">
        <f>2.6*60</f>
        <v>156</v>
      </c>
      <c r="O61" s="12">
        <f>2.4*60</f>
        <v>144</v>
      </c>
      <c r="P61" s="12">
        <f>60*3.2</f>
        <v>192</v>
      </c>
      <c r="Q61" s="61">
        <f>1.9*60</f>
        <v>114</v>
      </c>
      <c r="R61" s="61">
        <f>1.6*60</f>
        <v>96</v>
      </c>
      <c r="S61" s="12">
        <f>2.4*60</f>
        <v>144</v>
      </c>
      <c r="T61" s="12">
        <f>60*2.2</f>
        <v>132</v>
      </c>
      <c r="U61" s="12">
        <f>60*3</f>
        <v>180</v>
      </c>
      <c r="V61" s="12">
        <f>60+45</f>
        <v>105</v>
      </c>
      <c r="W61" s="12">
        <f>60*2</f>
        <v>120</v>
      </c>
      <c r="X61" s="12">
        <f>60*2.4</f>
        <v>144</v>
      </c>
      <c r="Y61" s="12">
        <f>60*1+40</f>
        <v>100</v>
      </c>
      <c r="Z61" s="12">
        <f>60*4.3</f>
        <v>258</v>
      </c>
      <c r="AA61" s="12">
        <f>60*5.8</f>
        <v>348</v>
      </c>
      <c r="AB61" s="12">
        <f>60*3.8</f>
        <v>228</v>
      </c>
      <c r="AC61" s="12">
        <f>60*2.5</f>
        <v>150</v>
      </c>
      <c r="AD61" s="12">
        <f>60*2.15</f>
        <v>129</v>
      </c>
      <c r="AE61" s="12">
        <f>60*2.15</f>
        <v>129</v>
      </c>
      <c r="AF61" s="12">
        <f>60*3+18</f>
        <v>198</v>
      </c>
      <c r="AG61" s="12">
        <f>60*2+20</f>
        <v>140</v>
      </c>
      <c r="AH61" s="4"/>
      <c r="AI61" s="12">
        <f>1.7*60</f>
        <v>102</v>
      </c>
      <c r="AJ61" s="12">
        <f>3.7*60</f>
        <v>222</v>
      </c>
      <c r="AK61" s="12">
        <f>3.5*60</f>
        <v>210</v>
      </c>
      <c r="AL61" s="12">
        <f>3.8*60</f>
        <v>228</v>
      </c>
      <c r="AM61" s="12">
        <f>1.7*60</f>
        <v>102</v>
      </c>
      <c r="AN61" s="12">
        <f>2.8*60</f>
        <v>168</v>
      </c>
      <c r="AO61" s="12">
        <f>3.4*60</f>
        <v>204</v>
      </c>
      <c r="AP61" s="12">
        <f>8.5*60</f>
        <v>510</v>
      </c>
      <c r="AQ61" s="12">
        <f>1.4*60</f>
        <v>84</v>
      </c>
      <c r="AR61" s="12">
        <f>3.4*60</f>
        <v>204</v>
      </c>
      <c r="AS61" s="12">
        <f>60*4</f>
        <v>240</v>
      </c>
      <c r="AT61" s="12">
        <f>60*6.7</f>
        <v>402</v>
      </c>
      <c r="AU61" s="12">
        <f>60*4.6</f>
        <v>276</v>
      </c>
      <c r="AV61" s="12">
        <f>60*5.3</f>
        <v>318</v>
      </c>
      <c r="AW61" s="12">
        <f>60*2.1</f>
        <v>126</v>
      </c>
    </row>
    <row r="62" spans="3:49" x14ac:dyDescent="0.25">
      <c r="C62" s="2" t="s">
        <v>114</v>
      </c>
      <c r="D62" s="12">
        <v>191</v>
      </c>
      <c r="E62" s="12">
        <v>352</v>
      </c>
      <c r="F62" s="62">
        <v>404</v>
      </c>
      <c r="G62" s="12">
        <v>304</v>
      </c>
      <c r="H62" s="62">
        <v>304</v>
      </c>
      <c r="I62" s="12">
        <v>307</v>
      </c>
      <c r="J62" s="12">
        <v>348</v>
      </c>
      <c r="K62" s="12">
        <v>304</v>
      </c>
      <c r="L62" s="12">
        <v>304</v>
      </c>
      <c r="M62" s="62">
        <v>370</v>
      </c>
      <c r="N62" s="12">
        <v>304</v>
      </c>
      <c r="O62" s="12">
        <v>304</v>
      </c>
      <c r="P62" s="12">
        <v>409</v>
      </c>
      <c r="Q62" s="12">
        <v>305</v>
      </c>
      <c r="R62" s="61">
        <f>326.9</f>
        <v>326.89999999999998</v>
      </c>
      <c r="S62" s="12">
        <v>304</v>
      </c>
      <c r="T62" s="12">
        <v>304</v>
      </c>
      <c r="U62" s="62">
        <v>409</v>
      </c>
      <c r="V62" s="62">
        <v>274</v>
      </c>
      <c r="W62" s="62">
        <v>334</v>
      </c>
      <c r="X62" s="12">
        <v>1006</v>
      </c>
      <c r="Y62" s="12">
        <v>274</v>
      </c>
      <c r="Z62" s="62">
        <v>732</v>
      </c>
      <c r="AA62" s="62">
        <v>1132</v>
      </c>
      <c r="AB62" s="62">
        <v>498</v>
      </c>
      <c r="AC62" s="12">
        <v>388</v>
      </c>
      <c r="AD62" s="12">
        <v>304</v>
      </c>
      <c r="AE62" s="12">
        <v>304</v>
      </c>
      <c r="AF62" s="12">
        <v>516</v>
      </c>
      <c r="AG62" s="12">
        <v>2161</v>
      </c>
      <c r="AH62" s="4"/>
      <c r="AI62" s="12">
        <v>470</v>
      </c>
      <c r="AJ62" s="12">
        <v>1129</v>
      </c>
      <c r="AK62" s="62">
        <v>965</v>
      </c>
      <c r="AL62" s="62">
        <v>1277</v>
      </c>
      <c r="AM62" s="12">
        <v>535</v>
      </c>
      <c r="AN62" s="12">
        <v>1113</v>
      </c>
      <c r="AO62" s="62">
        <v>626</v>
      </c>
      <c r="AP62" s="62">
        <v>3214</v>
      </c>
      <c r="AQ62" s="12">
        <v>535</v>
      </c>
      <c r="AR62" s="12">
        <v>1057</v>
      </c>
      <c r="AS62" s="62">
        <v>1003</v>
      </c>
      <c r="AT62" s="62">
        <v>2553</v>
      </c>
      <c r="AU62" s="12">
        <v>2618</v>
      </c>
      <c r="AV62" s="62">
        <v>1824</v>
      </c>
      <c r="AW62" s="12">
        <v>451</v>
      </c>
    </row>
    <row r="63" spans="3:49" x14ac:dyDescent="0.25">
      <c r="C63" s="2" t="s">
        <v>149</v>
      </c>
      <c r="D63" s="12">
        <v>260</v>
      </c>
      <c r="E63" s="12">
        <v>480</v>
      </c>
      <c r="F63" s="62">
        <v>561</v>
      </c>
      <c r="G63" s="12">
        <v>400</v>
      </c>
      <c r="H63" s="62">
        <v>400</v>
      </c>
      <c r="I63" s="62">
        <v>430</v>
      </c>
      <c r="J63" s="12">
        <v>467</v>
      </c>
      <c r="K63" s="12">
        <v>408</v>
      </c>
      <c r="L63" s="62">
        <v>408</v>
      </c>
      <c r="M63" s="62">
        <v>521</v>
      </c>
      <c r="N63" s="12">
        <v>400</v>
      </c>
      <c r="O63" s="12">
        <v>400</v>
      </c>
      <c r="P63" s="62">
        <v>524</v>
      </c>
      <c r="Q63" s="12">
        <v>420</v>
      </c>
      <c r="R63" s="61">
        <v>454</v>
      </c>
      <c r="S63" s="12">
        <v>400</v>
      </c>
      <c r="T63" s="62">
        <v>400</v>
      </c>
      <c r="U63" s="12">
        <v>524</v>
      </c>
      <c r="V63" s="62">
        <v>386</v>
      </c>
      <c r="W63" s="62">
        <v>464</v>
      </c>
      <c r="X63" s="12">
        <v>1404</v>
      </c>
      <c r="Y63" s="12">
        <v>386</v>
      </c>
      <c r="Z63" s="62">
        <v>1020</v>
      </c>
      <c r="AA63" s="62">
        <v>1575</v>
      </c>
      <c r="AB63" s="12">
        <v>639</v>
      </c>
      <c r="AC63" s="62">
        <v>524</v>
      </c>
      <c r="AD63" s="12">
        <v>400</v>
      </c>
      <c r="AE63" s="12">
        <v>400</v>
      </c>
      <c r="AF63" s="62">
        <v>718</v>
      </c>
      <c r="AG63" s="62">
        <v>2570</v>
      </c>
      <c r="AH63" s="4"/>
      <c r="AI63" s="12">
        <v>641</v>
      </c>
      <c r="AJ63" s="12">
        <v>1505</v>
      </c>
      <c r="AK63" s="12">
        <v>1270</v>
      </c>
      <c r="AL63" s="62">
        <v>1680</v>
      </c>
      <c r="AM63" s="12">
        <v>730</v>
      </c>
      <c r="AN63" s="12">
        <v>1484</v>
      </c>
      <c r="AO63" s="12">
        <v>840</v>
      </c>
      <c r="AP63" s="12">
        <v>4285</v>
      </c>
      <c r="AQ63" s="12">
        <v>730</v>
      </c>
      <c r="AR63" s="12">
        <v>1468</v>
      </c>
      <c r="AS63" s="12">
        <v>1270</v>
      </c>
      <c r="AT63" s="62">
        <v>3450</v>
      </c>
      <c r="AU63" s="12">
        <v>3688</v>
      </c>
      <c r="AV63" s="62">
        <v>2400</v>
      </c>
      <c r="AW63" s="62">
        <v>610</v>
      </c>
    </row>
    <row r="64" spans="3:49" hidden="1" x14ac:dyDescent="0.25">
      <c r="C64" s="2" t="s">
        <v>145</v>
      </c>
      <c r="D64" s="63">
        <f t="shared" ref="D64:AG64" si="47">D62/D63</f>
        <v>0.73461538461538467</v>
      </c>
      <c r="E64" s="63">
        <f t="shared" si="47"/>
        <v>0.73333333333333328</v>
      </c>
      <c r="F64" s="63">
        <f t="shared" si="47"/>
        <v>0.72014260249554363</v>
      </c>
      <c r="G64" s="63">
        <f t="shared" si="47"/>
        <v>0.76</v>
      </c>
      <c r="H64" s="63">
        <f t="shared" si="47"/>
        <v>0.76</v>
      </c>
      <c r="I64" s="63">
        <f t="shared" si="47"/>
        <v>0.71395348837209305</v>
      </c>
      <c r="J64" s="63">
        <f t="shared" si="47"/>
        <v>0.7451820128479657</v>
      </c>
      <c r="K64" s="63">
        <f t="shared" si="47"/>
        <v>0.74509803921568629</v>
      </c>
      <c r="L64" s="63">
        <f t="shared" si="47"/>
        <v>0.74509803921568629</v>
      </c>
      <c r="M64" s="63">
        <f t="shared" si="47"/>
        <v>0.71017274472168901</v>
      </c>
      <c r="N64" s="63">
        <f t="shared" si="47"/>
        <v>0.76</v>
      </c>
      <c r="O64" s="63">
        <f t="shared" si="47"/>
        <v>0.76</v>
      </c>
      <c r="P64" s="63">
        <f t="shared" si="47"/>
        <v>0.78053435114503822</v>
      </c>
      <c r="Q64" s="63">
        <f t="shared" si="47"/>
        <v>0.72619047619047616</v>
      </c>
      <c r="R64" s="63">
        <f t="shared" si="47"/>
        <v>0.72004405286343609</v>
      </c>
      <c r="S64" s="63">
        <f t="shared" si="47"/>
        <v>0.76</v>
      </c>
      <c r="T64" s="63">
        <f t="shared" si="47"/>
        <v>0.76</v>
      </c>
      <c r="U64" s="63">
        <f t="shared" si="47"/>
        <v>0.78053435114503822</v>
      </c>
      <c r="V64" s="63">
        <f t="shared" si="47"/>
        <v>0.7098445595854922</v>
      </c>
      <c r="W64" s="63">
        <f t="shared" si="47"/>
        <v>0.71982758620689657</v>
      </c>
      <c r="X64" s="63">
        <f t="shared" si="47"/>
        <v>0.7165242165242165</v>
      </c>
      <c r="Y64" s="63">
        <f t="shared" si="47"/>
        <v>0.7098445595854922</v>
      </c>
      <c r="Z64" s="63">
        <f t="shared" si="47"/>
        <v>0.71764705882352942</v>
      </c>
      <c r="AA64" s="63">
        <f t="shared" si="47"/>
        <v>0.71873015873015877</v>
      </c>
      <c r="AB64" s="63">
        <f t="shared" si="47"/>
        <v>0.77934272300469487</v>
      </c>
      <c r="AC64" s="63">
        <f t="shared" si="47"/>
        <v>0.74045801526717558</v>
      </c>
      <c r="AD64" s="63">
        <f t="shared" si="47"/>
        <v>0.76</v>
      </c>
      <c r="AE64" s="63">
        <f t="shared" si="47"/>
        <v>0.76</v>
      </c>
      <c r="AF64" s="63">
        <f t="shared" si="47"/>
        <v>0.71866295264623958</v>
      </c>
      <c r="AG64" s="63">
        <f t="shared" si="47"/>
        <v>0.84085603112840468</v>
      </c>
      <c r="AH64" s="4"/>
      <c r="AI64" s="63">
        <f t="shared" ref="AI64:AW64" si="48">AI62/AI63</f>
        <v>0.73322932917316697</v>
      </c>
      <c r="AJ64" s="63">
        <f t="shared" si="48"/>
        <v>0.75016611295681068</v>
      </c>
      <c r="AK64" s="63">
        <f t="shared" si="48"/>
        <v>0.75984251968503935</v>
      </c>
      <c r="AL64" s="63">
        <f t="shared" si="48"/>
        <v>0.76011904761904758</v>
      </c>
      <c r="AM64" s="63">
        <f t="shared" si="48"/>
        <v>0.73287671232876717</v>
      </c>
      <c r="AN64" s="63">
        <f t="shared" si="48"/>
        <v>0.75</v>
      </c>
      <c r="AO64" s="63">
        <f t="shared" si="48"/>
        <v>0.74523809523809526</v>
      </c>
      <c r="AP64" s="63">
        <f t="shared" si="48"/>
        <v>0.75005834305717622</v>
      </c>
      <c r="AQ64" s="63">
        <f t="shared" si="48"/>
        <v>0.73287671232876717</v>
      </c>
      <c r="AR64" s="63">
        <f t="shared" si="48"/>
        <v>0.72002724795640327</v>
      </c>
      <c r="AS64" s="63">
        <f t="shared" si="48"/>
        <v>0.78976377952755905</v>
      </c>
      <c r="AT64" s="63">
        <f t="shared" si="48"/>
        <v>0.74</v>
      </c>
      <c r="AU64" s="63">
        <f t="shared" si="48"/>
        <v>0.70986984815618226</v>
      </c>
      <c r="AV64" s="63">
        <f t="shared" si="48"/>
        <v>0.76</v>
      </c>
      <c r="AW64" s="63">
        <f t="shared" si="48"/>
        <v>0.73934426229508199</v>
      </c>
    </row>
    <row r="65" spans="3:49" x14ac:dyDescent="0.25">
      <c r="C65" s="37" t="s">
        <v>147</v>
      </c>
      <c r="D65" s="64">
        <f t="shared" ref="D65:AG65" si="49">D63/D61</f>
        <v>4.8148148148148149</v>
      </c>
      <c r="E65" s="64">
        <f t="shared" si="49"/>
        <v>3.2</v>
      </c>
      <c r="F65" s="64">
        <f t="shared" si="49"/>
        <v>3.3392857142857144</v>
      </c>
      <c r="G65" s="64">
        <f t="shared" si="49"/>
        <v>3.0303030303030303</v>
      </c>
      <c r="H65" s="64">
        <f t="shared" si="49"/>
        <v>2.7777777777777777</v>
      </c>
      <c r="I65" s="64">
        <f t="shared" si="49"/>
        <v>3.2575757575757578</v>
      </c>
      <c r="J65" s="64">
        <f t="shared" si="49"/>
        <v>3.5378787878787881</v>
      </c>
      <c r="K65" s="64">
        <f t="shared" si="49"/>
        <v>3.5789473684210527</v>
      </c>
      <c r="L65" s="64">
        <f t="shared" si="49"/>
        <v>3.4</v>
      </c>
      <c r="M65" s="64">
        <f t="shared" si="49"/>
        <v>4.5701754385964914</v>
      </c>
      <c r="N65" s="64">
        <f t="shared" si="49"/>
        <v>2.5641025641025643</v>
      </c>
      <c r="O65" s="64">
        <f t="shared" si="49"/>
        <v>2.7777777777777777</v>
      </c>
      <c r="P65" s="64">
        <f t="shared" si="49"/>
        <v>2.7291666666666665</v>
      </c>
      <c r="Q65" s="64">
        <f t="shared" si="49"/>
        <v>3.6842105263157894</v>
      </c>
      <c r="R65" s="64">
        <f t="shared" si="49"/>
        <v>4.729166666666667</v>
      </c>
      <c r="S65" s="64">
        <f t="shared" si="49"/>
        <v>2.7777777777777777</v>
      </c>
      <c r="T65" s="64">
        <f t="shared" si="49"/>
        <v>3.0303030303030303</v>
      </c>
      <c r="U65" s="64">
        <f t="shared" si="49"/>
        <v>2.911111111111111</v>
      </c>
      <c r="V65" s="64">
        <f t="shared" si="49"/>
        <v>3.676190476190476</v>
      </c>
      <c r="W65" s="64">
        <f t="shared" si="49"/>
        <v>3.8666666666666667</v>
      </c>
      <c r="X65" s="64">
        <f t="shared" si="49"/>
        <v>9.75</v>
      </c>
      <c r="Y65" s="64">
        <f t="shared" si="49"/>
        <v>3.86</v>
      </c>
      <c r="Z65" s="64">
        <f t="shared" si="49"/>
        <v>3.9534883720930232</v>
      </c>
      <c r="AA65" s="64">
        <f t="shared" si="49"/>
        <v>4.5258620689655169</v>
      </c>
      <c r="AB65" s="64">
        <f t="shared" si="49"/>
        <v>2.8026315789473686</v>
      </c>
      <c r="AC65" s="64">
        <f t="shared" si="49"/>
        <v>3.4933333333333332</v>
      </c>
      <c r="AD65" s="64">
        <f t="shared" si="49"/>
        <v>3.1007751937984498</v>
      </c>
      <c r="AE65" s="64">
        <f t="shared" si="49"/>
        <v>3.1007751937984498</v>
      </c>
      <c r="AF65" s="64">
        <f t="shared" si="49"/>
        <v>3.6262626262626263</v>
      </c>
      <c r="AG65" s="64">
        <f t="shared" si="49"/>
        <v>18.357142857142858</v>
      </c>
      <c r="AH65" s="4"/>
      <c r="AI65" s="64">
        <f t="shared" ref="AI65:AW65" si="50">AI63/AI61</f>
        <v>6.284313725490196</v>
      </c>
      <c r="AJ65" s="64">
        <f t="shared" si="50"/>
        <v>6.7792792792792795</v>
      </c>
      <c r="AK65" s="64">
        <f t="shared" si="50"/>
        <v>6.0476190476190474</v>
      </c>
      <c r="AL65" s="64">
        <f t="shared" si="50"/>
        <v>7.3684210526315788</v>
      </c>
      <c r="AM65" s="64">
        <f t="shared" si="50"/>
        <v>7.1568627450980395</v>
      </c>
      <c r="AN65" s="64">
        <f t="shared" si="50"/>
        <v>8.8333333333333339</v>
      </c>
      <c r="AO65" s="64">
        <f t="shared" si="50"/>
        <v>4.117647058823529</v>
      </c>
      <c r="AP65" s="64">
        <f t="shared" si="50"/>
        <v>8.4019607843137258</v>
      </c>
      <c r="AQ65" s="64">
        <f t="shared" si="50"/>
        <v>8.6904761904761898</v>
      </c>
      <c r="AR65" s="64">
        <f t="shared" si="50"/>
        <v>7.1960784313725492</v>
      </c>
      <c r="AS65" s="64">
        <f t="shared" si="50"/>
        <v>5.291666666666667</v>
      </c>
      <c r="AT65" s="64">
        <f t="shared" si="50"/>
        <v>8.5820895522388057</v>
      </c>
      <c r="AU65" s="64">
        <f t="shared" si="50"/>
        <v>13.362318840579711</v>
      </c>
      <c r="AV65" s="64">
        <f t="shared" si="50"/>
        <v>7.5471698113207548</v>
      </c>
      <c r="AW65" s="64">
        <f t="shared" si="50"/>
        <v>4.8412698412698409</v>
      </c>
    </row>
    <row r="66" spans="3:49" s="16" customFormat="1" ht="15.75" thickBot="1" x14ac:dyDescent="0.3">
      <c r="C66" s="36" t="s">
        <v>146</v>
      </c>
      <c r="D66" s="65">
        <f t="shared" ref="D66:AG66" si="51">30/D61*1.5</f>
        <v>0.83333333333333337</v>
      </c>
      <c r="E66" s="65">
        <f t="shared" si="51"/>
        <v>0.30000000000000004</v>
      </c>
      <c r="F66" s="65">
        <f t="shared" si="51"/>
        <v>0.26785714285714285</v>
      </c>
      <c r="G66" s="65">
        <f t="shared" si="51"/>
        <v>0.34090909090909088</v>
      </c>
      <c r="H66" s="65">
        <f t="shared" si="51"/>
        <v>0.3125</v>
      </c>
      <c r="I66" s="65">
        <f t="shared" si="51"/>
        <v>0.34090909090909088</v>
      </c>
      <c r="J66" s="65">
        <f t="shared" si="51"/>
        <v>0.34090909090909088</v>
      </c>
      <c r="K66" s="65">
        <f t="shared" si="51"/>
        <v>0.39473684210526316</v>
      </c>
      <c r="L66" s="65">
        <f t="shared" si="51"/>
        <v>0.375</v>
      </c>
      <c r="M66" s="65">
        <f t="shared" si="51"/>
        <v>0.39473684210526316</v>
      </c>
      <c r="N66" s="65">
        <f t="shared" si="51"/>
        <v>0.28846153846153849</v>
      </c>
      <c r="O66" s="65">
        <f t="shared" si="51"/>
        <v>0.3125</v>
      </c>
      <c r="P66" s="65">
        <f t="shared" si="51"/>
        <v>0.234375</v>
      </c>
      <c r="Q66" s="65">
        <f t="shared" si="51"/>
        <v>0.39473684210526316</v>
      </c>
      <c r="R66" s="65">
        <f t="shared" si="51"/>
        <v>0.46875</v>
      </c>
      <c r="S66" s="65">
        <f t="shared" si="51"/>
        <v>0.3125</v>
      </c>
      <c r="T66" s="65">
        <f t="shared" si="51"/>
        <v>0.34090909090909088</v>
      </c>
      <c r="U66" s="65">
        <f t="shared" si="51"/>
        <v>0.25</v>
      </c>
      <c r="V66" s="65">
        <f t="shared" si="51"/>
        <v>0.42857142857142855</v>
      </c>
      <c r="W66" s="65">
        <f t="shared" si="51"/>
        <v>0.375</v>
      </c>
      <c r="X66" s="65">
        <f t="shared" si="51"/>
        <v>0.3125</v>
      </c>
      <c r="Y66" s="65">
        <f t="shared" si="51"/>
        <v>0.44999999999999996</v>
      </c>
      <c r="Z66" s="65">
        <f t="shared" si="51"/>
        <v>0.1744186046511628</v>
      </c>
      <c r="AA66" s="65">
        <f t="shared" si="51"/>
        <v>0.12931034482758622</v>
      </c>
      <c r="AB66" s="65">
        <f t="shared" si="51"/>
        <v>0.19736842105263158</v>
      </c>
      <c r="AC66" s="65">
        <f t="shared" si="51"/>
        <v>0.30000000000000004</v>
      </c>
      <c r="AD66" s="65">
        <f t="shared" si="51"/>
        <v>0.34883720930232559</v>
      </c>
      <c r="AE66" s="65">
        <f t="shared" si="51"/>
        <v>0.34883720930232559</v>
      </c>
      <c r="AF66" s="65">
        <f t="shared" si="51"/>
        <v>0.22727272727272729</v>
      </c>
      <c r="AG66" s="65">
        <f t="shared" si="51"/>
        <v>0.3214285714285714</v>
      </c>
      <c r="AH66" s="17"/>
      <c r="AI66" s="65">
        <f t="shared" ref="AI66:AW66" si="52">30/AI61*1.5</f>
        <v>0.44117647058823528</v>
      </c>
      <c r="AJ66" s="65">
        <f t="shared" si="52"/>
        <v>0.20270270270270271</v>
      </c>
      <c r="AK66" s="65">
        <f t="shared" si="52"/>
        <v>0.21428571428571427</v>
      </c>
      <c r="AL66" s="65">
        <f t="shared" si="52"/>
        <v>0.19736842105263158</v>
      </c>
      <c r="AM66" s="65">
        <f t="shared" si="52"/>
        <v>0.44117647058823528</v>
      </c>
      <c r="AN66" s="65">
        <f t="shared" si="52"/>
        <v>0.26785714285714285</v>
      </c>
      <c r="AO66" s="65">
        <f t="shared" si="52"/>
        <v>0.22058823529411764</v>
      </c>
      <c r="AP66" s="65">
        <f t="shared" si="52"/>
        <v>8.8235294117647051E-2</v>
      </c>
      <c r="AQ66" s="65">
        <f t="shared" si="52"/>
        <v>0.5357142857142857</v>
      </c>
      <c r="AR66" s="65">
        <f t="shared" si="52"/>
        <v>0.22058823529411764</v>
      </c>
      <c r="AS66" s="65">
        <f t="shared" si="52"/>
        <v>0.1875</v>
      </c>
      <c r="AT66" s="65">
        <f t="shared" si="52"/>
        <v>0.11194029850746268</v>
      </c>
      <c r="AU66" s="65">
        <f t="shared" si="52"/>
        <v>0.16304347826086957</v>
      </c>
      <c r="AV66" s="65">
        <f t="shared" si="52"/>
        <v>0.14150943396226418</v>
      </c>
      <c r="AW66" s="65">
        <f t="shared" si="52"/>
        <v>0.3571428571428571</v>
      </c>
    </row>
    <row r="67" spans="3:49" x14ac:dyDescent="0.25">
      <c r="C67" s="2" t="s">
        <v>115</v>
      </c>
      <c r="D67" s="66">
        <f>D49-(D62/2)+40</f>
        <v>1822.5</v>
      </c>
      <c r="E67" s="4">
        <f>E49-(E62/2)+34</f>
        <v>3102</v>
      </c>
      <c r="F67" s="4">
        <f>F49-(F62/2)-156+207</f>
        <v>3668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66">
        <f>R49-(R62/2)-192</f>
        <v>3152.55</v>
      </c>
      <c r="S67" s="4"/>
      <c r="T67" s="4"/>
      <c r="U67" s="4"/>
      <c r="V67" s="4"/>
      <c r="W67" s="4"/>
      <c r="X67" s="4">
        <f>6503-(X62/4)-280</f>
        <v>5971.5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3:49" x14ac:dyDescent="0.25">
      <c r="C68" s="2" t="s">
        <v>116</v>
      </c>
      <c r="D68" s="66">
        <f>D67/D51</f>
        <v>125.34387895460799</v>
      </c>
      <c r="E68" s="66">
        <f>E67/E51</f>
        <v>177.86697247706419</v>
      </c>
      <c r="F68" s="66">
        <f>F67/F51</f>
        <v>167.33576642335765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>
        <f>R67/R51</f>
        <v>159.05903128153381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3:49" x14ac:dyDescent="0.25">
      <c r="C69" s="2" t="s">
        <v>117</v>
      </c>
      <c r="D69" s="66">
        <f>(D46*0.7457)/(D67/1000)</f>
        <v>450.07956104252401</v>
      </c>
      <c r="E69" s="66">
        <f>(E46*0.7457)/(E67/1000)</f>
        <v>324.53094777562865</v>
      </c>
      <c r="F69" s="66">
        <f>(F45*0.7457)/(F67/1000)</f>
        <v>182.96892039258449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66"/>
      <c r="R69" s="66">
        <f>(R47*0.7457)/(R67/1000)</f>
        <v>366.6349463133019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3:49" x14ac:dyDescent="0.25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6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3:49" x14ac:dyDescent="0.25">
      <c r="D71" s="66">
        <f>D49-D63*(1-D66)</f>
        <v>1834.6666666666667</v>
      </c>
      <c r="E71" s="66">
        <f t="shared" ref="E71:F71" si="53">E49-E63*(1-E66)</f>
        <v>2908</v>
      </c>
      <c r="F71" s="66">
        <f t="shared" si="53"/>
        <v>3408.2678571428569</v>
      </c>
      <c r="G71" s="66">
        <f t="shared" ref="G71:AW71" si="54">G49-G63*(1-G66)</f>
        <v>2350.3636363636365</v>
      </c>
      <c r="H71" s="66">
        <f t="shared" si="54"/>
        <v>2514</v>
      </c>
      <c r="I71" s="66">
        <f t="shared" si="54"/>
        <v>2683.590909090909</v>
      </c>
      <c r="J71" s="66">
        <f t="shared" si="54"/>
        <v>2849.2045454545455</v>
      </c>
      <c r="K71" s="66">
        <f t="shared" si="54"/>
        <v>2685.0526315789475</v>
      </c>
      <c r="L71" s="66">
        <f t="shared" si="54"/>
        <v>2632</v>
      </c>
      <c r="M71" s="66">
        <f t="shared" si="54"/>
        <v>3037.6578947368421</v>
      </c>
      <c r="N71" s="66">
        <f t="shared" si="54"/>
        <v>2605.3846153846152</v>
      </c>
      <c r="O71" s="66">
        <f t="shared" si="54"/>
        <v>2719</v>
      </c>
      <c r="P71" s="66">
        <f t="shared" si="54"/>
        <v>3453.8125</v>
      </c>
      <c r="Q71" s="66">
        <f t="shared" si="54"/>
        <v>2747.7894736842104</v>
      </c>
      <c r="R71" s="66">
        <f t="shared" si="54"/>
        <v>3266.8125</v>
      </c>
      <c r="S71" s="66">
        <f t="shared" si="54"/>
        <v>2739</v>
      </c>
      <c r="T71" s="66">
        <f t="shared" si="54"/>
        <v>2836.3636363636365</v>
      </c>
      <c r="U71" s="66">
        <f t="shared" si="54"/>
        <v>3533</v>
      </c>
      <c r="V71" s="66">
        <f t="shared" si="54"/>
        <v>2758.4285714285716</v>
      </c>
      <c r="W71" s="66">
        <f t="shared" si="54"/>
        <v>3015</v>
      </c>
      <c r="X71" s="66">
        <f t="shared" si="54"/>
        <v>5537.75</v>
      </c>
      <c r="Y71" s="66">
        <f t="shared" si="54"/>
        <v>3146.7</v>
      </c>
      <c r="Z71" s="66">
        <f t="shared" si="54"/>
        <v>3735.9069767441861</v>
      </c>
      <c r="AA71" s="66">
        <f t="shared" si="54"/>
        <v>6518.6637931034484</v>
      </c>
      <c r="AB71" s="66">
        <f t="shared" si="54"/>
        <v>3878.1184210526317</v>
      </c>
      <c r="AC71" s="66">
        <f t="shared" si="54"/>
        <v>3922.2</v>
      </c>
      <c r="AD71" s="66">
        <f t="shared" si="54"/>
        <v>3005.5348837209303</v>
      </c>
      <c r="AE71" s="66">
        <f t="shared" si="54"/>
        <v>3100.5348837209303</v>
      </c>
      <c r="AF71" s="66">
        <f t="shared" si="54"/>
        <v>4666.181818181818</v>
      </c>
      <c r="AG71" s="66">
        <f t="shared" si="54"/>
        <v>4656.0714285714284</v>
      </c>
      <c r="AH71" s="66">
        <f t="shared" si="54"/>
        <v>0</v>
      </c>
      <c r="AI71" s="66">
        <f t="shared" si="54"/>
        <v>4690.7941176470586</v>
      </c>
      <c r="AJ71" s="66">
        <f t="shared" si="54"/>
        <v>6497.0675675675675</v>
      </c>
      <c r="AK71" s="66">
        <f t="shared" si="54"/>
        <v>5708.1428571428569</v>
      </c>
      <c r="AL71" s="66">
        <f t="shared" si="54"/>
        <v>10761.578947368422</v>
      </c>
      <c r="AM71" s="66">
        <f t="shared" si="54"/>
        <v>4886.0588235294117</v>
      </c>
      <c r="AN71" s="66">
        <f t="shared" si="54"/>
        <v>6598.5</v>
      </c>
      <c r="AO71" s="66">
        <f t="shared" si="54"/>
        <v>4180.2941176470586</v>
      </c>
      <c r="AP71" s="66">
        <f t="shared" si="54"/>
        <v>9820.0882352941171</v>
      </c>
      <c r="AQ71" s="66">
        <f t="shared" si="54"/>
        <v>5342.0714285714284</v>
      </c>
      <c r="AR71" s="66">
        <f t="shared" si="54"/>
        <v>7221.8235294117649</v>
      </c>
      <c r="AS71" s="66">
        <f t="shared" si="54"/>
        <v>6482.125</v>
      </c>
      <c r="AT71" s="66">
        <f t="shared" si="54"/>
        <v>9953.194029850747</v>
      </c>
      <c r="AU71" s="66">
        <f t="shared" si="54"/>
        <v>8457.3043478260879</v>
      </c>
      <c r="AV71" s="66">
        <f t="shared" si="54"/>
        <v>7942.6226415094343</v>
      </c>
      <c r="AW71" s="66">
        <f t="shared" si="54"/>
        <v>4363.8571428571431</v>
      </c>
    </row>
    <row r="72" spans="3:49" x14ac:dyDescent="0.25">
      <c r="C72" s="2" t="s">
        <v>151</v>
      </c>
      <c r="D72" s="66">
        <f>D71/D51</f>
        <v>126.1806510774874</v>
      </c>
      <c r="E72" s="66">
        <f t="shared" ref="E72:F72" si="55">E71/E51</f>
        <v>166.74311926605503</v>
      </c>
      <c r="F72" s="66">
        <f t="shared" si="55"/>
        <v>155.48667231491135</v>
      </c>
      <c r="G72" s="66">
        <f t="shared" ref="G72" si="56">G71/G51</f>
        <v>143.31485587583151</v>
      </c>
      <c r="H72" s="66">
        <f t="shared" ref="H72" si="57">H71/H51</f>
        <v>156.14906832298135</v>
      </c>
      <c r="I72" s="66">
        <f t="shared" ref="I72" si="58">I71/I51</f>
        <v>159.73755411255411</v>
      </c>
      <c r="J72" s="66">
        <f t="shared" ref="J72" si="59">J71/J51</f>
        <v>162.71870619386323</v>
      </c>
      <c r="K72" s="66">
        <f t="shared" ref="K72" si="60">K71/K51</f>
        <v>156.56283566058005</v>
      </c>
      <c r="L72" s="66">
        <f t="shared" ref="L72" si="61">L71/L51</f>
        <v>153.46938775510205</v>
      </c>
      <c r="M72" s="66">
        <f t="shared" ref="M72" si="62">M71/M51</f>
        <v>173.48131894556494</v>
      </c>
      <c r="N72" s="66">
        <f t="shared" ref="N72" si="63">N71/N51</f>
        <v>161.82513139034876</v>
      </c>
      <c r="O72" s="66">
        <f t="shared" ref="O72" si="64">O71/O51</f>
        <v>168.88198757763973</v>
      </c>
      <c r="P72" s="66">
        <f t="shared" ref="P72" si="65">P71/P51</f>
        <v>188.73292349726776</v>
      </c>
      <c r="Q72" s="66">
        <f t="shared" ref="Q72" si="66">Q71/Q51</f>
        <v>160.220960564677</v>
      </c>
      <c r="R72" s="66">
        <f t="shared" ref="R72" si="67">R71/R51</f>
        <v>164.82404137235116</v>
      </c>
      <c r="S72" s="66">
        <f t="shared" ref="S72" si="68">S71/S51</f>
        <v>170.12422360248445</v>
      </c>
      <c r="T72" s="66">
        <f t="shared" ref="T72" si="69">T71/T51</f>
        <v>176.17165443252398</v>
      </c>
      <c r="U72" s="66">
        <f t="shared" ref="U72" si="70">U71/U51</f>
        <v>193.06010928961749</v>
      </c>
      <c r="V72" s="66">
        <f t="shared" ref="V72" si="71">V71/V51</f>
        <v>122.70589730554144</v>
      </c>
      <c r="W72" s="66">
        <f t="shared" ref="W72" si="72">W71/W51</f>
        <v>172.18732153055396</v>
      </c>
      <c r="X72" s="66">
        <f t="shared" ref="X72" si="73">X71/X51</f>
        <v>198.69931826336563</v>
      </c>
      <c r="Y72" s="66">
        <f t="shared" ref="Y72" si="74">Y71/Y51</f>
        <v>139.97775800711742</v>
      </c>
      <c r="Z72" s="66">
        <f t="shared" ref="Z72" si="75">Z71/Z51</f>
        <v>167.52946084054645</v>
      </c>
      <c r="AA72" s="66">
        <f t="shared" ref="AA72" si="76">AA71/AA51</f>
        <v>214.42973003629766</v>
      </c>
      <c r="AB72" s="66">
        <f t="shared" ref="AB72" si="77">AB71/AB51</f>
        <v>211.91903940178315</v>
      </c>
      <c r="AC72" s="66">
        <f t="shared" ref="AC72" si="78">AC71/AC51</f>
        <v>214.32786885245901</v>
      </c>
      <c r="AD72" s="66">
        <f t="shared" ref="AD72" si="79">AD71/AD51</f>
        <v>186.67918532428138</v>
      </c>
      <c r="AE72" s="66">
        <f t="shared" ref="AE72" si="80">AE71/AE51</f>
        <v>192.5798064422938</v>
      </c>
      <c r="AF72" s="66">
        <f t="shared" ref="AF72" si="81">AF71/AF51</f>
        <v>167.78791147723186</v>
      </c>
      <c r="AG72" s="66">
        <f t="shared" ref="AG72" si="82">AG71/AG51</f>
        <v>228.2387955182073</v>
      </c>
      <c r="AH72" s="66" t="e">
        <f t="shared" ref="AH72" si="83">AH71/AH51</f>
        <v>#DIV/0!</v>
      </c>
      <c r="AI72" s="66">
        <f t="shared" ref="AI72" si="84">AI71/AI51</f>
        <v>121.83880825057295</v>
      </c>
      <c r="AJ72" s="66">
        <f t="shared" ref="AJ72" si="85">AJ71/AJ51</f>
        <v>159.24185214626391</v>
      </c>
      <c r="AK72" s="66">
        <f t="shared" ref="AK72" si="86">AK71/AK51</f>
        <v>148.64955357142858</v>
      </c>
      <c r="AL72" s="66">
        <f t="shared" ref="AL72" si="87">AL71/AL51</f>
        <v>204.20453410566265</v>
      </c>
      <c r="AM72" s="66">
        <f t="shared" ref="AM72" si="88">AM71/AM51</f>
        <v>126.91061879297173</v>
      </c>
      <c r="AN72" s="66">
        <f t="shared" ref="AN72" si="89">AN71/AN51</f>
        <v>161.72794117647061</v>
      </c>
      <c r="AO72" s="66">
        <f t="shared" ref="AO72" si="90">AO71/AO51</f>
        <v>131.04370274755669</v>
      </c>
      <c r="AP72" s="66">
        <f t="shared" ref="AP72" si="91">AP71/AP51</f>
        <v>123.52312245652978</v>
      </c>
      <c r="AQ72" s="66">
        <f t="shared" ref="AQ72" si="92">AQ71/AQ51</f>
        <v>138.75510204081633</v>
      </c>
      <c r="AR72" s="66">
        <f t="shared" ref="AR72" si="93">AR71/AR51</f>
        <v>167.24927117674304</v>
      </c>
      <c r="AS72" s="66">
        <f t="shared" ref="AS72" si="94">AS71/AS51</f>
        <v>168.80533854166669</v>
      </c>
      <c r="AT72" s="66">
        <f t="shared" ref="AT72" si="95">AT71/AT51</f>
        <v>125.19740918051254</v>
      </c>
      <c r="AU72" s="66">
        <f t="shared" ref="AU72" si="96">AU71/AU51</f>
        <v>148.37376048817697</v>
      </c>
      <c r="AV72" s="66">
        <f t="shared" ref="AV72" si="97">AV71/AV51</f>
        <v>71.234283780353664</v>
      </c>
      <c r="AW72" s="66">
        <f t="shared" ref="AW72" si="98">AW71/AW51</f>
        <v>150.99851705388039</v>
      </c>
    </row>
    <row r="73" spans="3:49" x14ac:dyDescent="0.25">
      <c r="C73" s="2" t="s">
        <v>152</v>
      </c>
      <c r="D73" s="66">
        <f>(D46*0.7457)/(D71/1000)</f>
        <v>447.09484011627904</v>
      </c>
      <c r="E73" s="66">
        <f>(E46*0.7457)/(E71/1000)</f>
        <v>346.18122420907844</v>
      </c>
      <c r="F73" s="66">
        <f t="shared" ref="F73" si="99">(F46*0.7457)/(F71/1000)</f>
        <v>251.61021256084209</v>
      </c>
      <c r="G73" s="66">
        <f t="shared" ref="G73:AW73" si="100">(G46*0.7457)/(G71/1000)</f>
        <v>348.9970604161831</v>
      </c>
      <c r="H73" s="66">
        <f>(H45*0.7457)/(H71/1000)</f>
        <v>301.06821797931588</v>
      </c>
      <c r="I73" s="66">
        <f>(I46*0.7457)/(I71/1000)</f>
        <v>291.76764511594035</v>
      </c>
      <c r="J73" s="66">
        <f>(J45*0.7457)/(J71/1000)</f>
        <v>314.06660551190527</v>
      </c>
      <c r="K73" s="66">
        <f t="shared" ref="K73:L73" si="101">(K45*0.7457)/(K71/1000)</f>
        <v>344.3761172965344</v>
      </c>
      <c r="L73" s="66">
        <f t="shared" si="101"/>
        <v>351.31762917933128</v>
      </c>
      <c r="M73" s="66">
        <f>(M46*0.7457)/(M71/1000)</f>
        <v>417.32480876021174</v>
      </c>
      <c r="N73" s="66">
        <f>(N45*0.7457)/(N71/1000)</f>
        <v>343.45792736935346</v>
      </c>
      <c r="O73" s="66">
        <f t="shared" ref="O73:Q73" si="102">(O45*0.7457)/(O71/1000)</f>
        <v>359.27436557557928</v>
      </c>
      <c r="P73" s="66">
        <f t="shared" si="102"/>
        <v>328.17762979316331</v>
      </c>
      <c r="Q73" s="66">
        <f t="shared" si="102"/>
        <v>328.37195448973335</v>
      </c>
      <c r="R73" s="66">
        <f>(R46*0.7457)/(R71/1000)</f>
        <v>262.50511775622266</v>
      </c>
      <c r="S73" s="66">
        <f>(S45*0.7457)/(S71/1000)</f>
        <v>356.65096750638924</v>
      </c>
      <c r="T73" s="66">
        <f t="shared" ref="T73:V73" si="103">(T45*0.7457)/(T71/1000)</f>
        <v>344.40823717948717</v>
      </c>
      <c r="U73" s="66">
        <f t="shared" si="103"/>
        <v>320.82196433625813</v>
      </c>
      <c r="V73" s="66">
        <f t="shared" si="103"/>
        <v>301.42361075146306</v>
      </c>
      <c r="W73" s="66">
        <f t="shared" si="100"/>
        <v>457.56053067993366</v>
      </c>
      <c r="X73" s="66">
        <f t="shared" si="100"/>
        <v>262.58227619520562</v>
      </c>
      <c r="Y73" s="66">
        <f>(Y45*0.7457)/(Y71/1000)</f>
        <v>296.22302729843966</v>
      </c>
      <c r="Z73" s="66">
        <f t="shared" ref="Z73:AA73" si="104">(Z45*0.7457)/(Z71/1000)</f>
        <v>297.40917183337069</v>
      </c>
      <c r="AA73" s="66">
        <f t="shared" si="104"/>
        <v>170.44796836669246</v>
      </c>
      <c r="AB73" s="66">
        <f t="shared" si="100"/>
        <v>292.27163199733997</v>
      </c>
      <c r="AC73" s="66">
        <f t="shared" si="100"/>
        <v>361.23349140788338</v>
      </c>
      <c r="AD73" s="66">
        <f t="shared" si="100"/>
        <v>325.02267908819391</v>
      </c>
      <c r="AE73" s="66">
        <f t="shared" si="100"/>
        <v>329.49443831896974</v>
      </c>
      <c r="AF73" s="66">
        <f>(AF46*0.7457)/(AF71/1000)</f>
        <v>0</v>
      </c>
      <c r="AG73" s="66">
        <f t="shared" si="100"/>
        <v>0</v>
      </c>
      <c r="AH73" s="66" t="e">
        <f t="shared" si="100"/>
        <v>#DIV/0!</v>
      </c>
      <c r="AI73" s="66">
        <f t="shared" si="100"/>
        <v>254.35352097663136</v>
      </c>
      <c r="AJ73" s="66">
        <f t="shared" si="100"/>
        <v>0</v>
      </c>
      <c r="AK73" s="66">
        <f t="shared" si="100"/>
        <v>143.70172935906101</v>
      </c>
      <c r="AL73" s="66">
        <f t="shared" si="100"/>
        <v>0</v>
      </c>
      <c r="AM73" s="66">
        <f t="shared" si="100"/>
        <v>244.18862790893661</v>
      </c>
      <c r="AN73" s="66">
        <f t="shared" si="100"/>
        <v>0</v>
      </c>
      <c r="AO73" s="66">
        <f t="shared" si="100"/>
        <v>224.76456764933513</v>
      </c>
      <c r="AP73" s="66">
        <f t="shared" si="100"/>
        <v>95.679588358796352</v>
      </c>
      <c r="AQ73" s="66">
        <f t="shared" si="100"/>
        <v>240.09488026314031</v>
      </c>
      <c r="AR73" s="66">
        <f t="shared" si="100"/>
        <v>139.39623363823705</v>
      </c>
      <c r="AS73" s="66">
        <f t="shared" si="100"/>
        <v>170.25836434811114</v>
      </c>
      <c r="AT73" s="66">
        <f t="shared" si="100"/>
        <v>0</v>
      </c>
      <c r="AU73" s="66">
        <f t="shared" si="100"/>
        <v>0</v>
      </c>
      <c r="AV73" s="66">
        <f t="shared" si="100"/>
        <v>0</v>
      </c>
      <c r="AW73" s="66">
        <f t="shared" si="100"/>
        <v>0</v>
      </c>
    </row>
    <row r="74" spans="3:49" x14ac:dyDescent="0.25">
      <c r="C74" s="2" t="s">
        <v>72</v>
      </c>
      <c r="D74" s="66">
        <f>(MAX(D45:D47)*0.7457)/(D71/1000)</f>
        <v>447.09484011627904</v>
      </c>
      <c r="E74" s="66">
        <f t="shared" ref="E74:AG74" si="105">(MAX(E45:E47)*0.7457)/(E71/1000)</f>
        <v>346.18122420907844</v>
      </c>
      <c r="F74" s="66">
        <f t="shared" si="105"/>
        <v>321.62348909951118</v>
      </c>
      <c r="G74" s="66">
        <f t="shared" si="105"/>
        <v>348.9970604161831</v>
      </c>
      <c r="H74" s="66">
        <f t="shared" si="105"/>
        <v>348.52724741447895</v>
      </c>
      <c r="I74" s="66">
        <f t="shared" si="105"/>
        <v>326.50188858212368</v>
      </c>
      <c r="J74" s="66">
        <f t="shared" si="105"/>
        <v>314.06660551190527</v>
      </c>
      <c r="K74" s="66">
        <f t="shared" si="105"/>
        <v>344.3761172965344</v>
      </c>
      <c r="L74" s="66">
        <f t="shared" si="105"/>
        <v>351.31762917933128</v>
      </c>
      <c r="M74" s="66">
        <f t="shared" si="105"/>
        <v>417.32480876021174</v>
      </c>
      <c r="N74" s="66">
        <f t="shared" si="105"/>
        <v>386.39016829052264</v>
      </c>
      <c r="O74" s="66">
        <f t="shared" si="105"/>
        <v>359.27436557557928</v>
      </c>
      <c r="P74" s="66">
        <f t="shared" si="105"/>
        <v>367.04077016340636</v>
      </c>
      <c r="Q74" s="66">
        <f t="shared" si="105"/>
        <v>328.37195448973335</v>
      </c>
      <c r="R74" s="66">
        <f t="shared" si="105"/>
        <v>353.81124567143053</v>
      </c>
      <c r="S74" s="66">
        <f t="shared" si="105"/>
        <v>402.93391748813434</v>
      </c>
      <c r="T74" s="66">
        <f t="shared" si="105"/>
        <v>389.1024358974359</v>
      </c>
      <c r="U74" s="66">
        <f t="shared" si="105"/>
        <v>358.81403906028874</v>
      </c>
      <c r="V74" s="66">
        <f t="shared" si="105"/>
        <v>393.33753689989123</v>
      </c>
      <c r="W74" s="66">
        <f t="shared" si="105"/>
        <v>457.56053067993366</v>
      </c>
      <c r="X74" s="66">
        <f t="shared" si="105"/>
        <v>350.10970159360755</v>
      </c>
      <c r="Y74" s="66">
        <f t="shared" si="105"/>
        <v>392.1992881431342</v>
      </c>
      <c r="Z74" s="66">
        <f t="shared" si="105"/>
        <v>329.34572719802793</v>
      </c>
      <c r="AA74" s="66">
        <f t="shared" si="105"/>
        <v>177.31164494521698</v>
      </c>
      <c r="AB74" s="66">
        <f t="shared" si="105"/>
        <v>326.8827463128145</v>
      </c>
      <c r="AC74" s="66">
        <f t="shared" si="105"/>
        <v>404.96175615725872</v>
      </c>
      <c r="AD74" s="66">
        <f t="shared" si="105"/>
        <v>446.59604760209845</v>
      </c>
      <c r="AE74" s="66">
        <f t="shared" si="105"/>
        <v>481.01377856783904</v>
      </c>
      <c r="AF74" s="66">
        <f t="shared" si="105"/>
        <v>348.38462437655858</v>
      </c>
      <c r="AG74" s="66">
        <f t="shared" si="105"/>
        <v>0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3:49" x14ac:dyDescent="0.25">
      <c r="D75" s="66"/>
      <c r="E75" s="66"/>
      <c r="F75" s="6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3:49" x14ac:dyDescent="0.25">
      <c r="D76" s="27" t="s">
        <v>76</v>
      </c>
    </row>
    <row r="77" spans="3:49" x14ac:dyDescent="0.25">
      <c r="D77" t="s">
        <v>111</v>
      </c>
    </row>
    <row r="78" spans="3:49" x14ac:dyDescent="0.25">
      <c r="D78" t="s">
        <v>148</v>
      </c>
    </row>
    <row r="82" spans="4:48" x14ac:dyDescent="0.25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38"/>
      <c r="AG82" s="12"/>
      <c r="AH82" s="12"/>
      <c r="AI82" s="12"/>
      <c r="AJ82" s="12"/>
      <c r="AK82" s="12"/>
      <c r="AL82" s="12"/>
      <c r="AM82" s="40"/>
      <c r="AN82" s="12"/>
      <c r="AO82" s="40"/>
      <c r="AP82" s="40"/>
      <c r="AQ82" s="40"/>
      <c r="AR82" s="40"/>
      <c r="AS82" s="38"/>
      <c r="AT82" s="12"/>
      <c r="AU82" s="12"/>
      <c r="AV82" s="12"/>
    </row>
    <row r="83" spans="4:48" x14ac:dyDescent="0.25">
      <c r="D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44"/>
      <c r="T83" s="22"/>
      <c r="U83" s="44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44"/>
    </row>
    <row r="84" spans="4:48" x14ac:dyDescent="0.25">
      <c r="D84" s="22"/>
      <c r="F84" s="22"/>
      <c r="G84" s="22"/>
      <c r="H84" s="22"/>
      <c r="I84" s="53"/>
      <c r="J84" s="22"/>
      <c r="K84" s="22"/>
      <c r="L84" s="22"/>
      <c r="M84" s="22"/>
      <c r="N84" s="53"/>
      <c r="O84" s="22"/>
      <c r="P84" s="22"/>
      <c r="Q84" s="22"/>
      <c r="R84" s="53"/>
      <c r="S84" s="44"/>
      <c r="T84" s="53"/>
      <c r="U84" s="22"/>
      <c r="V84" s="22"/>
      <c r="W84" s="53"/>
      <c r="X84" s="22"/>
      <c r="Y84" s="53"/>
      <c r="Z84" s="22"/>
      <c r="AA84" s="22"/>
      <c r="AB84" s="53"/>
      <c r="AC84" s="22"/>
      <c r="AD84" s="53"/>
      <c r="AE84" s="22"/>
      <c r="AF84" s="22"/>
      <c r="AH84" s="22"/>
      <c r="AI84" s="53"/>
      <c r="AJ84" s="22"/>
      <c r="AK84" s="53"/>
      <c r="AL84" s="22"/>
      <c r="AM84" s="53"/>
      <c r="AN84" s="22"/>
      <c r="AO84" s="53"/>
      <c r="AP84" s="53"/>
      <c r="AQ84" s="22"/>
      <c r="AR84" s="22"/>
      <c r="AS84" s="22"/>
      <c r="AT84" s="53"/>
      <c r="AU84" s="22"/>
      <c r="AV84" s="22"/>
    </row>
    <row r="85" spans="4:48" x14ac:dyDescent="0.25">
      <c r="D85" s="22"/>
      <c r="F85" s="22"/>
      <c r="G85" s="53"/>
      <c r="H85" s="22"/>
      <c r="I85" s="53"/>
      <c r="J85" s="22"/>
      <c r="K85" s="22"/>
      <c r="L85" s="22"/>
      <c r="M85" s="53"/>
      <c r="N85" s="53"/>
      <c r="O85" s="22"/>
      <c r="P85" s="22"/>
      <c r="Q85" s="22"/>
      <c r="R85" s="22"/>
      <c r="S85" s="44"/>
      <c r="T85" s="53"/>
      <c r="U85" s="22"/>
      <c r="V85" s="53"/>
      <c r="W85" s="53"/>
      <c r="X85" s="53"/>
      <c r="Y85" s="22"/>
      <c r="Z85" s="53"/>
      <c r="AA85" s="53"/>
      <c r="AB85" s="53"/>
      <c r="AC85" s="22"/>
      <c r="AD85" s="53"/>
      <c r="AE85" s="22"/>
      <c r="AF85" s="53"/>
      <c r="AH85" s="53"/>
      <c r="AI85" s="22"/>
      <c r="AJ85" s="22"/>
      <c r="AK85" s="53"/>
      <c r="AL85" s="22"/>
      <c r="AM85" s="22"/>
      <c r="AN85" s="22"/>
      <c r="AO85" s="22"/>
      <c r="AP85" s="53"/>
      <c r="AQ85" s="53"/>
      <c r="AR85" s="22"/>
      <c r="AS85" s="22"/>
      <c r="AT85" s="53"/>
      <c r="AU85" s="53"/>
      <c r="AV85" s="22"/>
    </row>
    <row r="86" spans="4:48" x14ac:dyDescent="0.25">
      <c r="D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</row>
    <row r="87" spans="4:48" x14ac:dyDescent="0.25">
      <c r="D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</row>
    <row r="88" spans="4:48" x14ac:dyDescent="0.25">
      <c r="D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</row>
    <row r="89" spans="4:48" x14ac:dyDescent="0.25">
      <c r="F89" s="3"/>
      <c r="W89" s="3"/>
      <c r="AK89" s="3"/>
    </row>
    <row r="90" spans="4:48" x14ac:dyDescent="0.25">
      <c r="F90" s="3"/>
      <c r="H90" s="3"/>
      <c r="I90" s="3"/>
      <c r="W90" s="3"/>
      <c r="AI90" s="3"/>
      <c r="AK90" s="3"/>
      <c r="AL90" s="3"/>
      <c r="AV90" s="3"/>
    </row>
    <row r="91" spans="4:48" x14ac:dyDescent="0.25">
      <c r="F91" s="3"/>
      <c r="H91" s="3"/>
      <c r="I91" s="3"/>
      <c r="W91" s="3"/>
      <c r="AI91" s="3"/>
      <c r="AK91" s="3"/>
      <c r="AL91" s="3"/>
      <c r="AV91" s="3"/>
    </row>
  </sheetData>
  <autoFilter ref="C1:C73" xr:uid="{6FAF0CCF-C9F4-4796-A786-535ACBC5265E}"/>
  <conditionalFormatting sqref="AI59:AW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T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T3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4:AT3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3:AW5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W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T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:AT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:AT4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W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0:AW6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W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2:AW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3:AW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4:AW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:AW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0:AW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:AW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AG5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AG3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AG3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AG3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AG3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AG3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AG3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AG3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AG1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AG5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AG1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AG2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AG4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AG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AG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AG5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AG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AE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AG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BE9A-919F-4EFC-8D7B-45D748396678}">
  <dimension ref="A1:BM52"/>
  <sheetViews>
    <sheetView tabSelected="1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BM5" sqref="BM5"/>
    </sheetView>
  </sheetViews>
  <sheetFormatPr defaultRowHeight="15" x14ac:dyDescent="0.25"/>
  <cols>
    <col min="1" max="1" width="12.140625" style="39" bestFit="1" customWidth="1"/>
    <col min="6" max="6" width="9.140625" hidden="1" customWidth="1"/>
    <col min="7" max="7" width="7" style="47" customWidth="1"/>
    <col min="8" max="8" width="6.85546875" style="22" customWidth="1"/>
    <col min="9" max="9" width="6.7109375" style="22" customWidth="1"/>
    <col min="10" max="10" width="8.140625" style="22" customWidth="1"/>
    <col min="11" max="11" width="9" style="22" customWidth="1"/>
    <col min="12" max="12" width="7.85546875" style="32" customWidth="1"/>
    <col min="15" max="15" width="8.28515625" style="47" customWidth="1"/>
    <col min="16" max="16" width="8.42578125" style="32" customWidth="1"/>
    <col min="17" max="17" width="8.140625" customWidth="1"/>
    <col min="18" max="18" width="7.85546875" customWidth="1"/>
    <col min="19" max="19" width="8.140625" style="47" customWidth="1"/>
    <col min="20" max="20" width="7.7109375" style="32" customWidth="1"/>
    <col min="21" max="22" width="9" customWidth="1"/>
    <col min="24" max="24" width="8.140625" style="47" customWidth="1"/>
    <col min="25" max="25" width="7.85546875" style="22" customWidth="1"/>
    <col min="26" max="26" width="7.7109375" style="22" customWidth="1"/>
    <col min="27" max="27" width="7.85546875" style="32" customWidth="1"/>
    <col min="28" max="28" width="7" style="47" customWidth="1"/>
    <col min="29" max="29" width="7.42578125" style="22" customWidth="1"/>
    <col min="30" max="30" width="7.140625" style="22" customWidth="1"/>
    <col min="31" max="31" width="6.5703125" style="32" customWidth="1"/>
    <col min="32" max="32" width="6.28515625" customWidth="1"/>
    <col min="33" max="33" width="6.42578125" customWidth="1"/>
    <col min="34" max="34" width="6.28515625" customWidth="1"/>
    <col min="35" max="35" width="6.85546875" style="47" customWidth="1"/>
    <col min="36" max="36" width="7.28515625" style="22" customWidth="1"/>
    <col min="37" max="37" width="6.5703125" style="32" customWidth="1"/>
    <col min="38" max="38" width="8.28515625" customWidth="1"/>
    <col min="39" max="39" width="8.140625" customWidth="1"/>
    <col min="40" max="40" width="8.7109375" customWidth="1"/>
    <col min="41" max="41" width="7.7109375" style="47" customWidth="1"/>
    <col min="42" max="42" width="7.42578125" style="22" customWidth="1"/>
    <col min="43" max="43" width="8.140625" style="32" customWidth="1"/>
    <col min="44" max="44" width="7.28515625" customWidth="1"/>
    <col min="45" max="45" width="8.42578125" customWidth="1"/>
    <col min="46" max="46" width="8.28515625" customWidth="1"/>
    <col min="47" max="47" width="7.42578125" customWidth="1"/>
    <col min="48" max="48" width="7.28515625" style="47" customWidth="1"/>
    <col min="49" max="49" width="7.42578125" style="22" customWidth="1"/>
    <col min="50" max="50" width="9.28515625" style="32" customWidth="1"/>
    <col min="51" max="51" width="2.140625" customWidth="1"/>
    <col min="52" max="52" width="6.85546875" customWidth="1"/>
    <col min="53" max="53" width="7.28515625" customWidth="1"/>
    <col min="54" max="54" width="7.85546875" style="47" customWidth="1"/>
    <col min="55" max="55" width="5.140625" customWidth="1"/>
    <col min="56" max="56" width="5.5703125" customWidth="1"/>
    <col min="57" max="57" width="0" hidden="1" customWidth="1"/>
    <col min="58" max="58" width="9.85546875" customWidth="1"/>
    <col min="59" max="59" width="8.5703125" customWidth="1"/>
    <col min="60" max="60" width="10.140625" style="73" customWidth="1"/>
    <col min="61" max="61" width="10.7109375" style="67" customWidth="1"/>
    <col min="62" max="62" width="9.5703125" style="67" customWidth="1"/>
    <col min="63" max="63" width="7.28515625" style="47" customWidth="1"/>
    <col min="66" max="66" width="10.140625" customWidth="1"/>
  </cols>
  <sheetData>
    <row r="1" spans="1:65" s="37" customFormat="1" ht="60.75" thickBot="1" x14ac:dyDescent="0.3">
      <c r="A1" s="36" t="s">
        <v>1</v>
      </c>
      <c r="B1" s="36" t="s">
        <v>2</v>
      </c>
      <c r="C1" s="36" t="s">
        <v>48</v>
      </c>
      <c r="D1" s="36" t="s">
        <v>40</v>
      </c>
      <c r="E1" s="36" t="s">
        <v>112</v>
      </c>
      <c r="F1" s="60" t="s">
        <v>150</v>
      </c>
      <c r="G1" s="74" t="s">
        <v>16</v>
      </c>
      <c r="H1" s="75" t="s">
        <v>17</v>
      </c>
      <c r="I1" s="75" t="s">
        <v>7</v>
      </c>
      <c r="J1" s="75" t="s">
        <v>73</v>
      </c>
      <c r="K1" s="75" t="s">
        <v>90</v>
      </c>
      <c r="L1" s="76" t="s">
        <v>142</v>
      </c>
      <c r="M1" s="75" t="s">
        <v>74</v>
      </c>
      <c r="N1" s="75" t="s">
        <v>75</v>
      </c>
      <c r="O1" s="77" t="s">
        <v>89</v>
      </c>
      <c r="P1" s="76" t="s">
        <v>88</v>
      </c>
      <c r="Q1" s="78" t="s">
        <v>87</v>
      </c>
      <c r="R1" s="75" t="s">
        <v>86</v>
      </c>
      <c r="S1" s="77" t="s">
        <v>85</v>
      </c>
      <c r="T1" s="76" t="s">
        <v>84</v>
      </c>
      <c r="U1" s="78" t="s">
        <v>83</v>
      </c>
      <c r="V1" s="75" t="s">
        <v>82</v>
      </c>
      <c r="W1" s="75" t="s">
        <v>110</v>
      </c>
      <c r="X1" s="74" t="s">
        <v>77</v>
      </c>
      <c r="Y1" s="75" t="s">
        <v>12</v>
      </c>
      <c r="Z1" s="75" t="s">
        <v>13</v>
      </c>
      <c r="AA1" s="76" t="s">
        <v>14</v>
      </c>
      <c r="AB1" s="74" t="s">
        <v>3</v>
      </c>
      <c r="AC1" s="75" t="s">
        <v>4</v>
      </c>
      <c r="AD1" s="78" t="s">
        <v>5</v>
      </c>
      <c r="AE1" s="76" t="s">
        <v>6</v>
      </c>
      <c r="AF1" s="75" t="s">
        <v>41</v>
      </c>
      <c r="AG1" s="75" t="s">
        <v>42</v>
      </c>
      <c r="AH1" s="75" t="s">
        <v>45</v>
      </c>
      <c r="AI1" s="77" t="s">
        <v>43</v>
      </c>
      <c r="AJ1" s="75" t="s">
        <v>44</v>
      </c>
      <c r="AK1" s="76" t="s">
        <v>46</v>
      </c>
      <c r="AL1" s="75" t="s">
        <v>53</v>
      </c>
      <c r="AM1" s="75" t="s">
        <v>54</v>
      </c>
      <c r="AN1" s="75" t="s">
        <v>57</v>
      </c>
      <c r="AO1" s="74" t="s">
        <v>18</v>
      </c>
      <c r="AP1" s="75" t="s">
        <v>23</v>
      </c>
      <c r="AQ1" s="76" t="s">
        <v>9</v>
      </c>
      <c r="AR1" s="78" t="s">
        <v>8</v>
      </c>
      <c r="AS1" s="75" t="s">
        <v>11</v>
      </c>
      <c r="AT1" s="75" t="s">
        <v>24</v>
      </c>
      <c r="AU1" s="75" t="s">
        <v>10</v>
      </c>
      <c r="AV1" s="77" t="s">
        <v>56</v>
      </c>
      <c r="AW1" s="75" t="s">
        <v>55</v>
      </c>
      <c r="AX1" s="76" t="s">
        <v>58</v>
      </c>
      <c r="AY1" s="75"/>
      <c r="AZ1" s="75" t="s">
        <v>154</v>
      </c>
      <c r="BA1" s="75" t="s">
        <v>155</v>
      </c>
      <c r="BB1" s="77" t="s">
        <v>144</v>
      </c>
      <c r="BC1" s="75" t="s">
        <v>114</v>
      </c>
      <c r="BD1" s="75" t="s">
        <v>143</v>
      </c>
      <c r="BE1" s="79" t="s">
        <v>145</v>
      </c>
      <c r="BF1" s="75" t="s">
        <v>147</v>
      </c>
      <c r="BG1" s="75" t="s">
        <v>153</v>
      </c>
      <c r="BH1" s="80" t="s">
        <v>156</v>
      </c>
      <c r="BI1" s="81" t="s">
        <v>157</v>
      </c>
      <c r="BJ1" s="81" t="s">
        <v>158</v>
      </c>
      <c r="BK1" s="77" t="s">
        <v>115</v>
      </c>
      <c r="BL1" s="75" t="s">
        <v>116</v>
      </c>
      <c r="BM1" s="75" t="s">
        <v>117</v>
      </c>
    </row>
    <row r="2" spans="1:65" x14ac:dyDescent="0.25">
      <c r="A2" s="12" t="s">
        <v>39</v>
      </c>
      <c r="B2" s="9" t="s">
        <v>15</v>
      </c>
      <c r="C2" s="9"/>
      <c r="D2" s="43">
        <v>15858</v>
      </c>
      <c r="E2" s="9" t="s">
        <v>113</v>
      </c>
      <c r="F2" s="9">
        <v>20</v>
      </c>
      <c r="G2" s="45">
        <v>168</v>
      </c>
      <c r="H2" s="9">
        <v>185</v>
      </c>
      <c r="I2" s="9">
        <v>22.2</v>
      </c>
      <c r="J2" s="9">
        <v>10</v>
      </c>
      <c r="K2" s="30" t="s">
        <v>106</v>
      </c>
      <c r="L2" s="46">
        <v>720</v>
      </c>
      <c r="M2" s="9">
        <v>583</v>
      </c>
      <c r="N2" s="9">
        <v>552</v>
      </c>
      <c r="O2" s="45">
        <v>578</v>
      </c>
      <c r="P2" s="46">
        <v>602</v>
      </c>
      <c r="Q2" s="9">
        <v>578</v>
      </c>
      <c r="R2" s="9">
        <v>605</v>
      </c>
      <c r="S2" s="45">
        <v>624</v>
      </c>
      <c r="T2" s="46">
        <v>643</v>
      </c>
      <c r="U2" s="9">
        <v>625</v>
      </c>
      <c r="V2" s="9">
        <v>5000</v>
      </c>
      <c r="W2" s="9">
        <v>15.2</v>
      </c>
      <c r="X2" s="45">
        <v>10500</v>
      </c>
      <c r="Y2" s="9">
        <v>20</v>
      </c>
      <c r="Z2" s="9">
        <v>16.7</v>
      </c>
      <c r="AA2" s="46">
        <v>12.5</v>
      </c>
      <c r="AB2" s="45">
        <v>21</v>
      </c>
      <c r="AC2" s="9">
        <v>320</v>
      </c>
      <c r="AD2" s="9">
        <v>28</v>
      </c>
      <c r="AE2" s="46">
        <v>340</v>
      </c>
      <c r="AF2" s="9">
        <v>195</v>
      </c>
      <c r="AG2" s="9">
        <v>175</v>
      </c>
      <c r="AH2" s="9">
        <f>(AF2+AG2)/2</f>
        <v>185</v>
      </c>
      <c r="AI2" s="45">
        <v>160</v>
      </c>
      <c r="AJ2" s="9">
        <v>150</v>
      </c>
      <c r="AK2" s="46">
        <f>(AI2+AJ2)/2</f>
        <v>155</v>
      </c>
      <c r="AL2" s="9">
        <v>1560</v>
      </c>
      <c r="AM2" s="9">
        <v>1850</v>
      </c>
      <c r="AN2" s="9"/>
      <c r="AO2" s="45">
        <v>2929</v>
      </c>
      <c r="AP2" s="9">
        <v>3305</v>
      </c>
      <c r="AQ2" s="46">
        <v>3544</v>
      </c>
      <c r="AR2" s="9">
        <v>17.510000000000002</v>
      </c>
      <c r="AS2" s="42">
        <f>AO2/AR2</f>
        <v>167.27584237578526</v>
      </c>
      <c r="AT2" s="42">
        <f>AP2/AR2</f>
        <v>188.74928612221586</v>
      </c>
      <c r="AU2" s="42">
        <f>AQ2/AR2</f>
        <v>202.39862935465447</v>
      </c>
      <c r="AV2" s="49">
        <f>(AL2*0.7457)/(AP2/1000)</f>
        <v>351.97942511346446</v>
      </c>
      <c r="AW2" s="42">
        <f>(AM2*0.7457)/(AP2/1000)</f>
        <v>417.41149773071106</v>
      </c>
      <c r="AX2" s="50">
        <f>(AN2*0.7457)/(AP2/1000)</f>
        <v>0</v>
      </c>
      <c r="AY2" s="9"/>
      <c r="AZ2" s="42">
        <f>MAX(AV2:AX2)</f>
        <v>417.41149773071106</v>
      </c>
      <c r="BA2" s="42">
        <f>(AL2*0.7457)/(AQ2/1000)</f>
        <v>328.24266365688493</v>
      </c>
      <c r="BB2" s="45">
        <f>60*2</f>
        <v>120</v>
      </c>
      <c r="BC2" s="23">
        <v>334</v>
      </c>
      <c r="BD2" s="23">
        <v>464</v>
      </c>
      <c r="BE2" s="68">
        <f>BC2/BD2</f>
        <v>0.71982758620689657</v>
      </c>
      <c r="BF2" s="69">
        <f>BD2/BB2</f>
        <v>3.8666666666666667</v>
      </c>
      <c r="BG2" s="70">
        <f>30/BB2*1.5</f>
        <v>0.375</v>
      </c>
      <c r="BH2" s="72">
        <f>AP2-(BC2*(1-BG2))</f>
        <v>3096.25</v>
      </c>
      <c r="BI2" s="71">
        <f>BH2/AR2</f>
        <v>176.82752712735578</v>
      </c>
      <c r="BJ2" s="71">
        <f>(AM2*0.7457)/(BH2/1000)</f>
        <v>445.55349212757369</v>
      </c>
      <c r="BK2" s="45"/>
      <c r="BL2" s="1"/>
      <c r="BM2" s="1"/>
    </row>
    <row r="3" spans="1:65" ht="30" x14ac:dyDescent="0.25">
      <c r="A3" s="12" t="s">
        <v>0</v>
      </c>
      <c r="B3" s="12" t="s">
        <v>15</v>
      </c>
      <c r="C3" s="12" t="s">
        <v>49</v>
      </c>
      <c r="D3" s="41">
        <v>15128</v>
      </c>
      <c r="E3" s="12" t="s">
        <v>113</v>
      </c>
      <c r="F3" s="12">
        <v>1</v>
      </c>
      <c r="G3" s="45">
        <v>143</v>
      </c>
      <c r="H3" s="9">
        <v>164</v>
      </c>
      <c r="I3" s="9">
        <v>17.600000000000001</v>
      </c>
      <c r="J3" s="9">
        <v>12</v>
      </c>
      <c r="K3" s="30" t="s">
        <v>91</v>
      </c>
      <c r="L3" s="46">
        <v>620</v>
      </c>
      <c r="M3" s="9"/>
      <c r="N3" s="9">
        <v>448</v>
      </c>
      <c r="O3" s="45">
        <v>440</v>
      </c>
      <c r="P3" s="46">
        <v>461</v>
      </c>
      <c r="Q3" s="9">
        <v>463</v>
      </c>
      <c r="R3" s="9">
        <v>477</v>
      </c>
      <c r="S3" s="45">
        <v>484</v>
      </c>
      <c r="T3" s="46">
        <v>493</v>
      </c>
      <c r="U3" s="9">
        <v>486</v>
      </c>
      <c r="V3" s="9">
        <v>5000</v>
      </c>
      <c r="W3" s="9">
        <v>12</v>
      </c>
      <c r="X3" s="45">
        <v>10500</v>
      </c>
      <c r="Y3" s="9">
        <v>16.7</v>
      </c>
      <c r="Z3" s="9">
        <v>13.8</v>
      </c>
      <c r="AA3" s="46">
        <v>8.8000000000000007</v>
      </c>
      <c r="AB3" s="45">
        <v>19</v>
      </c>
      <c r="AC3" s="9">
        <v>230</v>
      </c>
      <c r="AD3" s="9">
        <v>25.3</v>
      </c>
      <c r="AE3" s="46">
        <v>230</v>
      </c>
      <c r="AF3" s="12">
        <v>175</v>
      </c>
      <c r="AG3" s="12">
        <v>145</v>
      </c>
      <c r="AH3" s="12">
        <f>(175+145)/2</f>
        <v>160</v>
      </c>
      <c r="AI3" s="48">
        <v>145</v>
      </c>
      <c r="AJ3" s="12">
        <v>135</v>
      </c>
      <c r="AK3" s="33">
        <f>(145+135)/2</f>
        <v>140</v>
      </c>
      <c r="AL3" s="9">
        <v>930</v>
      </c>
      <c r="AM3" s="9">
        <v>1100</v>
      </c>
      <c r="AN3" s="9"/>
      <c r="AO3" s="45">
        <v>1633</v>
      </c>
      <c r="AP3" s="9">
        <v>1878</v>
      </c>
      <c r="AQ3" s="46">
        <v>2146</v>
      </c>
      <c r="AR3" s="9">
        <v>14.54</v>
      </c>
      <c r="AS3" s="42">
        <f>AO3/AR3</f>
        <v>112.31086657496562</v>
      </c>
      <c r="AT3" s="42">
        <f>AP3/AR3</f>
        <v>129.16093535075655</v>
      </c>
      <c r="AU3" s="42">
        <f>AQ3/AR3</f>
        <v>147.59284731774417</v>
      </c>
      <c r="AV3" s="49">
        <f>(AL3*0.7457)/(AP3/1000)</f>
        <v>369.27635782747603</v>
      </c>
      <c r="AW3" s="42">
        <f>(AM3*0.7457)/(AP3/1000)</f>
        <v>436.77848775292864</v>
      </c>
      <c r="AX3" s="50">
        <f>(AN3*0.7457)/(AP3/1000)</f>
        <v>0</v>
      </c>
      <c r="AY3" s="9"/>
      <c r="AZ3" s="42">
        <f>MAX(AV3:AX3)</f>
        <v>436.77848775292864</v>
      </c>
      <c r="BA3" s="42">
        <f>(AL3*0.7457)/(AQ3/1000)</f>
        <v>323.15983224603917</v>
      </c>
      <c r="BB3" s="45">
        <f>0.9*60</f>
        <v>54</v>
      </c>
      <c r="BC3" s="9">
        <v>191</v>
      </c>
      <c r="BD3" s="9">
        <v>260</v>
      </c>
      <c r="BE3" s="68">
        <f>BC3/BD3</f>
        <v>0.73461538461538467</v>
      </c>
      <c r="BF3" s="69">
        <f>BD3/BB3</f>
        <v>4.8148148148148149</v>
      </c>
      <c r="BG3" s="70">
        <f>30/BB3*1.5</f>
        <v>0.83333333333333337</v>
      </c>
      <c r="BH3" s="72">
        <f>AP3-(BC3*(1-BG3))</f>
        <v>1846.1666666666667</v>
      </c>
      <c r="BI3" s="71">
        <f>BH3/AR3</f>
        <v>126.97157267308576</v>
      </c>
      <c r="BJ3" s="71">
        <f>(AM3*0.7457)/(BH3/1000)</f>
        <v>444.30983118172787</v>
      </c>
      <c r="BK3" s="49">
        <f>AP3-(BC3/2)+40</f>
        <v>1822.5</v>
      </c>
      <c r="BL3" s="5">
        <f>BK3/AR3</f>
        <v>125.34387895460799</v>
      </c>
      <c r="BM3" s="5">
        <f>(AM3*0.7457)/(BK3/1000)</f>
        <v>450.07956104252401</v>
      </c>
    </row>
    <row r="4" spans="1:65" x14ac:dyDescent="0.25">
      <c r="A4" s="12" t="s">
        <v>38</v>
      </c>
      <c r="B4" s="9" t="s">
        <v>15</v>
      </c>
      <c r="C4" s="9" t="s">
        <v>50</v>
      </c>
      <c r="D4" s="43">
        <v>15585</v>
      </c>
      <c r="E4" s="9" t="s">
        <v>113</v>
      </c>
      <c r="F4" s="9">
        <v>10</v>
      </c>
      <c r="G4" s="45">
        <v>165</v>
      </c>
      <c r="H4" s="9">
        <v>183</v>
      </c>
      <c r="I4" s="9">
        <v>22.7</v>
      </c>
      <c r="J4" s="9">
        <v>10</v>
      </c>
      <c r="K4" s="30" t="s">
        <v>131</v>
      </c>
      <c r="L4" s="46">
        <v>720</v>
      </c>
      <c r="M4" s="9">
        <v>571</v>
      </c>
      <c r="N4" s="9">
        <v>544</v>
      </c>
      <c r="O4" s="45">
        <v>538</v>
      </c>
      <c r="P4" s="46">
        <v>572</v>
      </c>
      <c r="Q4" s="9">
        <v>577</v>
      </c>
      <c r="R4" s="9">
        <v>581</v>
      </c>
      <c r="S4" s="45">
        <v>499</v>
      </c>
      <c r="T4" s="46">
        <v>610</v>
      </c>
      <c r="U4" s="9">
        <v>606</v>
      </c>
      <c r="V4" s="9">
        <v>7000</v>
      </c>
      <c r="W4" s="9">
        <v>7</v>
      </c>
      <c r="X4" s="45">
        <v>9500</v>
      </c>
      <c r="Y4" s="9">
        <v>18</v>
      </c>
      <c r="Z4" s="9">
        <v>13.3</v>
      </c>
      <c r="AA4" s="46">
        <v>8.1999999999999993</v>
      </c>
      <c r="AB4" s="45">
        <v>23.4</v>
      </c>
      <c r="AC4" s="9">
        <v>270</v>
      </c>
      <c r="AD4" s="9">
        <v>35.299999999999997</v>
      </c>
      <c r="AE4" s="46">
        <v>270</v>
      </c>
      <c r="AF4" s="9">
        <v>200</v>
      </c>
      <c r="AG4" s="9">
        <v>170</v>
      </c>
      <c r="AH4" s="9">
        <f>(AF4+AG4)/2</f>
        <v>185</v>
      </c>
      <c r="AI4" s="45">
        <v>160</v>
      </c>
      <c r="AJ4" s="9">
        <v>150</v>
      </c>
      <c r="AK4" s="46">
        <f>(AI4+AJ4)/2</f>
        <v>155</v>
      </c>
      <c r="AL4" s="9">
        <v>1400</v>
      </c>
      <c r="AM4" s="9">
        <v>1700</v>
      </c>
      <c r="AN4" s="9"/>
      <c r="AO4" s="45">
        <v>2928</v>
      </c>
      <c r="AP4" s="9">
        <v>3353</v>
      </c>
      <c r="AQ4" s="46">
        <v>3593</v>
      </c>
      <c r="AR4" s="9">
        <v>17.510000000000002</v>
      </c>
      <c r="AS4" s="42">
        <f>AO4/AR4</f>
        <v>167.21873215305538</v>
      </c>
      <c r="AT4" s="42">
        <f>AP4/AR4</f>
        <v>191.49057681324956</v>
      </c>
      <c r="AU4" s="42">
        <f>AQ4/AR4</f>
        <v>205.19703026841802</v>
      </c>
      <c r="AV4" s="49">
        <f>(AL4*0.7457)/(AP4/1000)</f>
        <v>311.35699373695195</v>
      </c>
      <c r="AW4" s="42">
        <f>(AM4*0.7457)/(AP4/1000)</f>
        <v>378.07634953772742</v>
      </c>
      <c r="AX4" s="50">
        <f>(AN4*0.7457)/(AP4/1000)</f>
        <v>0</v>
      </c>
      <c r="AY4" s="9"/>
      <c r="AZ4" s="42">
        <f>MAX(AV4:AX4)</f>
        <v>378.07634953772742</v>
      </c>
      <c r="BA4" s="42">
        <f>(AL4*0.7457)/(AQ4/1000)</f>
        <v>290.55942109657667</v>
      </c>
      <c r="BB4" s="45">
        <f>60*1.9</f>
        <v>114</v>
      </c>
      <c r="BC4" s="23">
        <v>370</v>
      </c>
      <c r="BD4" s="23">
        <v>521</v>
      </c>
      <c r="BE4" s="68">
        <f>BC4/BD4</f>
        <v>0.71017274472168901</v>
      </c>
      <c r="BF4" s="69">
        <f>BD4/BB4</f>
        <v>4.5701754385964914</v>
      </c>
      <c r="BG4" s="70">
        <f>30/BB4*1.5</f>
        <v>0.39473684210526316</v>
      </c>
      <c r="BH4" s="72">
        <f>AP4-(BC4*(1-BG4))</f>
        <v>3129.0526315789475</v>
      </c>
      <c r="BI4" s="71">
        <f>BH4/AR4</f>
        <v>178.7008927229553</v>
      </c>
      <c r="BJ4" s="71">
        <f>(AM4*0.7457)/(BH4/1000)</f>
        <v>405.13540335060219</v>
      </c>
      <c r="BK4" s="45"/>
      <c r="BL4" s="1"/>
      <c r="BM4" s="1"/>
    </row>
    <row r="5" spans="1:65" ht="60" x14ac:dyDescent="0.25">
      <c r="A5" s="12" t="s">
        <v>138</v>
      </c>
      <c r="B5" s="9" t="s">
        <v>21</v>
      </c>
      <c r="C5" s="9" t="s">
        <v>52</v>
      </c>
      <c r="D5" s="43">
        <v>16316</v>
      </c>
      <c r="E5" s="9" t="s">
        <v>113</v>
      </c>
      <c r="F5" s="9">
        <v>26</v>
      </c>
      <c r="G5" s="45">
        <v>174</v>
      </c>
      <c r="H5" s="9">
        <v>197</v>
      </c>
      <c r="I5" s="9">
        <v>19.5</v>
      </c>
      <c r="J5" s="9">
        <v>11</v>
      </c>
      <c r="K5" s="30" t="s">
        <v>140</v>
      </c>
      <c r="L5" s="46">
        <v>850</v>
      </c>
      <c r="M5" s="9">
        <v>565</v>
      </c>
      <c r="N5" s="9">
        <v>607</v>
      </c>
      <c r="O5" s="45">
        <v>582</v>
      </c>
      <c r="P5" s="46">
        <v>624</v>
      </c>
      <c r="Q5" s="9">
        <v>620</v>
      </c>
      <c r="R5" s="9">
        <v>638</v>
      </c>
      <c r="S5" s="45">
        <v>660</v>
      </c>
      <c r="T5" s="46">
        <v>690</v>
      </c>
      <c r="U5" s="9">
        <v>665</v>
      </c>
      <c r="V5" s="9">
        <v>6500</v>
      </c>
      <c r="W5" s="9">
        <v>14.2</v>
      </c>
      <c r="X5" s="45">
        <v>11600</v>
      </c>
      <c r="Y5" s="9">
        <v>19</v>
      </c>
      <c r="Z5" s="9">
        <v>17.3</v>
      </c>
      <c r="AA5" s="46">
        <v>14.6</v>
      </c>
      <c r="AB5" s="45">
        <v>20</v>
      </c>
      <c r="AC5" s="9">
        <v>300</v>
      </c>
      <c r="AD5" s="9">
        <v>29</v>
      </c>
      <c r="AE5" s="46">
        <v>300</v>
      </c>
      <c r="AF5" s="9">
        <v>220</v>
      </c>
      <c r="AG5" s="9">
        <v>180</v>
      </c>
      <c r="AH5" s="9">
        <f>(AF5+AG5)/2</f>
        <v>200</v>
      </c>
      <c r="AI5" s="45">
        <v>180</v>
      </c>
      <c r="AJ5" s="9">
        <v>160</v>
      </c>
      <c r="AK5" s="46">
        <f>(AI5+AJ5)/2</f>
        <v>170</v>
      </c>
      <c r="AL5" s="23"/>
      <c r="AM5" s="9">
        <v>1900</v>
      </c>
      <c r="AN5" s="23">
        <v>2130</v>
      </c>
      <c r="AO5" s="45">
        <v>3759</v>
      </c>
      <c r="AP5" s="9">
        <v>4289</v>
      </c>
      <c r="AQ5" s="46">
        <v>4832</v>
      </c>
      <c r="AR5" s="9">
        <v>18.3</v>
      </c>
      <c r="AS5" s="42">
        <f>AO5/AR5</f>
        <v>205.40983606557376</v>
      </c>
      <c r="AT5" s="42">
        <f>AP5/AR5</f>
        <v>234.37158469945354</v>
      </c>
      <c r="AU5" s="42">
        <f>AQ5/AR5</f>
        <v>264.04371584699453</v>
      </c>
      <c r="AV5" s="49">
        <f>(AL5*0.7457)/(AP5/1000)</f>
        <v>0</v>
      </c>
      <c r="AW5" s="42">
        <f>(AM5*0.7457)/(AP5/1000)</f>
        <v>330.34040568897183</v>
      </c>
      <c r="AX5" s="50">
        <f>(AN5*0.7457)/(AP5/1000)</f>
        <v>370.32898111447895</v>
      </c>
      <c r="AY5" s="9"/>
      <c r="AZ5" s="42">
        <f>MAX(AV5:AX5)</f>
        <v>370.32898111447895</v>
      </c>
      <c r="BA5" s="42">
        <f>(2*AL5*0.7457)/(AQ5/1000)</f>
        <v>0</v>
      </c>
      <c r="BB5" s="45">
        <f>60*2.5</f>
        <v>150</v>
      </c>
      <c r="BC5" s="9">
        <v>388</v>
      </c>
      <c r="BD5" s="23">
        <v>524</v>
      </c>
      <c r="BE5" s="68">
        <f>BC5/BD5</f>
        <v>0.74045801526717558</v>
      </c>
      <c r="BF5" s="69">
        <f>BD5/BB5</f>
        <v>3.4933333333333332</v>
      </c>
      <c r="BG5" s="70">
        <f>30/BB5*1.5</f>
        <v>0.30000000000000004</v>
      </c>
      <c r="BH5" s="72">
        <f>AP5-(BC5*(1-BG5))</f>
        <v>4017.4</v>
      </c>
      <c r="BI5" s="71">
        <f>BH5/AR5</f>
        <v>219.53005464480873</v>
      </c>
      <c r="BJ5" s="71">
        <f>(AM5*0.7457)/(BH5/1000)</f>
        <v>352.67337083685965</v>
      </c>
      <c r="BK5" s="45"/>
      <c r="BL5" s="1"/>
      <c r="BM5" s="1"/>
    </row>
    <row r="6" spans="1:65" x14ac:dyDescent="0.25">
      <c r="A6" s="12" t="s">
        <v>28</v>
      </c>
      <c r="B6" s="9" t="s">
        <v>21</v>
      </c>
      <c r="C6" s="9" t="s">
        <v>50</v>
      </c>
      <c r="D6" s="43">
        <v>15462</v>
      </c>
      <c r="E6" s="9" t="s">
        <v>113</v>
      </c>
      <c r="F6" s="9">
        <v>12</v>
      </c>
      <c r="G6" s="45">
        <v>158</v>
      </c>
      <c r="H6" s="9">
        <v>174</v>
      </c>
      <c r="I6" s="9">
        <v>19.8</v>
      </c>
      <c r="J6" s="9">
        <v>10.5</v>
      </c>
      <c r="K6" s="30" t="s">
        <v>98</v>
      </c>
      <c r="L6" s="46">
        <v>850</v>
      </c>
      <c r="M6" s="9">
        <v>530</v>
      </c>
      <c r="N6" s="9"/>
      <c r="O6" s="45">
        <v>547</v>
      </c>
      <c r="P6" s="46"/>
      <c r="Q6" s="9">
        <v>592</v>
      </c>
      <c r="R6" s="9"/>
      <c r="S6" s="45">
        <v>641</v>
      </c>
      <c r="T6" s="46"/>
      <c r="U6" s="9">
        <v>643</v>
      </c>
      <c r="V6" s="9">
        <v>7000</v>
      </c>
      <c r="W6" s="9">
        <v>13.9</v>
      </c>
      <c r="X6" s="45">
        <v>12100</v>
      </c>
      <c r="Y6" s="9">
        <v>21</v>
      </c>
      <c r="Z6" s="9">
        <v>19.5</v>
      </c>
      <c r="AA6" s="46">
        <v>16.5</v>
      </c>
      <c r="AB6" s="45">
        <v>22.2</v>
      </c>
      <c r="AC6" s="9">
        <v>270</v>
      </c>
      <c r="AD6" s="9">
        <v>28.3</v>
      </c>
      <c r="AE6" s="46">
        <v>270</v>
      </c>
      <c r="AF6" s="9">
        <v>180</v>
      </c>
      <c r="AG6" s="9">
        <v>155</v>
      </c>
      <c r="AH6" s="9">
        <f>(AF6+AG6)/2</f>
        <v>167.5</v>
      </c>
      <c r="AI6" s="45">
        <v>155</v>
      </c>
      <c r="AJ6" s="9">
        <v>150</v>
      </c>
      <c r="AK6" s="46">
        <f>(AI6+AJ6)/2</f>
        <v>152.5</v>
      </c>
      <c r="AL6" s="9">
        <v>1310</v>
      </c>
      <c r="AM6" s="9"/>
      <c r="AN6" s="9"/>
      <c r="AO6" s="45">
        <v>2649</v>
      </c>
      <c r="AP6" s="9">
        <v>2994</v>
      </c>
      <c r="AQ6" s="46">
        <v>3283</v>
      </c>
      <c r="AR6" s="9">
        <v>16.100000000000001</v>
      </c>
      <c r="AS6" s="42">
        <f>AO6/AR6</f>
        <v>164.5341614906832</v>
      </c>
      <c r="AT6" s="42">
        <f>AP6/AR6</f>
        <v>185.96273291925465</v>
      </c>
      <c r="AU6" s="42">
        <f>AQ6/AR6</f>
        <v>203.91304347826085</v>
      </c>
      <c r="AV6" s="49">
        <f>(AL6*0.7457)/(AP6/1000)</f>
        <v>326.27488309953242</v>
      </c>
      <c r="AW6" s="42">
        <f>(AM6*0.7457)/(AP6/1000)</f>
        <v>0</v>
      </c>
      <c r="AX6" s="50">
        <f>(AN6*0.7457)/(AP6/1000)</f>
        <v>0</v>
      </c>
      <c r="AY6" s="9"/>
      <c r="AZ6" s="42">
        <f>MAX(AV6:AX6)</f>
        <v>326.27488309953242</v>
      </c>
      <c r="BA6" s="42">
        <f>(AL6*0.7457)/(AQ6/1000)</f>
        <v>297.55315260432536</v>
      </c>
      <c r="BB6" s="45">
        <f>2.4*60</f>
        <v>144</v>
      </c>
      <c r="BC6" s="9">
        <v>304</v>
      </c>
      <c r="BD6" s="9">
        <v>400</v>
      </c>
      <c r="BE6" s="68">
        <f>BC6/BD6</f>
        <v>0.76</v>
      </c>
      <c r="BF6" s="69">
        <f>BD6/BB6</f>
        <v>2.7777777777777777</v>
      </c>
      <c r="BG6" s="70">
        <f>30/BB6*1.5</f>
        <v>0.3125</v>
      </c>
      <c r="BH6" s="72">
        <f>AP6-(BC6*(1-BG6))</f>
        <v>2785</v>
      </c>
      <c r="BI6" s="71">
        <f>BH6/AR6</f>
        <v>172.98136645962731</v>
      </c>
      <c r="BJ6" s="71">
        <f>(AL6*0.7457)/(BH6/1000)</f>
        <v>350.76014362657094</v>
      </c>
      <c r="BK6" s="45"/>
      <c r="BL6" s="1"/>
      <c r="BM6" s="1"/>
    </row>
    <row r="7" spans="1:65" ht="30" x14ac:dyDescent="0.25">
      <c r="A7" s="12" t="s">
        <v>32</v>
      </c>
      <c r="B7" s="9" t="s">
        <v>21</v>
      </c>
      <c r="C7" s="9" t="s">
        <v>51</v>
      </c>
      <c r="D7" s="43">
        <v>15827</v>
      </c>
      <c r="E7" s="9" t="s">
        <v>113</v>
      </c>
      <c r="F7" s="9">
        <v>16</v>
      </c>
      <c r="G7" s="45">
        <v>165</v>
      </c>
      <c r="H7" s="9">
        <v>175</v>
      </c>
      <c r="I7" s="9">
        <v>19.8</v>
      </c>
      <c r="J7" s="9">
        <v>10.5</v>
      </c>
      <c r="K7" s="30" t="s">
        <v>100</v>
      </c>
      <c r="L7" s="46">
        <v>850</v>
      </c>
      <c r="M7" s="9">
        <v>517</v>
      </c>
      <c r="N7" s="9">
        <v>540</v>
      </c>
      <c r="O7" s="45">
        <v>543</v>
      </c>
      <c r="P7" s="46">
        <v>556</v>
      </c>
      <c r="Q7" s="9">
        <v>585</v>
      </c>
      <c r="R7" s="9">
        <v>591</v>
      </c>
      <c r="S7" s="45">
        <v>633</v>
      </c>
      <c r="T7" s="46">
        <v>636</v>
      </c>
      <c r="U7" s="9">
        <v>634</v>
      </c>
      <c r="V7" s="9">
        <v>7000</v>
      </c>
      <c r="W7" s="9">
        <v>13</v>
      </c>
      <c r="X7" s="45">
        <v>11800</v>
      </c>
      <c r="Y7" s="9">
        <v>20.100000000000001</v>
      </c>
      <c r="Z7" s="9">
        <v>18.899999999999999</v>
      </c>
      <c r="AA7" s="46">
        <v>15.4</v>
      </c>
      <c r="AB7" s="45">
        <v>21.2</v>
      </c>
      <c r="AC7" s="9">
        <v>270</v>
      </c>
      <c r="AD7" s="9">
        <v>27.2</v>
      </c>
      <c r="AE7" s="46">
        <v>270</v>
      </c>
      <c r="AF7" s="9">
        <v>180</v>
      </c>
      <c r="AG7" s="9">
        <v>155</v>
      </c>
      <c r="AH7" s="9">
        <f>(AF7+AG7)/2</f>
        <v>167.5</v>
      </c>
      <c r="AI7" s="45">
        <v>155</v>
      </c>
      <c r="AJ7" s="9">
        <v>150</v>
      </c>
      <c r="AK7" s="46">
        <f>(AI7+AJ7)/2</f>
        <v>152.5</v>
      </c>
      <c r="AL7" s="9">
        <v>1310</v>
      </c>
      <c r="AM7" s="9"/>
      <c r="AN7" s="9">
        <v>1480</v>
      </c>
      <c r="AO7" s="45">
        <v>2669</v>
      </c>
      <c r="AP7" s="9">
        <v>3014</v>
      </c>
      <c r="AQ7" s="46">
        <v>3303</v>
      </c>
      <c r="AR7" s="9">
        <v>16.100000000000001</v>
      </c>
      <c r="AS7" s="42">
        <f>AO7/AR7</f>
        <v>165.77639751552795</v>
      </c>
      <c r="AT7" s="42">
        <f>AP7/AR7</f>
        <v>187.20496894409936</v>
      </c>
      <c r="AU7" s="42">
        <f>AQ7/AR7</f>
        <v>205.15527950310556</v>
      </c>
      <c r="AV7" s="49">
        <f>(AL7*0.7457)/(AP7/1000)</f>
        <v>324.10982083609827</v>
      </c>
      <c r="AW7" s="42">
        <f>(AM7*0.7457)/(AP7/1000)</f>
        <v>0</v>
      </c>
      <c r="AX7" s="50">
        <f>(AN7*0.7457)/(AP7/1000)</f>
        <v>366.16987392169875</v>
      </c>
      <c r="AY7" s="9"/>
      <c r="AZ7" s="42">
        <f>MAX(AV7:AX7)</f>
        <v>366.16987392169875</v>
      </c>
      <c r="BA7" s="42">
        <f>(AL7*0.7457)/(AQ7/1000)</f>
        <v>295.751438086588</v>
      </c>
      <c r="BB7" s="45">
        <f>2.4*60</f>
        <v>144</v>
      </c>
      <c r="BC7" s="9">
        <v>304</v>
      </c>
      <c r="BD7" s="9">
        <v>400</v>
      </c>
      <c r="BE7" s="68">
        <f>BC7/BD7</f>
        <v>0.76</v>
      </c>
      <c r="BF7" s="69">
        <f>BD7/BB7</f>
        <v>2.7777777777777777</v>
      </c>
      <c r="BG7" s="70">
        <f>30/BB7*1.5</f>
        <v>0.3125</v>
      </c>
      <c r="BH7" s="72">
        <f>AP7-(BC7*(1-BG7))</f>
        <v>2805</v>
      </c>
      <c r="BI7" s="71">
        <f>BH7/AR7</f>
        <v>174.22360248447202</v>
      </c>
      <c r="BJ7" s="71">
        <f>(AL7*0.7457)/(BH7/1000)</f>
        <v>348.25918003565062</v>
      </c>
      <c r="BK7" s="45"/>
      <c r="BL7" s="1"/>
      <c r="BM7" s="1"/>
    </row>
    <row r="8" spans="1:65" x14ac:dyDescent="0.25">
      <c r="A8" s="12" t="s">
        <v>122</v>
      </c>
      <c r="B8" s="9" t="s">
        <v>15</v>
      </c>
      <c r="C8" s="9"/>
      <c r="D8" s="43">
        <v>15797</v>
      </c>
      <c r="E8" s="9" t="s">
        <v>113</v>
      </c>
      <c r="F8" s="9">
        <v>9</v>
      </c>
      <c r="G8" s="45">
        <v>153</v>
      </c>
      <c r="H8" s="9">
        <v>169</v>
      </c>
      <c r="I8" s="9">
        <v>18</v>
      </c>
      <c r="J8" s="9">
        <v>10.3</v>
      </c>
      <c r="K8" s="30" t="s">
        <v>93</v>
      </c>
      <c r="L8" s="46">
        <v>720</v>
      </c>
      <c r="M8" s="9">
        <v>530</v>
      </c>
      <c r="N8" s="9"/>
      <c r="O8" s="45">
        <v>553</v>
      </c>
      <c r="P8" s="46"/>
      <c r="Q8" s="9">
        <v>577</v>
      </c>
      <c r="R8" s="9"/>
      <c r="S8" s="45">
        <v>595</v>
      </c>
      <c r="T8" s="46"/>
      <c r="U8" s="9">
        <v>599</v>
      </c>
      <c r="V8" s="9">
        <v>4000</v>
      </c>
      <c r="W8" s="9">
        <v>14.3</v>
      </c>
      <c r="X8" s="45">
        <v>10600</v>
      </c>
      <c r="Y8" s="9">
        <v>17</v>
      </c>
      <c r="Z8" s="9">
        <v>15</v>
      </c>
      <c r="AA8" s="46">
        <v>9.5</v>
      </c>
      <c r="AB8" s="45">
        <v>19</v>
      </c>
      <c r="AC8" s="9">
        <v>270</v>
      </c>
      <c r="AD8" s="9">
        <v>24.1</v>
      </c>
      <c r="AE8" s="46">
        <v>270</v>
      </c>
      <c r="AF8" s="9">
        <v>190</v>
      </c>
      <c r="AG8" s="9">
        <v>160</v>
      </c>
      <c r="AH8" s="9">
        <f>(AF8+AG8)/2</f>
        <v>175</v>
      </c>
      <c r="AI8" s="45">
        <v>145</v>
      </c>
      <c r="AJ8" s="9">
        <v>135</v>
      </c>
      <c r="AK8" s="46">
        <f>(AI8+AJ8)/2</f>
        <v>140</v>
      </c>
      <c r="AL8" s="9">
        <v>1240</v>
      </c>
      <c r="AM8" s="9"/>
      <c r="AN8" s="9"/>
      <c r="AO8" s="45">
        <v>2543</v>
      </c>
      <c r="AP8" s="9">
        <v>2887</v>
      </c>
      <c r="AQ8" s="46">
        <v>3117</v>
      </c>
      <c r="AR8" s="9">
        <v>17.149999999999999</v>
      </c>
      <c r="AS8" s="42">
        <f>AO8/AR8</f>
        <v>148.27988338192421</v>
      </c>
      <c r="AT8" s="42">
        <f>AP8/AR8</f>
        <v>168.33819241982508</v>
      </c>
      <c r="AU8" s="42">
        <f>AQ8/AR8</f>
        <v>181.74927113702626</v>
      </c>
      <c r="AV8" s="49">
        <f>(AL8*0.7457)/(AP8/1000)</f>
        <v>320.28680290959471</v>
      </c>
      <c r="AW8" s="42">
        <f>(AM8*0.7457)/(AP8/1000)</f>
        <v>0</v>
      </c>
      <c r="AX8" s="50">
        <f>(AN8*0.7457)/(AP8/1000)</f>
        <v>0</v>
      </c>
      <c r="AY8" s="9"/>
      <c r="AZ8" s="42">
        <f>MAX(AV8:AX8)</f>
        <v>320.28680290959471</v>
      </c>
      <c r="BA8" s="42">
        <f>(AL8*0.7457)/(AQ8/1000)</f>
        <v>296.6531921719602</v>
      </c>
      <c r="BB8" s="45">
        <f>60*2</f>
        <v>120</v>
      </c>
      <c r="BC8" s="9">
        <v>304</v>
      </c>
      <c r="BD8" s="23">
        <v>408</v>
      </c>
      <c r="BE8" s="68">
        <f>BC8/BD8</f>
        <v>0.74509803921568629</v>
      </c>
      <c r="BF8" s="69">
        <f>BD8/BB8</f>
        <v>3.4</v>
      </c>
      <c r="BG8" s="70">
        <f>30/BB8*1.5</f>
        <v>0.375</v>
      </c>
      <c r="BH8" s="72">
        <f>AP8-(BC8*(1-BG8))</f>
        <v>2697</v>
      </c>
      <c r="BI8" s="71">
        <f>BH8/AR8</f>
        <v>157.25947521865891</v>
      </c>
      <c r="BJ8" s="71">
        <f>(AL8*0.7457)/(BH8/1000)</f>
        <v>342.85057471264366</v>
      </c>
      <c r="BK8" s="45"/>
      <c r="BL8" s="1"/>
      <c r="BM8" s="1"/>
    </row>
    <row r="9" spans="1:65" ht="45" x14ac:dyDescent="0.25">
      <c r="A9" s="12" t="s">
        <v>20</v>
      </c>
      <c r="B9" s="9" t="s">
        <v>21</v>
      </c>
      <c r="C9" s="9" t="s">
        <v>49</v>
      </c>
      <c r="D9" s="43">
        <v>14824</v>
      </c>
      <c r="E9" s="9" t="s">
        <v>113</v>
      </c>
      <c r="F9" s="9">
        <v>4</v>
      </c>
      <c r="G9" s="45">
        <v>152</v>
      </c>
      <c r="H9" s="9">
        <v>159</v>
      </c>
      <c r="I9" s="9">
        <v>20</v>
      </c>
      <c r="J9" s="9">
        <v>11</v>
      </c>
      <c r="K9" s="30" t="s">
        <v>94</v>
      </c>
      <c r="L9" s="46">
        <v>850</v>
      </c>
      <c r="M9" s="9"/>
      <c r="N9" s="9">
        <v>477</v>
      </c>
      <c r="O9" s="45">
        <v>491</v>
      </c>
      <c r="P9" s="46">
        <v>500</v>
      </c>
      <c r="Q9" s="9">
        <v>519</v>
      </c>
      <c r="R9" s="9">
        <v>531</v>
      </c>
      <c r="S9" s="45">
        <v>546</v>
      </c>
      <c r="T9" s="46">
        <v>561</v>
      </c>
      <c r="U9" s="9">
        <v>549</v>
      </c>
      <c r="V9" s="9">
        <v>5000</v>
      </c>
      <c r="W9" s="9">
        <v>9.5</v>
      </c>
      <c r="X9" s="45">
        <v>10500</v>
      </c>
      <c r="Y9" s="9">
        <v>14</v>
      </c>
      <c r="Z9" s="9">
        <v>13.3</v>
      </c>
      <c r="AA9" s="46">
        <v>7</v>
      </c>
      <c r="AB9" s="45">
        <v>20.5</v>
      </c>
      <c r="AC9" s="9">
        <v>270</v>
      </c>
      <c r="AD9" s="9">
        <v>25.5</v>
      </c>
      <c r="AE9" s="46">
        <v>270</v>
      </c>
      <c r="AF9" s="9">
        <v>170</v>
      </c>
      <c r="AG9" s="9">
        <v>140</v>
      </c>
      <c r="AH9" s="9">
        <f>AVERAGE(170,140)</f>
        <v>155</v>
      </c>
      <c r="AI9" s="45">
        <v>140</v>
      </c>
      <c r="AJ9" s="9">
        <v>130</v>
      </c>
      <c r="AK9" s="46">
        <f>(140+130)/2</f>
        <v>135</v>
      </c>
      <c r="AL9" s="9">
        <v>910</v>
      </c>
      <c r="AM9" s="9">
        <v>1100</v>
      </c>
      <c r="AN9" s="9">
        <v>990</v>
      </c>
      <c r="AO9" s="45">
        <v>2340</v>
      </c>
      <c r="AP9" s="9">
        <v>2614</v>
      </c>
      <c r="AQ9" s="46">
        <v>2893</v>
      </c>
      <c r="AR9" s="9">
        <v>16.399999999999999</v>
      </c>
      <c r="AS9" s="42">
        <f>AO9/AR9</f>
        <v>142.6829268292683</v>
      </c>
      <c r="AT9" s="42">
        <f>AP9/AR9</f>
        <v>159.39024390243904</v>
      </c>
      <c r="AU9" s="42">
        <f>AQ9/AR9</f>
        <v>176.40243902439025</v>
      </c>
      <c r="AV9" s="49">
        <f>(AL9*0.7457)/(AP9/1000)</f>
        <v>259.59716908951799</v>
      </c>
      <c r="AW9" s="42">
        <f>(AM9*0.7457)/(AP9/1000)</f>
        <v>313.79877582249429</v>
      </c>
      <c r="AX9" s="50">
        <f>(AN9*0.7457)/(AP9/1000)</f>
        <v>282.41889824024486</v>
      </c>
      <c r="AY9" s="9"/>
      <c r="AZ9" s="42">
        <f>MAX(AV9:AX9)</f>
        <v>313.79877582249429</v>
      </c>
      <c r="BA9" s="42">
        <f>(AL9*0.7457)/(AQ9/1000)</f>
        <v>234.56170065675769</v>
      </c>
      <c r="BB9" s="45">
        <f>2.2*60</f>
        <v>132</v>
      </c>
      <c r="BC9" s="9">
        <v>304</v>
      </c>
      <c r="BD9" s="9">
        <v>400</v>
      </c>
      <c r="BE9" s="68">
        <f>BC9/BD9</f>
        <v>0.76</v>
      </c>
      <c r="BF9" s="69">
        <f>BD9/BB9</f>
        <v>3.0303030303030303</v>
      </c>
      <c r="BG9" s="70">
        <f>30/BB9*1.5</f>
        <v>0.34090909090909088</v>
      </c>
      <c r="BH9" s="72">
        <f>AP9-(BC9*(1-BG9))</f>
        <v>2413.6363636363635</v>
      </c>
      <c r="BI9" s="71">
        <f>BH9/AR9</f>
        <v>147.17294900221731</v>
      </c>
      <c r="BJ9" s="71">
        <f>(AM9*0.7457)/(BH9/1000)</f>
        <v>339.84821092278719</v>
      </c>
      <c r="BK9" s="45"/>
      <c r="BL9" s="1"/>
      <c r="BM9" s="1"/>
    </row>
    <row r="10" spans="1:65" ht="30" x14ac:dyDescent="0.25">
      <c r="A10" s="12" t="s">
        <v>124</v>
      </c>
      <c r="B10" s="9" t="s">
        <v>21</v>
      </c>
      <c r="C10" s="9"/>
      <c r="D10" s="43">
        <v>15738</v>
      </c>
      <c r="E10" s="9" t="s">
        <v>113</v>
      </c>
      <c r="F10" s="9">
        <v>17</v>
      </c>
      <c r="G10" s="45">
        <v>160</v>
      </c>
      <c r="H10" s="9">
        <v>177</v>
      </c>
      <c r="I10" s="9">
        <v>19.8</v>
      </c>
      <c r="J10" s="9">
        <v>10.5</v>
      </c>
      <c r="K10" s="30" t="s">
        <v>100</v>
      </c>
      <c r="L10" s="46">
        <v>850</v>
      </c>
      <c r="M10" s="9">
        <v>505</v>
      </c>
      <c r="N10" s="9">
        <v>529</v>
      </c>
      <c r="O10" s="45">
        <v>530</v>
      </c>
      <c r="P10" s="46">
        <v>545</v>
      </c>
      <c r="Q10" s="9">
        <v>568</v>
      </c>
      <c r="R10" s="9">
        <v>580</v>
      </c>
      <c r="S10" s="45">
        <v>616</v>
      </c>
      <c r="T10" s="46">
        <v>620</v>
      </c>
      <c r="U10" s="9">
        <v>616</v>
      </c>
      <c r="V10" s="9">
        <v>6000</v>
      </c>
      <c r="W10" s="9">
        <v>16.100000000000001</v>
      </c>
      <c r="X10" s="45">
        <v>11800</v>
      </c>
      <c r="Y10" s="9">
        <v>20.100000000000001</v>
      </c>
      <c r="Z10" s="9">
        <v>18.8</v>
      </c>
      <c r="AA10" s="46">
        <v>15.2</v>
      </c>
      <c r="AB10" s="45">
        <v>21.5</v>
      </c>
      <c r="AC10" s="9">
        <v>270</v>
      </c>
      <c r="AD10" s="9">
        <v>28</v>
      </c>
      <c r="AE10" s="46">
        <v>270</v>
      </c>
      <c r="AF10" s="9">
        <v>180</v>
      </c>
      <c r="AG10" s="9">
        <v>155</v>
      </c>
      <c r="AH10" s="9">
        <f>(AF10+AG10)/2</f>
        <v>167.5</v>
      </c>
      <c r="AI10" s="45">
        <v>155</v>
      </c>
      <c r="AJ10" s="9">
        <v>150</v>
      </c>
      <c r="AK10" s="46">
        <f>(AI10+AJ10)/2</f>
        <v>152.5</v>
      </c>
      <c r="AL10" s="9">
        <v>1310</v>
      </c>
      <c r="AM10" s="9"/>
      <c r="AN10" s="9">
        <v>1480</v>
      </c>
      <c r="AO10" s="45">
        <v>2734</v>
      </c>
      <c r="AP10" s="9">
        <v>3100</v>
      </c>
      <c r="AQ10" s="46">
        <v>3400</v>
      </c>
      <c r="AR10" s="9">
        <v>16.100000000000001</v>
      </c>
      <c r="AS10" s="42">
        <f>AO10/AR10</f>
        <v>169.81366459627327</v>
      </c>
      <c r="AT10" s="42">
        <f>AP10/AR10</f>
        <v>192.54658385093165</v>
      </c>
      <c r="AU10" s="42">
        <f>AQ10/AR10</f>
        <v>211.18012422360246</v>
      </c>
      <c r="AV10" s="49">
        <f>(AL10*0.7457)/(AP10/1000)</f>
        <v>315.1183870967742</v>
      </c>
      <c r="AW10" s="42">
        <f>(AM10*0.7457)/(AP10/1000)</f>
        <v>0</v>
      </c>
      <c r="AX10" s="50">
        <f>(AN10*0.7457)/(AP10/1000)</f>
        <v>356.0116129032258</v>
      </c>
      <c r="AY10" s="9"/>
      <c r="AZ10" s="42">
        <f>MAX(AV10:AX10)</f>
        <v>356.0116129032258</v>
      </c>
      <c r="BA10" s="42">
        <f>(AL10*0.7457)/(AQ10/1000)</f>
        <v>287.31382352941182</v>
      </c>
      <c r="BB10" s="45">
        <f>60*2.2</f>
        <v>132</v>
      </c>
      <c r="BC10" s="9">
        <v>304</v>
      </c>
      <c r="BD10" s="23">
        <v>400</v>
      </c>
      <c r="BE10" s="68">
        <f>BC10/BD10</f>
        <v>0.76</v>
      </c>
      <c r="BF10" s="69">
        <f>BD10/BB10</f>
        <v>3.0303030303030303</v>
      </c>
      <c r="BG10" s="70">
        <f>30/BB10*1.5</f>
        <v>0.34090909090909088</v>
      </c>
      <c r="BH10" s="72">
        <f>AP10-(BC10*(1-BG10))</f>
        <v>2899.6363636363635</v>
      </c>
      <c r="BI10" s="71">
        <f>BH10/AR10</f>
        <v>180.10163749294182</v>
      </c>
      <c r="BJ10" s="71">
        <f>(AL10*0.7457)/(BH10/1000)</f>
        <v>336.89293328317035</v>
      </c>
      <c r="BK10" s="45"/>
      <c r="BL10" s="1"/>
      <c r="BM10" s="1"/>
    </row>
    <row r="11" spans="1:65" x14ac:dyDescent="0.25">
      <c r="A11" s="12" t="s">
        <v>26</v>
      </c>
      <c r="B11" s="9" t="s">
        <v>15</v>
      </c>
      <c r="C11" s="9" t="s">
        <v>50</v>
      </c>
      <c r="D11" s="43">
        <v>15462</v>
      </c>
      <c r="E11" s="9" t="s">
        <v>113</v>
      </c>
      <c r="F11" s="9">
        <v>8</v>
      </c>
      <c r="G11" s="45">
        <v>155</v>
      </c>
      <c r="H11" s="9">
        <v>171</v>
      </c>
      <c r="I11" s="9">
        <v>18</v>
      </c>
      <c r="J11" s="9">
        <v>10.3</v>
      </c>
      <c r="K11" s="30" t="s">
        <v>93</v>
      </c>
      <c r="L11" s="46">
        <v>720</v>
      </c>
      <c r="M11" s="9">
        <v>514</v>
      </c>
      <c r="N11" s="9"/>
      <c r="O11" s="45">
        <v>535</v>
      </c>
      <c r="P11" s="46"/>
      <c r="Q11" s="9">
        <v>560</v>
      </c>
      <c r="R11" s="9"/>
      <c r="S11" s="45">
        <v>570</v>
      </c>
      <c r="T11" s="46"/>
      <c r="U11" s="9">
        <v>577</v>
      </c>
      <c r="V11" s="9">
        <v>4000</v>
      </c>
      <c r="W11" s="9">
        <v>14.2</v>
      </c>
      <c r="X11" s="45">
        <v>10200</v>
      </c>
      <c r="Y11" s="9">
        <v>16.899999999999999</v>
      </c>
      <c r="Z11" s="9">
        <v>15</v>
      </c>
      <c r="AA11" s="46">
        <v>9.4</v>
      </c>
      <c r="AB11" s="45">
        <v>19.2</v>
      </c>
      <c r="AC11" s="9">
        <v>270</v>
      </c>
      <c r="AD11" s="9">
        <v>24.6</v>
      </c>
      <c r="AE11" s="46">
        <v>270</v>
      </c>
      <c r="AF11" s="9">
        <v>190</v>
      </c>
      <c r="AG11" s="9">
        <v>160</v>
      </c>
      <c r="AH11" s="9">
        <f>(190+160)/2</f>
        <v>175</v>
      </c>
      <c r="AI11" s="45">
        <v>145</v>
      </c>
      <c r="AJ11" s="9">
        <v>135</v>
      </c>
      <c r="AK11" s="46">
        <f>(145+135)/2</f>
        <v>140</v>
      </c>
      <c r="AL11" s="9">
        <v>1240</v>
      </c>
      <c r="AM11" s="9"/>
      <c r="AN11" s="9"/>
      <c r="AO11" s="45">
        <v>2583</v>
      </c>
      <c r="AP11" s="9">
        <v>2932</v>
      </c>
      <c r="AQ11" s="46">
        <v>3170</v>
      </c>
      <c r="AR11" s="9">
        <v>17.149999999999999</v>
      </c>
      <c r="AS11" s="42">
        <f>AO11/AR11</f>
        <v>150.61224489795919</v>
      </c>
      <c r="AT11" s="42">
        <f>AP11/AR11</f>
        <v>170.96209912536443</v>
      </c>
      <c r="AU11" s="42">
        <f>AQ11/AR11</f>
        <v>184.83965014577262</v>
      </c>
      <c r="AV11" s="49">
        <f>(AL11*0.7457)/(AP11/1000)</f>
        <v>315.37107776261939</v>
      </c>
      <c r="AW11" s="42">
        <f>(AM11*0.7457)/(AP11/1000)</f>
        <v>0</v>
      </c>
      <c r="AX11" s="50">
        <f>(AN11*0.7457)/(AP11/1000)</f>
        <v>0</v>
      </c>
      <c r="AY11" s="9"/>
      <c r="AZ11" s="42">
        <f>MAX(AV11:AX11)</f>
        <v>315.37107776261939</v>
      </c>
      <c r="BA11" s="42">
        <f>(AL11*0.7457)/(AQ11/1000)</f>
        <v>291.69337539432178</v>
      </c>
      <c r="BB11" s="45">
        <f>1.9*60</f>
        <v>114</v>
      </c>
      <c r="BC11" s="9">
        <v>304</v>
      </c>
      <c r="BD11" s="9">
        <v>408</v>
      </c>
      <c r="BE11" s="68">
        <f>BC11/BD11</f>
        <v>0.74509803921568629</v>
      </c>
      <c r="BF11" s="69">
        <f>BD11/BB11</f>
        <v>3.5789473684210527</v>
      </c>
      <c r="BG11" s="70">
        <f>30/BB11*1.5</f>
        <v>0.39473684210526316</v>
      </c>
      <c r="BH11" s="72">
        <f>AP11-(BC11*(1-BG11))</f>
        <v>2748</v>
      </c>
      <c r="BI11" s="71">
        <f>BH11/AR11</f>
        <v>160.23323615160351</v>
      </c>
      <c r="BJ11" s="71">
        <f>(AL11*0.7457)/(BH11/1000)</f>
        <v>336.48762736535662</v>
      </c>
      <c r="BK11" s="45"/>
      <c r="BL11" s="1"/>
      <c r="BM11" s="1"/>
    </row>
    <row r="12" spans="1:65" ht="30" x14ac:dyDescent="0.25">
      <c r="A12" s="12" t="s">
        <v>19</v>
      </c>
      <c r="B12" s="9" t="s">
        <v>15</v>
      </c>
      <c r="C12" s="9" t="s">
        <v>49</v>
      </c>
      <c r="D12" s="43">
        <v>15158</v>
      </c>
      <c r="E12" s="9" t="s">
        <v>113</v>
      </c>
      <c r="F12" s="9">
        <v>2</v>
      </c>
      <c r="G12" s="45">
        <v>159</v>
      </c>
      <c r="H12" s="9">
        <v>175</v>
      </c>
      <c r="I12" s="9">
        <v>17.3</v>
      </c>
      <c r="J12" s="9">
        <v>12.8</v>
      </c>
      <c r="K12" s="30" t="s">
        <v>92</v>
      </c>
      <c r="L12" s="46">
        <v>750</v>
      </c>
      <c r="M12" s="9">
        <v>493</v>
      </c>
      <c r="N12" s="9">
        <v>525</v>
      </c>
      <c r="O12" s="45">
        <v>517</v>
      </c>
      <c r="P12" s="46">
        <v>542</v>
      </c>
      <c r="Q12" s="9">
        <v>554</v>
      </c>
      <c r="R12" s="9">
        <v>574</v>
      </c>
      <c r="S12" s="45">
        <v>596</v>
      </c>
      <c r="T12" s="46">
        <v>609</v>
      </c>
      <c r="U12" s="9">
        <v>610</v>
      </c>
      <c r="V12" s="9">
        <v>7500</v>
      </c>
      <c r="W12" s="9">
        <v>9.1</v>
      </c>
      <c r="X12" s="45">
        <v>11800</v>
      </c>
      <c r="Y12" s="9">
        <v>15.9</v>
      </c>
      <c r="Z12" s="9">
        <v>14</v>
      </c>
      <c r="AA12" s="46">
        <v>10.199999999999999</v>
      </c>
      <c r="AB12" s="45">
        <v>22.4</v>
      </c>
      <c r="AC12" s="9">
        <v>270</v>
      </c>
      <c r="AD12" s="9">
        <v>28.7</v>
      </c>
      <c r="AE12" s="46">
        <v>270</v>
      </c>
      <c r="AF12" s="9">
        <v>200</v>
      </c>
      <c r="AG12" s="9">
        <v>180</v>
      </c>
      <c r="AH12" s="9">
        <f>(200+180)/2</f>
        <v>190</v>
      </c>
      <c r="AI12" s="45">
        <v>145</v>
      </c>
      <c r="AJ12" s="9">
        <v>135</v>
      </c>
      <c r="AK12" s="46">
        <f>(145+135)/2</f>
        <v>140</v>
      </c>
      <c r="AL12" s="9">
        <v>1120</v>
      </c>
      <c r="AM12" s="9">
        <v>1350</v>
      </c>
      <c r="AN12" s="9"/>
      <c r="AO12" s="45">
        <v>2831</v>
      </c>
      <c r="AP12" s="9">
        <v>3244</v>
      </c>
      <c r="AQ12" s="46">
        <v>3476</v>
      </c>
      <c r="AR12" s="9">
        <v>17.440000000000001</v>
      </c>
      <c r="AS12" s="42">
        <f>AO12/AR12</f>
        <v>162.32798165137615</v>
      </c>
      <c r="AT12" s="42">
        <f>AP12/AR12</f>
        <v>186.00917431192659</v>
      </c>
      <c r="AU12" s="42">
        <f>AQ12/AR12</f>
        <v>199.31192660550457</v>
      </c>
      <c r="AV12" s="49">
        <f>(AL12*0.7457)/(AP12/1000)</f>
        <v>257.45499383477187</v>
      </c>
      <c r="AW12" s="42">
        <f>(AM12*0.7457)/(AP12/1000)</f>
        <v>310.32521578298395</v>
      </c>
      <c r="AX12" s="50">
        <f>(AN12*0.7457)/(AP12/1000)</f>
        <v>0</v>
      </c>
      <c r="AY12" s="9"/>
      <c r="AZ12" s="42">
        <f>MAX(AV12:AX12)</f>
        <v>310.32521578298395</v>
      </c>
      <c r="BA12" s="42">
        <f>(AL12*0.7457)/(AQ12/1000)</f>
        <v>240.27157652474111</v>
      </c>
      <c r="BB12" s="45">
        <f>2.5*60</f>
        <v>150</v>
      </c>
      <c r="BC12" s="9">
        <v>352</v>
      </c>
      <c r="BD12" s="9">
        <v>480</v>
      </c>
      <c r="BE12" s="68">
        <f>BC12/BD12</f>
        <v>0.73333333333333328</v>
      </c>
      <c r="BF12" s="69">
        <f>BD12/BB12</f>
        <v>3.2</v>
      </c>
      <c r="BG12" s="70">
        <f>30/BB12*1.5</f>
        <v>0.30000000000000004</v>
      </c>
      <c r="BH12" s="72">
        <f>AP12-(BC12*(1-BG12))</f>
        <v>2997.6</v>
      </c>
      <c r="BI12" s="71">
        <f>BH12/AR12</f>
        <v>171.8807339449541</v>
      </c>
      <c r="BJ12" s="71">
        <f>(AM12*0.7457)/(BH12/1000)</f>
        <v>335.83366693354685</v>
      </c>
      <c r="BK12" s="45">
        <f>AP12-(BC12/2)+34</f>
        <v>3102</v>
      </c>
      <c r="BL12" s="5">
        <f>BK12/AR12</f>
        <v>177.86697247706419</v>
      </c>
      <c r="BM12" s="5">
        <f>(AM12*0.7457)/(BK12/1000)</f>
        <v>324.53094777562865</v>
      </c>
    </row>
    <row r="13" spans="1:65" ht="30" x14ac:dyDescent="0.25">
      <c r="A13" s="12" t="s">
        <v>27</v>
      </c>
      <c r="B13" s="9" t="s">
        <v>21</v>
      </c>
      <c r="C13" s="9" t="s">
        <v>50</v>
      </c>
      <c r="D13" s="43">
        <v>15128</v>
      </c>
      <c r="E13" s="9" t="s">
        <v>113</v>
      </c>
      <c r="F13" s="9">
        <v>11</v>
      </c>
      <c r="G13" s="45">
        <v>154</v>
      </c>
      <c r="H13" s="9">
        <v>171</v>
      </c>
      <c r="I13" s="9">
        <v>19.899999999999999</v>
      </c>
      <c r="J13" s="9">
        <v>11</v>
      </c>
      <c r="K13" s="30" t="s">
        <v>97</v>
      </c>
      <c r="L13" s="46">
        <v>850</v>
      </c>
      <c r="M13" s="9">
        <v>522</v>
      </c>
      <c r="N13" s="9"/>
      <c r="O13" s="45">
        <v>553</v>
      </c>
      <c r="P13" s="46">
        <v>566</v>
      </c>
      <c r="Q13" s="9">
        <v>598</v>
      </c>
      <c r="R13" s="9">
        <v>610</v>
      </c>
      <c r="S13" s="45">
        <v>637</v>
      </c>
      <c r="T13" s="46">
        <v>652</v>
      </c>
      <c r="U13" s="9">
        <v>637</v>
      </c>
      <c r="V13" s="9">
        <v>6000</v>
      </c>
      <c r="W13" s="9">
        <v>13.6</v>
      </c>
      <c r="X13" s="45">
        <v>11600</v>
      </c>
      <c r="Y13" s="9">
        <v>19.5</v>
      </c>
      <c r="Z13" s="9">
        <v>18.8</v>
      </c>
      <c r="AA13" s="46">
        <v>14.9</v>
      </c>
      <c r="AB13" s="45">
        <v>20.3</v>
      </c>
      <c r="AC13" s="9">
        <v>270</v>
      </c>
      <c r="AD13" s="9">
        <v>26.1</v>
      </c>
      <c r="AE13" s="46">
        <v>270</v>
      </c>
      <c r="AF13" s="9">
        <v>180</v>
      </c>
      <c r="AG13" s="9">
        <v>150</v>
      </c>
      <c r="AH13" s="9">
        <f>(180+150)/2</f>
        <v>165</v>
      </c>
      <c r="AI13" s="45">
        <v>155</v>
      </c>
      <c r="AJ13" s="9">
        <v>145</v>
      </c>
      <c r="AK13" s="46">
        <f>(155+145)/2</f>
        <v>150</v>
      </c>
      <c r="AL13" s="9">
        <v>1200</v>
      </c>
      <c r="AM13" s="9"/>
      <c r="AN13" s="9">
        <v>1350</v>
      </c>
      <c r="AO13" s="45">
        <v>2545</v>
      </c>
      <c r="AP13" s="9">
        <v>2890</v>
      </c>
      <c r="AQ13" s="46">
        <v>3189</v>
      </c>
      <c r="AR13" s="9">
        <v>16.100000000000001</v>
      </c>
      <c r="AS13" s="42">
        <f>AO13/AR13</f>
        <v>158.07453416149067</v>
      </c>
      <c r="AT13" s="42">
        <f>AP13/AR13</f>
        <v>179.50310559006209</v>
      </c>
      <c r="AU13" s="42">
        <f>AQ13/AR13</f>
        <v>198.07453416149067</v>
      </c>
      <c r="AV13" s="49">
        <f>(AL13*0.7457)/(AP13/1000)</f>
        <v>309.6332179930796</v>
      </c>
      <c r="AW13" s="42">
        <f>(AM13*0.7457)/(AP13/1000)</f>
        <v>0</v>
      </c>
      <c r="AX13" s="50">
        <f>(AN13*0.7457)/(AP13/1000)</f>
        <v>348.33737024221455</v>
      </c>
      <c r="AY13" s="9"/>
      <c r="AZ13" s="42">
        <f>MAX(AV13:AX13)</f>
        <v>348.33737024221455</v>
      </c>
      <c r="BA13" s="42">
        <f>(AL13*0.7457)/(AQ13/1000)</f>
        <v>280.60206961429918</v>
      </c>
      <c r="BB13" s="45">
        <f>2.6*60</f>
        <v>156</v>
      </c>
      <c r="BC13" s="9">
        <v>304</v>
      </c>
      <c r="BD13" s="9">
        <v>400</v>
      </c>
      <c r="BE13" s="68">
        <f>BC13/BD13</f>
        <v>0.76</v>
      </c>
      <c r="BF13" s="69">
        <f>BD13/BB13</f>
        <v>2.5641025641025643</v>
      </c>
      <c r="BG13" s="70">
        <f>30/BB13*1.5</f>
        <v>0.28846153846153849</v>
      </c>
      <c r="BH13" s="72">
        <f>AP13-(BC13*(1-BG13))</f>
        <v>2673.6923076923076</v>
      </c>
      <c r="BI13" s="71">
        <f>BH13/AR13</f>
        <v>166.06784519827997</v>
      </c>
      <c r="BJ13" s="71">
        <f>(AL13*0.7457)/(BH13/1000)</f>
        <v>334.68323839116175</v>
      </c>
      <c r="BK13" s="45"/>
      <c r="BL13" s="1"/>
      <c r="BM13" s="1"/>
    </row>
    <row r="14" spans="1:65" ht="30" x14ac:dyDescent="0.25">
      <c r="A14" s="38" t="s">
        <v>133</v>
      </c>
      <c r="B14" s="9" t="s">
        <v>21</v>
      </c>
      <c r="C14" s="9" t="s">
        <v>52</v>
      </c>
      <c r="D14" s="43">
        <v>16346</v>
      </c>
      <c r="E14" s="9" t="s">
        <v>113</v>
      </c>
      <c r="F14" s="9">
        <v>28</v>
      </c>
      <c r="G14" s="45">
        <v>167</v>
      </c>
      <c r="H14" s="9">
        <v>190</v>
      </c>
      <c r="I14" s="9">
        <v>19.8</v>
      </c>
      <c r="J14" s="9">
        <v>10.5</v>
      </c>
      <c r="K14" s="30" t="s">
        <v>135</v>
      </c>
      <c r="L14" s="46">
        <v>850</v>
      </c>
      <c r="M14" s="9">
        <v>543</v>
      </c>
      <c r="N14" s="9">
        <v>599</v>
      </c>
      <c r="O14" s="45">
        <v>579</v>
      </c>
      <c r="P14" s="46">
        <v>649</v>
      </c>
      <c r="Q14" s="9">
        <v>618</v>
      </c>
      <c r="R14" s="9">
        <v>672</v>
      </c>
      <c r="S14" s="45">
        <v>662</v>
      </c>
      <c r="T14" s="46">
        <v>710</v>
      </c>
      <c r="U14" s="9">
        <v>690</v>
      </c>
      <c r="V14" s="9">
        <v>7500</v>
      </c>
      <c r="W14" s="9">
        <v>14.4</v>
      </c>
      <c r="X14" s="45">
        <v>12300</v>
      </c>
      <c r="Y14" s="9">
        <v>20.5</v>
      </c>
      <c r="Z14" s="9">
        <v>17.5</v>
      </c>
      <c r="AA14" s="46">
        <v>13.4</v>
      </c>
      <c r="AB14" s="45">
        <v>24</v>
      </c>
      <c r="AC14" s="9">
        <v>270</v>
      </c>
      <c r="AD14" s="9">
        <v>32.200000000000003</v>
      </c>
      <c r="AE14" s="46">
        <v>270</v>
      </c>
      <c r="AF14" s="9">
        <v>190</v>
      </c>
      <c r="AG14" s="9">
        <v>160</v>
      </c>
      <c r="AH14" s="9">
        <f>(AF14+AG14)/2</f>
        <v>175</v>
      </c>
      <c r="AI14" s="45">
        <v>160</v>
      </c>
      <c r="AJ14" s="9">
        <v>155</v>
      </c>
      <c r="AK14" s="46">
        <f>(AI14+AJ14)/2</f>
        <v>157.5</v>
      </c>
      <c r="AL14" s="23"/>
      <c r="AM14" s="9">
        <v>1370</v>
      </c>
      <c r="AN14" s="23">
        <v>2000</v>
      </c>
      <c r="AO14" s="45">
        <v>3006</v>
      </c>
      <c r="AP14" s="9">
        <v>3361</v>
      </c>
      <c r="AQ14" s="46">
        <v>3891</v>
      </c>
      <c r="AR14" s="9">
        <v>16.100000000000001</v>
      </c>
      <c r="AS14" s="42">
        <f>AO14/AR14</f>
        <v>186.70807453416148</v>
      </c>
      <c r="AT14" s="42">
        <f>AP14/AR14</f>
        <v>208.75776397515526</v>
      </c>
      <c r="AU14" s="42">
        <f>AQ14/AR14</f>
        <v>241.67701863354034</v>
      </c>
      <c r="AV14" s="49">
        <f>(AL14*0.7457)/(AP14/1000)</f>
        <v>0</v>
      </c>
      <c r="AW14" s="42">
        <f>(AM14*0.7457)/(AP14/1000)</f>
        <v>303.95983338292172</v>
      </c>
      <c r="AX14" s="50">
        <f>(AN14*0.7457)/(AP14/1000)</f>
        <v>443.73698304076169</v>
      </c>
      <c r="AY14" s="9"/>
      <c r="AZ14" s="42">
        <f>MAX(AV14:AX14)</f>
        <v>443.73698304076169</v>
      </c>
      <c r="BA14" s="42">
        <f>(2*AL14*0.7457)/(AQ14/1000)</f>
        <v>0</v>
      </c>
      <c r="BB14" s="45">
        <f>60*2.15</f>
        <v>129</v>
      </c>
      <c r="BC14" s="9">
        <v>304</v>
      </c>
      <c r="BD14" s="9">
        <v>400</v>
      </c>
      <c r="BE14" s="68">
        <f>BC14/BD14</f>
        <v>0.76</v>
      </c>
      <c r="BF14" s="69">
        <f>BD14/BB14</f>
        <v>3.1007751937984498</v>
      </c>
      <c r="BG14" s="70">
        <f>30/BB14*1.5</f>
        <v>0.34883720930232559</v>
      </c>
      <c r="BH14" s="72">
        <f>AP14-(BC14*(1-BG14))</f>
        <v>3163.046511627907</v>
      </c>
      <c r="BI14" s="71">
        <f>BH14/AR14</f>
        <v>196.46251625018053</v>
      </c>
      <c r="BJ14" s="71">
        <f>(AM14*0.7457)/(BH14/1000)</f>
        <v>322.98260434817769</v>
      </c>
      <c r="BK14" s="45"/>
      <c r="BL14" s="1"/>
      <c r="BM14" s="1"/>
    </row>
    <row r="15" spans="1:65" x14ac:dyDescent="0.25">
      <c r="A15" s="12" t="s">
        <v>29</v>
      </c>
      <c r="B15" s="9" t="s">
        <v>15</v>
      </c>
      <c r="C15" s="9" t="s">
        <v>51</v>
      </c>
      <c r="D15" s="43">
        <v>15462</v>
      </c>
      <c r="E15" s="9" t="s">
        <v>113</v>
      </c>
      <c r="F15" s="9">
        <v>14</v>
      </c>
      <c r="G15" s="45">
        <v>155</v>
      </c>
      <c r="H15" s="9">
        <v>172</v>
      </c>
      <c r="I15" s="9">
        <v>20</v>
      </c>
      <c r="J15" s="9">
        <v>11.5</v>
      </c>
      <c r="K15" s="30" t="s">
        <v>93</v>
      </c>
      <c r="L15" s="46">
        <v>740</v>
      </c>
      <c r="M15" s="9">
        <v>526</v>
      </c>
      <c r="N15" s="9"/>
      <c r="O15" s="45">
        <v>539</v>
      </c>
      <c r="P15" s="46"/>
      <c r="Q15" s="9">
        <v>565</v>
      </c>
      <c r="R15" s="9"/>
      <c r="S15" s="45">
        <v>577</v>
      </c>
      <c r="T15" s="46"/>
      <c r="U15" s="9">
        <v>581</v>
      </c>
      <c r="V15" s="9">
        <v>4000</v>
      </c>
      <c r="W15" s="9">
        <v>13.1</v>
      </c>
      <c r="X15" s="45">
        <v>10660</v>
      </c>
      <c r="Y15" s="9">
        <v>16.899999999999999</v>
      </c>
      <c r="Z15" s="9">
        <v>14.3</v>
      </c>
      <c r="AA15" s="46">
        <v>8.6</v>
      </c>
      <c r="AB15" s="45">
        <v>20</v>
      </c>
      <c r="AC15" s="9">
        <v>310</v>
      </c>
      <c r="AD15" s="9">
        <v>25</v>
      </c>
      <c r="AE15" s="46">
        <v>310</v>
      </c>
      <c r="AF15" s="9">
        <v>175</v>
      </c>
      <c r="AG15" s="9">
        <v>170</v>
      </c>
      <c r="AH15" s="9">
        <f>(AF15+AG15)/2</f>
        <v>172.5</v>
      </c>
      <c r="AI15" s="45">
        <v>165</v>
      </c>
      <c r="AJ15" s="9">
        <v>145</v>
      </c>
      <c r="AK15" s="46">
        <f>(AI15+AJ15)/2</f>
        <v>155</v>
      </c>
      <c r="AL15" s="9">
        <v>1210</v>
      </c>
      <c r="AM15" s="9"/>
      <c r="AN15" s="9"/>
      <c r="AO15" s="45">
        <v>2630</v>
      </c>
      <c r="AP15" s="9">
        <v>3002</v>
      </c>
      <c r="AQ15" s="46">
        <v>3229</v>
      </c>
      <c r="AR15" s="9">
        <v>17.149999999999999</v>
      </c>
      <c r="AS15" s="42">
        <f>AO15/AR15</f>
        <v>153.35276967930031</v>
      </c>
      <c r="AT15" s="42">
        <f>AP15/AR15</f>
        <v>175.04373177842567</v>
      </c>
      <c r="AU15" s="42">
        <f>AQ15/AR15</f>
        <v>188.27988338192421</v>
      </c>
      <c r="AV15" s="49">
        <f>(AL15*0.7457)/(AP15/1000)</f>
        <v>300.56528980679548</v>
      </c>
      <c r="AW15" s="42">
        <f>(AM15*0.7457)/(AP15/1000)</f>
        <v>0</v>
      </c>
      <c r="AX15" s="50">
        <f>(AN15*0.7457)/(AP15/1000)</f>
        <v>0</v>
      </c>
      <c r="AY15" s="9"/>
      <c r="AZ15" s="42">
        <f>MAX(AV15:AX15)</f>
        <v>300.56528980679548</v>
      </c>
      <c r="BA15" s="42">
        <f>(AL15*0.7457)/(AQ15/1000)</f>
        <v>279.43542892536391</v>
      </c>
      <c r="BB15" s="49">
        <f>1.9*60</f>
        <v>114</v>
      </c>
      <c r="BC15" s="9">
        <v>305</v>
      </c>
      <c r="BD15" s="9">
        <v>420</v>
      </c>
      <c r="BE15" s="68">
        <f>BC15/BD15</f>
        <v>0.72619047619047616</v>
      </c>
      <c r="BF15" s="69">
        <f>BD15/BB15</f>
        <v>3.6842105263157894</v>
      </c>
      <c r="BG15" s="70">
        <f>30/BB15*1.5</f>
        <v>0.39473684210526316</v>
      </c>
      <c r="BH15" s="72">
        <f>AP15-(BC15*(1-BG15))</f>
        <v>2817.3947368421054</v>
      </c>
      <c r="BI15" s="71">
        <f>BH15/AR15</f>
        <v>164.27957649225107</v>
      </c>
      <c r="BJ15" s="71">
        <f>(AL15*0.7457)/(BH15/1000)</f>
        <v>320.25934747480409</v>
      </c>
      <c r="BK15" s="45"/>
      <c r="BL15" s="5"/>
      <c r="BM15" s="5"/>
    </row>
    <row r="16" spans="1:65" ht="30" x14ac:dyDescent="0.25">
      <c r="A16" s="12" t="s">
        <v>121</v>
      </c>
      <c r="B16" s="9" t="s">
        <v>21</v>
      </c>
      <c r="C16" s="9" t="s">
        <v>50</v>
      </c>
      <c r="D16" s="43">
        <v>15401</v>
      </c>
      <c r="E16" s="9" t="s">
        <v>113</v>
      </c>
      <c r="F16" s="9">
        <v>13</v>
      </c>
      <c r="G16" s="45">
        <v>166</v>
      </c>
      <c r="H16" s="9">
        <v>189</v>
      </c>
      <c r="I16" s="9">
        <v>19.5</v>
      </c>
      <c r="J16" s="9">
        <v>11</v>
      </c>
      <c r="K16" s="30" t="s">
        <v>101</v>
      </c>
      <c r="L16" s="46">
        <v>850</v>
      </c>
      <c r="M16" s="9">
        <v>535</v>
      </c>
      <c r="N16" s="9">
        <v>560</v>
      </c>
      <c r="O16" s="45">
        <v>560</v>
      </c>
      <c r="P16" s="46">
        <v>583</v>
      </c>
      <c r="Q16" s="9">
        <v>563</v>
      </c>
      <c r="R16" s="9">
        <v>580</v>
      </c>
      <c r="S16" s="45">
        <v>630</v>
      </c>
      <c r="T16" s="46">
        <v>650</v>
      </c>
      <c r="U16" s="9">
        <v>633</v>
      </c>
      <c r="V16" s="9">
        <v>6500</v>
      </c>
      <c r="W16" s="9">
        <v>10</v>
      </c>
      <c r="X16" s="45">
        <v>10800</v>
      </c>
      <c r="Y16" s="9">
        <v>16</v>
      </c>
      <c r="Z16" s="9">
        <v>12.7</v>
      </c>
      <c r="AA16" s="46">
        <v>10.3</v>
      </c>
      <c r="AB16" s="45">
        <v>23</v>
      </c>
      <c r="AC16" s="9">
        <v>280</v>
      </c>
      <c r="AD16" s="9">
        <v>28</v>
      </c>
      <c r="AE16" s="46">
        <v>280</v>
      </c>
      <c r="AF16" s="9">
        <v>210</v>
      </c>
      <c r="AG16" s="9">
        <v>170</v>
      </c>
      <c r="AH16" s="9">
        <f>(AF16+AG16)/2</f>
        <v>190</v>
      </c>
      <c r="AI16" s="45">
        <v>170</v>
      </c>
      <c r="AJ16" s="9">
        <v>160</v>
      </c>
      <c r="AK16" s="46">
        <f>(AI16+AJ16)/2</f>
        <v>165</v>
      </c>
      <c r="AL16" s="9">
        <v>1520</v>
      </c>
      <c r="AM16" s="9"/>
      <c r="AN16" s="9">
        <v>1700</v>
      </c>
      <c r="AO16" s="45">
        <v>3330</v>
      </c>
      <c r="AP16" s="9">
        <v>3855</v>
      </c>
      <c r="AQ16" s="46">
        <v>4385</v>
      </c>
      <c r="AR16" s="9">
        <v>18.3</v>
      </c>
      <c r="AS16" s="42">
        <f>AO16/AR16</f>
        <v>181.96721311475409</v>
      </c>
      <c r="AT16" s="42">
        <f>AP16/AR16</f>
        <v>210.65573770491801</v>
      </c>
      <c r="AU16" s="42">
        <f>AQ16/AR16</f>
        <v>239.61748633879782</v>
      </c>
      <c r="AV16" s="49">
        <f>(AL16*0.7457)/(AP16/1000)</f>
        <v>294.02438391699093</v>
      </c>
      <c r="AW16" s="42">
        <f>(AM16*0.7457)/(AP16/1000)</f>
        <v>0</v>
      </c>
      <c r="AX16" s="50">
        <f>(AN16*0.7457)/(AP16/1000)</f>
        <v>328.84306095979247</v>
      </c>
      <c r="AY16" s="9"/>
      <c r="AZ16" s="42">
        <f>MAX(AV16:AX16)</f>
        <v>328.84306095979247</v>
      </c>
      <c r="BA16" s="42">
        <f>(AL16*0.7457)/(AQ16/1000)</f>
        <v>258.48665906499429</v>
      </c>
      <c r="BB16" s="45">
        <f>60*3.2</f>
        <v>192</v>
      </c>
      <c r="BC16" s="9">
        <v>409</v>
      </c>
      <c r="BD16" s="23">
        <v>524</v>
      </c>
      <c r="BE16" s="68">
        <f>BC16/BD16</f>
        <v>0.78053435114503822</v>
      </c>
      <c r="BF16" s="69">
        <f>BD16/BB16</f>
        <v>2.7291666666666665</v>
      </c>
      <c r="BG16" s="70">
        <f>30/BB16*1.5</f>
        <v>0.234375</v>
      </c>
      <c r="BH16" s="72">
        <f>AP16-(BC16*(1-BG16))</f>
        <v>3541.859375</v>
      </c>
      <c r="BI16" s="71">
        <f>BH16/AR16</f>
        <v>193.54422814207649</v>
      </c>
      <c r="BJ16" s="71">
        <f>(AL16*0.7457)/(BH16/1000)</f>
        <v>320.01948129292964</v>
      </c>
      <c r="BK16" s="45"/>
      <c r="BL16" s="1"/>
      <c r="BM16" s="1"/>
    </row>
    <row r="17" spans="1:65" ht="30" x14ac:dyDescent="0.25">
      <c r="A17" s="12" t="s">
        <v>134</v>
      </c>
      <c r="B17" s="9" t="s">
        <v>21</v>
      </c>
      <c r="C17" s="9" t="s">
        <v>52</v>
      </c>
      <c r="D17" s="43">
        <v>16254</v>
      </c>
      <c r="E17" s="9" t="s">
        <v>113</v>
      </c>
      <c r="F17" s="9">
        <v>27</v>
      </c>
      <c r="G17" s="45">
        <v>164</v>
      </c>
      <c r="H17" s="9">
        <v>181</v>
      </c>
      <c r="I17" s="9">
        <v>19.8</v>
      </c>
      <c r="J17" s="9">
        <v>10.5</v>
      </c>
      <c r="K17" s="30" t="s">
        <v>135</v>
      </c>
      <c r="L17" s="46">
        <v>850</v>
      </c>
      <c r="M17" s="9">
        <v>505</v>
      </c>
      <c r="N17" s="9">
        <v>576</v>
      </c>
      <c r="O17" s="45">
        <v>528</v>
      </c>
      <c r="P17" s="46">
        <v>588</v>
      </c>
      <c r="Q17" s="9">
        <v>562</v>
      </c>
      <c r="R17" s="9">
        <v>614</v>
      </c>
      <c r="S17" s="45">
        <v>610</v>
      </c>
      <c r="T17" s="46">
        <v>647</v>
      </c>
      <c r="U17" s="9">
        <v>620</v>
      </c>
      <c r="V17" s="9">
        <v>7000</v>
      </c>
      <c r="W17" s="9">
        <v>14.8</v>
      </c>
      <c r="X17" s="45">
        <v>11500</v>
      </c>
      <c r="Y17" s="9">
        <v>19.2</v>
      </c>
      <c r="Z17" s="9">
        <v>17.5</v>
      </c>
      <c r="AA17" s="46">
        <v>13.1</v>
      </c>
      <c r="AB17" s="45">
        <v>23</v>
      </c>
      <c r="AC17" s="9">
        <v>270</v>
      </c>
      <c r="AD17" s="9">
        <v>31.5</v>
      </c>
      <c r="AE17" s="46">
        <v>270</v>
      </c>
      <c r="AF17" s="9">
        <v>180</v>
      </c>
      <c r="AG17" s="9">
        <v>155</v>
      </c>
      <c r="AH17" s="9">
        <f>(AF17+AG17)/2</f>
        <v>167.5</v>
      </c>
      <c r="AI17" s="45">
        <v>155</v>
      </c>
      <c r="AJ17" s="9">
        <v>150</v>
      </c>
      <c r="AK17" s="46">
        <f>(AI17+AJ17)/2</f>
        <v>152.5</v>
      </c>
      <c r="AL17" s="23"/>
      <c r="AM17" s="9">
        <v>1310</v>
      </c>
      <c r="AN17" s="23">
        <v>1800</v>
      </c>
      <c r="AO17" s="45">
        <v>2899</v>
      </c>
      <c r="AP17" s="9">
        <v>3266</v>
      </c>
      <c r="AQ17" s="46">
        <v>3565</v>
      </c>
      <c r="AR17" s="9">
        <v>16.100000000000001</v>
      </c>
      <c r="AS17" s="42">
        <f>AO17/AR17</f>
        <v>180.06211180124222</v>
      </c>
      <c r="AT17" s="42">
        <f>AP17/AR17</f>
        <v>202.85714285714283</v>
      </c>
      <c r="AU17" s="42">
        <f>AQ17/AR17</f>
        <v>221.42857142857142</v>
      </c>
      <c r="AV17" s="49">
        <f>(AL17*0.7457)/(AP17/1000)</f>
        <v>0</v>
      </c>
      <c r="AW17" s="42">
        <f>(AM17*0.7457)/(AP17/1000)</f>
        <v>299.1019595835885</v>
      </c>
      <c r="AX17" s="50">
        <f>(AN17*0.7457)/(AP17/1000)</f>
        <v>410.97979179424374</v>
      </c>
      <c r="AY17" s="9"/>
      <c r="AZ17" s="42">
        <f>MAX(AV17:AX17)</f>
        <v>410.97979179424374</v>
      </c>
      <c r="BA17" s="42">
        <f>(2*AL17*0.7457)/(AQ17/1000)</f>
        <v>0</v>
      </c>
      <c r="BB17" s="45">
        <f>60*2.15</f>
        <v>129</v>
      </c>
      <c r="BC17" s="9">
        <v>304</v>
      </c>
      <c r="BD17" s="9">
        <v>400</v>
      </c>
      <c r="BE17" s="68">
        <f>BC17/BD17</f>
        <v>0.76</v>
      </c>
      <c r="BF17" s="69">
        <f>BD17/BB17</f>
        <v>3.1007751937984498</v>
      </c>
      <c r="BG17" s="70">
        <f>30/BB17*1.5</f>
        <v>0.34883720930232559</v>
      </c>
      <c r="BH17" s="72">
        <f>AP17-(BC17*(1-BG17))</f>
        <v>3068.046511627907</v>
      </c>
      <c r="BI17" s="71">
        <f>BH17/AR17</f>
        <v>190.5618951321681</v>
      </c>
      <c r="BJ17" s="71">
        <f>(AM17*0.7457)/(BH17/1000)</f>
        <v>318.40032290829708</v>
      </c>
      <c r="BK17" s="45"/>
      <c r="BL17" s="1"/>
      <c r="BM17" s="1"/>
    </row>
    <row r="18" spans="1:65" ht="30" x14ac:dyDescent="0.25">
      <c r="A18" s="12" t="s">
        <v>31</v>
      </c>
      <c r="B18" s="9" t="s">
        <v>21</v>
      </c>
      <c r="C18" s="9" t="s">
        <v>51</v>
      </c>
      <c r="D18" s="43">
        <v>15827</v>
      </c>
      <c r="E18" s="9" t="s">
        <v>113</v>
      </c>
      <c r="F18" s="9">
        <v>18</v>
      </c>
      <c r="G18" s="45">
        <v>169</v>
      </c>
      <c r="H18" s="9">
        <v>195</v>
      </c>
      <c r="I18" s="9">
        <v>19.5</v>
      </c>
      <c r="J18" s="9">
        <v>11</v>
      </c>
      <c r="K18" s="30" t="s">
        <v>101</v>
      </c>
      <c r="L18" s="46">
        <v>850</v>
      </c>
      <c r="M18" s="9">
        <v>533</v>
      </c>
      <c r="N18" s="9">
        <v>558</v>
      </c>
      <c r="O18" s="45">
        <v>564</v>
      </c>
      <c r="P18" s="46">
        <v>587</v>
      </c>
      <c r="Q18" s="9">
        <v>565</v>
      </c>
      <c r="R18" s="9">
        <v>586</v>
      </c>
      <c r="S18" s="45">
        <v>633</v>
      </c>
      <c r="T18" s="46">
        <v>656</v>
      </c>
      <c r="U18" s="9">
        <v>634</v>
      </c>
      <c r="V18" s="9">
        <v>6500</v>
      </c>
      <c r="W18" s="9">
        <v>10</v>
      </c>
      <c r="X18" s="45">
        <v>10600</v>
      </c>
      <c r="Y18" s="9">
        <v>15.4</v>
      </c>
      <c r="Z18" s="9">
        <v>11.9</v>
      </c>
      <c r="AA18" s="46">
        <v>9.6999999999999993</v>
      </c>
      <c r="AB18" s="45">
        <v>23.5</v>
      </c>
      <c r="AC18" s="9">
        <v>280</v>
      </c>
      <c r="AD18" s="9">
        <v>35.5</v>
      </c>
      <c r="AE18" s="46">
        <v>280</v>
      </c>
      <c r="AF18" s="9">
        <v>210</v>
      </c>
      <c r="AG18" s="9">
        <v>170</v>
      </c>
      <c r="AH18" s="9">
        <f>(AF18+AG18)/2</f>
        <v>190</v>
      </c>
      <c r="AI18" s="45">
        <v>170</v>
      </c>
      <c r="AJ18" s="9">
        <v>160</v>
      </c>
      <c r="AK18" s="46">
        <f>(AI18+AJ18)/2</f>
        <v>165</v>
      </c>
      <c r="AL18" s="9">
        <v>1520</v>
      </c>
      <c r="AM18" s="9"/>
      <c r="AN18" s="9">
        <v>1700</v>
      </c>
      <c r="AO18" s="45">
        <v>3401</v>
      </c>
      <c r="AP18" s="9">
        <v>3926</v>
      </c>
      <c r="AQ18" s="46">
        <v>4648</v>
      </c>
      <c r="AR18" s="9">
        <v>18.3</v>
      </c>
      <c r="AS18" s="42">
        <f>AO18/AR18</f>
        <v>185.84699453551912</v>
      </c>
      <c r="AT18" s="42">
        <f>AP18/AR18</f>
        <v>214.53551912568304</v>
      </c>
      <c r="AU18" s="42">
        <f>AQ18/AR18</f>
        <v>253.98907103825135</v>
      </c>
      <c r="AV18" s="49">
        <f>(AL18*0.7457)/(AP18/1000)</f>
        <v>288.70708099847172</v>
      </c>
      <c r="AW18" s="42">
        <f>(AM18*0.7457)/(AP18/1000)</f>
        <v>0</v>
      </c>
      <c r="AX18" s="50">
        <f>(AN18*0.7457)/(AP18/1000)</f>
        <v>322.89607743250127</v>
      </c>
      <c r="AY18" s="9"/>
      <c r="AZ18" s="42">
        <f>MAX(AV18:AX18)</f>
        <v>322.89607743250127</v>
      </c>
      <c r="BA18" s="42">
        <f>(AL18*0.7457)/(AQ18/1000)</f>
        <v>243.8605851979346</v>
      </c>
      <c r="BB18" s="45">
        <f>60*3</f>
        <v>180</v>
      </c>
      <c r="BC18" s="23">
        <v>409</v>
      </c>
      <c r="BD18" s="9">
        <v>524</v>
      </c>
      <c r="BE18" s="68">
        <f>BC18/BD18</f>
        <v>0.78053435114503822</v>
      </c>
      <c r="BF18" s="69">
        <f>BD18/BB18</f>
        <v>2.911111111111111</v>
      </c>
      <c r="BG18" s="70">
        <f>30/BB18*1.5</f>
        <v>0.25</v>
      </c>
      <c r="BH18" s="72">
        <f>AP18-(BC18*(1-BG18))</f>
        <v>3619.25</v>
      </c>
      <c r="BI18" s="71">
        <f>BH18/AR18</f>
        <v>197.77322404371583</v>
      </c>
      <c r="BJ18" s="71">
        <f>(AL18*0.7457)/(BH18/1000)</f>
        <v>313.17648684119638</v>
      </c>
      <c r="BK18" s="45">
        <f>404/2</f>
        <v>202</v>
      </c>
      <c r="BL18" s="1"/>
      <c r="BM18" s="1"/>
    </row>
    <row r="19" spans="1:65" x14ac:dyDescent="0.25">
      <c r="A19" s="12" t="s">
        <v>25</v>
      </c>
      <c r="B19" s="9" t="s">
        <v>15</v>
      </c>
      <c r="C19" s="9" t="s">
        <v>50</v>
      </c>
      <c r="D19" s="43">
        <v>15462</v>
      </c>
      <c r="E19" s="9" t="s">
        <v>113</v>
      </c>
      <c r="F19" s="9">
        <v>7</v>
      </c>
      <c r="G19" s="45">
        <v>163</v>
      </c>
      <c r="H19" s="9">
        <v>189</v>
      </c>
      <c r="I19" s="9">
        <v>18</v>
      </c>
      <c r="J19" s="9">
        <v>11</v>
      </c>
      <c r="K19" s="30" t="s">
        <v>93</v>
      </c>
      <c r="L19" s="46">
        <v>750</v>
      </c>
      <c r="M19" s="9">
        <v>505</v>
      </c>
      <c r="N19" s="9"/>
      <c r="O19" s="45">
        <v>527</v>
      </c>
      <c r="P19" s="46"/>
      <c r="Q19" s="9">
        <v>549</v>
      </c>
      <c r="R19" s="9"/>
      <c r="S19" s="45">
        <v>564</v>
      </c>
      <c r="T19" s="46"/>
      <c r="U19" s="9">
        <v>571</v>
      </c>
      <c r="V19" s="9">
        <v>4000</v>
      </c>
      <c r="W19" s="9">
        <v>13</v>
      </c>
      <c r="X19" s="45">
        <v>10500</v>
      </c>
      <c r="Y19" s="9">
        <v>14.9</v>
      </c>
      <c r="Z19" s="9">
        <v>13.3</v>
      </c>
      <c r="AA19" s="46">
        <v>8</v>
      </c>
      <c r="AB19" s="45">
        <v>22.2</v>
      </c>
      <c r="AC19" s="9">
        <v>280</v>
      </c>
      <c r="AD19" s="9">
        <v>28.9</v>
      </c>
      <c r="AE19" s="46">
        <v>270</v>
      </c>
      <c r="AF19" s="9">
        <v>200</v>
      </c>
      <c r="AG19" s="9">
        <v>165</v>
      </c>
      <c r="AH19" s="9">
        <f>(200+165)/2</f>
        <v>182.5</v>
      </c>
      <c r="AI19" s="45">
        <v>160</v>
      </c>
      <c r="AJ19" s="9">
        <v>140</v>
      </c>
      <c r="AK19" s="46">
        <f>(160+140)/2</f>
        <v>150</v>
      </c>
      <c r="AL19" s="9">
        <v>1200</v>
      </c>
      <c r="AM19" s="9"/>
      <c r="AN19" s="9"/>
      <c r="AO19" s="45">
        <v>2773</v>
      </c>
      <c r="AP19" s="9">
        <v>3157</v>
      </c>
      <c r="AQ19" s="46">
        <v>3701</v>
      </c>
      <c r="AR19" s="9">
        <v>17.510000000000002</v>
      </c>
      <c r="AS19" s="42">
        <f>AO19/AR19</f>
        <v>158.36664762992575</v>
      </c>
      <c r="AT19" s="42">
        <f>AP19/AR19</f>
        <v>180.2969731581953</v>
      </c>
      <c r="AU19" s="42">
        <f>AQ19/AR19</f>
        <v>211.36493432324383</v>
      </c>
      <c r="AV19" s="49">
        <f>(AL19*0.7457)/(AP19/1000)</f>
        <v>283.4463097877732</v>
      </c>
      <c r="AW19" s="42">
        <f>(AM19*0.7457)/(AP19/1000)</f>
        <v>0</v>
      </c>
      <c r="AX19" s="50">
        <f>(AN19*0.7457)/(AP19/1000)</f>
        <v>0</v>
      </c>
      <c r="AY19" s="9"/>
      <c r="AZ19" s="42">
        <f>MAX(AV19:AX19)</f>
        <v>283.4463097877732</v>
      </c>
      <c r="BA19" s="42">
        <f>(AL19*0.7457)/(AQ19/1000)</f>
        <v>241.78330181032155</v>
      </c>
      <c r="BB19" s="45">
        <f>2.2*60</f>
        <v>132</v>
      </c>
      <c r="BC19" s="9">
        <v>348</v>
      </c>
      <c r="BD19" s="9">
        <v>467</v>
      </c>
      <c r="BE19" s="68">
        <f>BC19/BD19</f>
        <v>0.7451820128479657</v>
      </c>
      <c r="BF19" s="69">
        <f>BD19/BB19</f>
        <v>3.5378787878787881</v>
      </c>
      <c r="BG19" s="70">
        <f>30/BB19*1.5</f>
        <v>0.34090909090909088</v>
      </c>
      <c r="BH19" s="72">
        <f>AP19-(BC19*(1-BG19))</f>
        <v>2927.6363636363635</v>
      </c>
      <c r="BI19" s="71">
        <f>BH19/AR19</f>
        <v>167.19796479933541</v>
      </c>
      <c r="BJ19" s="71">
        <f>(AL19*0.7457)/(BH19/1000)</f>
        <v>305.65271394857785</v>
      </c>
      <c r="BK19" s="45"/>
      <c r="BL19" s="1"/>
      <c r="BM19" s="1"/>
    </row>
    <row r="20" spans="1:65" ht="30" x14ac:dyDescent="0.25">
      <c r="A20" s="12" t="s">
        <v>34</v>
      </c>
      <c r="B20" s="9" t="s">
        <v>15</v>
      </c>
      <c r="C20" s="9" t="s">
        <v>51</v>
      </c>
      <c r="D20" s="43">
        <v>15008</v>
      </c>
      <c r="E20" s="9" t="s">
        <v>113</v>
      </c>
      <c r="F20" s="9">
        <v>19</v>
      </c>
      <c r="G20" s="45">
        <v>137</v>
      </c>
      <c r="H20" s="9">
        <v>144</v>
      </c>
      <c r="I20" s="9">
        <v>18.8</v>
      </c>
      <c r="J20" s="9">
        <v>12.5</v>
      </c>
      <c r="K20" s="30" t="s">
        <v>108</v>
      </c>
      <c r="L20" s="46">
        <v>725</v>
      </c>
      <c r="M20" s="9">
        <v>480</v>
      </c>
      <c r="N20" s="9">
        <v>535</v>
      </c>
      <c r="O20" s="45">
        <v>480</v>
      </c>
      <c r="P20" s="46">
        <v>533</v>
      </c>
      <c r="Q20" s="9">
        <v>518</v>
      </c>
      <c r="R20" s="9">
        <v>570</v>
      </c>
      <c r="S20" s="45">
        <v>572</v>
      </c>
      <c r="T20" s="46">
        <v>598</v>
      </c>
      <c r="U20" s="9">
        <v>577</v>
      </c>
      <c r="V20" s="9">
        <v>6500</v>
      </c>
      <c r="W20" s="9">
        <v>11.5</v>
      </c>
      <c r="X20" s="45">
        <v>12000</v>
      </c>
      <c r="Y20" s="9">
        <v>14.5</v>
      </c>
      <c r="Z20" s="9">
        <v>14.7</v>
      </c>
      <c r="AA20" s="46">
        <v>11.4</v>
      </c>
      <c r="AB20" s="45">
        <v>22</v>
      </c>
      <c r="AC20" s="9">
        <v>270</v>
      </c>
      <c r="AD20" s="9">
        <v>28.2</v>
      </c>
      <c r="AE20" s="46">
        <v>260</v>
      </c>
      <c r="AF20" s="9">
        <v>170</v>
      </c>
      <c r="AG20" s="9">
        <v>160</v>
      </c>
      <c r="AH20" s="9">
        <f>(AF20+AG20)/2</f>
        <v>165</v>
      </c>
      <c r="AI20" s="45">
        <v>135</v>
      </c>
      <c r="AJ20" s="9">
        <v>130</v>
      </c>
      <c r="AK20" s="46">
        <f>(AI20+AJ20)/2</f>
        <v>132.5</v>
      </c>
      <c r="AL20" s="9">
        <v>1115</v>
      </c>
      <c r="AM20" s="9"/>
      <c r="AN20" s="9">
        <v>1455</v>
      </c>
      <c r="AO20" s="45">
        <v>2732</v>
      </c>
      <c r="AP20" s="9">
        <v>2979</v>
      </c>
      <c r="AQ20" s="46">
        <f>AP20+564</f>
        <v>3543</v>
      </c>
      <c r="AR20" s="9">
        <v>22.48</v>
      </c>
      <c r="AS20" s="42">
        <f>AO20/AR20</f>
        <v>121.53024911032028</v>
      </c>
      <c r="AT20" s="42">
        <f>AP20/AR20</f>
        <v>132.51779359430606</v>
      </c>
      <c r="AU20" s="42">
        <f>AQ20/AR20</f>
        <v>157.60676156583631</v>
      </c>
      <c r="AV20" s="49">
        <f>(AL20*0.7457)/(AP20/1000)</f>
        <v>279.10557233971133</v>
      </c>
      <c r="AW20" s="42">
        <f>(AM20*0.7457)/(AP20/1000)</f>
        <v>0</v>
      </c>
      <c r="AX20" s="50">
        <f>(AN20*0.7457)/(AP20/1000)</f>
        <v>364.2139979859013</v>
      </c>
      <c r="AY20" s="9"/>
      <c r="AZ20" s="42">
        <f>MAX(AV20:AX20)</f>
        <v>364.2139979859013</v>
      </c>
      <c r="BA20" s="42">
        <f>(AL20*0.7457)/(AQ20/1000)</f>
        <v>234.6755574372001</v>
      </c>
      <c r="BB20" s="45">
        <f>60+45</f>
        <v>105</v>
      </c>
      <c r="BC20" s="23">
        <v>274</v>
      </c>
      <c r="BD20" s="23">
        <v>386</v>
      </c>
      <c r="BE20" s="68">
        <f>BC20/BD20</f>
        <v>0.7098445595854922</v>
      </c>
      <c r="BF20" s="69">
        <f>BD20/BB20</f>
        <v>3.676190476190476</v>
      </c>
      <c r="BG20" s="70">
        <f>30/BB20*1.5</f>
        <v>0.42857142857142855</v>
      </c>
      <c r="BH20" s="72">
        <f>AP20-(BC20*(1-BG20))</f>
        <v>2822.4285714285716</v>
      </c>
      <c r="BI20" s="71">
        <f>BH20/AR20</f>
        <v>125.55287239450941</v>
      </c>
      <c r="BJ20" s="71">
        <f>(AL20*0.7457)/(BH20/1000)</f>
        <v>294.588677430784</v>
      </c>
      <c r="BK20" s="45"/>
      <c r="BL20" s="1"/>
      <c r="BM20" s="1"/>
    </row>
    <row r="21" spans="1:65" ht="45" x14ac:dyDescent="0.25">
      <c r="A21" s="12" t="s">
        <v>22</v>
      </c>
      <c r="B21" s="9" t="s">
        <v>21</v>
      </c>
      <c r="C21" s="9" t="s">
        <v>49</v>
      </c>
      <c r="D21" s="43">
        <v>15036</v>
      </c>
      <c r="E21" s="9" t="s">
        <v>113</v>
      </c>
      <c r="F21" s="9">
        <v>5</v>
      </c>
      <c r="G21" s="45">
        <v>151</v>
      </c>
      <c r="H21" s="9">
        <v>168</v>
      </c>
      <c r="I21" s="9">
        <v>19.7</v>
      </c>
      <c r="J21" s="9">
        <v>11</v>
      </c>
      <c r="K21" s="30" t="s">
        <v>95</v>
      </c>
      <c r="L21" s="46">
        <v>850</v>
      </c>
      <c r="M21" s="9"/>
      <c r="N21" s="9">
        <v>528</v>
      </c>
      <c r="O21" s="45">
        <v>535</v>
      </c>
      <c r="P21" s="46">
        <v>561</v>
      </c>
      <c r="Q21" s="9">
        <v>568</v>
      </c>
      <c r="R21" s="9">
        <v>594</v>
      </c>
      <c r="S21" s="45">
        <v>612</v>
      </c>
      <c r="T21" s="46">
        <v>635</v>
      </c>
      <c r="U21" s="9">
        <v>612</v>
      </c>
      <c r="V21" s="9">
        <v>6000</v>
      </c>
      <c r="W21" s="9">
        <v>11.7</v>
      </c>
      <c r="X21" s="45">
        <v>11500</v>
      </c>
      <c r="Y21" s="9">
        <v>16.399999999999999</v>
      </c>
      <c r="Z21" s="9">
        <v>14.1</v>
      </c>
      <c r="AA21" s="46">
        <v>10</v>
      </c>
      <c r="AB21" s="45">
        <v>23.6</v>
      </c>
      <c r="AC21" s="9">
        <v>270</v>
      </c>
      <c r="AD21" s="9">
        <v>29</v>
      </c>
      <c r="AE21" s="46">
        <v>270</v>
      </c>
      <c r="AF21" s="9">
        <v>175</v>
      </c>
      <c r="AG21" s="9">
        <v>145</v>
      </c>
      <c r="AH21" s="9">
        <f>(175+145)/2</f>
        <v>160</v>
      </c>
      <c r="AI21" s="45">
        <v>145</v>
      </c>
      <c r="AJ21" s="9">
        <v>135</v>
      </c>
      <c r="AK21" s="46">
        <f>(145+135)/2</f>
        <v>140</v>
      </c>
      <c r="AL21" s="9">
        <v>1015</v>
      </c>
      <c r="AM21" s="9"/>
      <c r="AN21" s="9">
        <v>1175</v>
      </c>
      <c r="AO21" s="45">
        <v>2445</v>
      </c>
      <c r="AP21" s="9">
        <v>2789</v>
      </c>
      <c r="AQ21" s="46">
        <v>3092</v>
      </c>
      <c r="AR21" s="9">
        <v>16.100000000000001</v>
      </c>
      <c r="AS21" s="42">
        <f>AO21/AR21</f>
        <v>151.86335403726707</v>
      </c>
      <c r="AT21" s="42">
        <f>AP21/AR21</f>
        <v>173.22981366459626</v>
      </c>
      <c r="AU21" s="42">
        <f>AQ21/AR21</f>
        <v>192.04968944099377</v>
      </c>
      <c r="AV21" s="49">
        <f>(AL21*0.7457)/(AP21/1000)</f>
        <v>271.38239512370023</v>
      </c>
      <c r="AW21" s="42">
        <f>(AM21*0.7457)/(AP21/1000)</f>
        <v>0</v>
      </c>
      <c r="AX21" s="50">
        <f>(AN21*0.7457)/(AP21/1000)</f>
        <v>314.1618859806382</v>
      </c>
      <c r="AY21" s="9"/>
      <c r="AZ21" s="42">
        <f>MAX(AV21:AX21)</f>
        <v>314.1618859806382</v>
      </c>
      <c r="BA21" s="42">
        <f>(AL21*0.7457)/(AQ21/1000)</f>
        <v>244.78832470892624</v>
      </c>
      <c r="BB21" s="45">
        <f>2.4*60</f>
        <v>144</v>
      </c>
      <c r="BC21" s="23">
        <v>304</v>
      </c>
      <c r="BD21" s="23">
        <v>400</v>
      </c>
      <c r="BE21" s="68">
        <f>BC21/BD21</f>
        <v>0.76</v>
      </c>
      <c r="BF21" s="69">
        <f>BD21/BB21</f>
        <v>2.7777777777777777</v>
      </c>
      <c r="BG21" s="70">
        <f>30/BB21*1.5</f>
        <v>0.3125</v>
      </c>
      <c r="BH21" s="72">
        <f>AP21-(BC21*(1-BG21))</f>
        <v>2580</v>
      </c>
      <c r="BI21" s="71">
        <f>BH21/AR21</f>
        <v>160.24844720496893</v>
      </c>
      <c r="BJ21" s="71">
        <f>(AL21*0.7457)/(BH21/1000)</f>
        <v>293.36647286821704</v>
      </c>
      <c r="BK21" s="45"/>
      <c r="BL21" s="1"/>
      <c r="BM21" s="1"/>
    </row>
    <row r="22" spans="1:65" ht="30" x14ac:dyDescent="0.25">
      <c r="A22" s="12" t="s">
        <v>37</v>
      </c>
      <c r="B22" s="9" t="s">
        <v>47</v>
      </c>
      <c r="C22" s="9" t="s">
        <v>52</v>
      </c>
      <c r="D22" s="9" t="s">
        <v>103</v>
      </c>
      <c r="E22" s="9" t="s">
        <v>113</v>
      </c>
      <c r="F22" s="9">
        <v>22</v>
      </c>
      <c r="G22" s="45">
        <v>143</v>
      </c>
      <c r="H22" s="9">
        <v>163</v>
      </c>
      <c r="I22" s="9">
        <v>18.8</v>
      </c>
      <c r="J22" s="9">
        <v>12.5</v>
      </c>
      <c r="K22" s="30" t="s">
        <v>102</v>
      </c>
      <c r="L22" s="46">
        <v>725</v>
      </c>
      <c r="M22" s="9"/>
      <c r="N22" s="9">
        <v>542</v>
      </c>
      <c r="O22" s="45">
        <v>510</v>
      </c>
      <c r="P22" s="46">
        <v>550</v>
      </c>
      <c r="Q22" s="9">
        <v>552</v>
      </c>
      <c r="R22" s="9">
        <v>591</v>
      </c>
      <c r="S22" s="45">
        <v>601</v>
      </c>
      <c r="T22" s="46">
        <v>629</v>
      </c>
      <c r="U22" s="9">
        <v>648</v>
      </c>
      <c r="V22" s="9">
        <v>10000</v>
      </c>
      <c r="W22" s="9">
        <v>8.9</v>
      </c>
      <c r="X22" s="45">
        <v>12500</v>
      </c>
      <c r="Y22" s="9">
        <v>21.5</v>
      </c>
      <c r="Z22" s="9">
        <v>18.600000000000001</v>
      </c>
      <c r="AA22" s="46">
        <v>15.5</v>
      </c>
      <c r="AB22" s="45">
        <v>17.7</v>
      </c>
      <c r="AC22" s="9">
        <v>270</v>
      </c>
      <c r="AD22" s="9">
        <v>20.5</v>
      </c>
      <c r="AE22" s="46">
        <v>260</v>
      </c>
      <c r="AF22" s="9">
        <v>195</v>
      </c>
      <c r="AG22" s="9">
        <v>185</v>
      </c>
      <c r="AH22" s="9">
        <f>(AF22+AG22)/2</f>
        <v>190</v>
      </c>
      <c r="AI22" s="45">
        <v>155</v>
      </c>
      <c r="AJ22" s="9">
        <v>150</v>
      </c>
      <c r="AK22" s="46">
        <f>(AI22+AJ22)/2</f>
        <v>152.5</v>
      </c>
      <c r="AL22" s="9">
        <v>1250</v>
      </c>
      <c r="AM22" s="9"/>
      <c r="AN22" s="9">
        <v>1655</v>
      </c>
      <c r="AO22" s="45">
        <v>2977</v>
      </c>
      <c r="AP22" s="9">
        <v>3359</v>
      </c>
      <c r="AQ22" s="46">
        <f>AP22+1302</f>
        <v>4661</v>
      </c>
      <c r="AR22" s="9">
        <v>22.48</v>
      </c>
      <c r="AS22" s="42">
        <f>AO22/AR22</f>
        <v>132.4288256227758</v>
      </c>
      <c r="AT22" s="42">
        <f>AP22/AR22</f>
        <v>149.42170818505338</v>
      </c>
      <c r="AU22" s="42">
        <f>AQ22/AR22</f>
        <v>207.33985765124555</v>
      </c>
      <c r="AV22" s="49">
        <f>(AL22*0.7457)/(AP22/1000)</f>
        <v>277.50074426912772</v>
      </c>
      <c r="AW22" s="42">
        <f>(AM22*0.7457)/(AP22/1000)</f>
        <v>0</v>
      </c>
      <c r="AX22" s="50">
        <f>(AN22*0.7457)/(AP22/1000)</f>
        <v>367.41098541232515</v>
      </c>
      <c r="AY22" s="9"/>
      <c r="AZ22" s="42">
        <f>MAX(AV22:AX22)</f>
        <v>367.41098541232515</v>
      </c>
      <c r="BA22" s="42">
        <f>(AL22*0.7457)/(AQ22/1000)</f>
        <v>199.9839090323965</v>
      </c>
      <c r="BB22" s="45">
        <f>60*1+40</f>
        <v>100</v>
      </c>
      <c r="BC22" s="9">
        <v>274</v>
      </c>
      <c r="BD22" s="9">
        <v>386</v>
      </c>
      <c r="BE22" s="68">
        <f>BC22/BD22</f>
        <v>0.7098445595854922</v>
      </c>
      <c r="BF22" s="69">
        <f>BD22/BB22</f>
        <v>3.86</v>
      </c>
      <c r="BG22" s="70">
        <f>30/BB22*1.5</f>
        <v>0.44999999999999996</v>
      </c>
      <c r="BH22" s="72">
        <f>AP22-(BC22*(1-BG22))</f>
        <v>3208.3</v>
      </c>
      <c r="BI22" s="71">
        <f>BH22/AR22</f>
        <v>142.71797153024912</v>
      </c>
      <c r="BJ22" s="71">
        <f>(AL22*0.7457)/(BH22/1000)</f>
        <v>290.53548608297228</v>
      </c>
      <c r="BK22" s="45"/>
      <c r="BL22" s="1"/>
      <c r="BM22" s="1"/>
    </row>
    <row r="23" spans="1:65" ht="30" x14ac:dyDescent="0.25">
      <c r="A23" s="12" t="s">
        <v>132</v>
      </c>
      <c r="B23" s="9" t="s">
        <v>21</v>
      </c>
      <c r="C23" s="9" t="s">
        <v>52</v>
      </c>
      <c r="D23" s="43">
        <v>16193</v>
      </c>
      <c r="E23" s="9" t="s">
        <v>113</v>
      </c>
      <c r="F23" s="9">
        <v>25</v>
      </c>
      <c r="G23" s="45">
        <v>177</v>
      </c>
      <c r="H23" s="9">
        <v>208</v>
      </c>
      <c r="I23" s="9">
        <v>19.5</v>
      </c>
      <c r="J23" s="9">
        <v>11</v>
      </c>
      <c r="K23" s="30" t="s">
        <v>101</v>
      </c>
      <c r="L23" s="46">
        <v>850</v>
      </c>
      <c r="M23" s="9">
        <v>532</v>
      </c>
      <c r="N23" s="9">
        <v>558</v>
      </c>
      <c r="O23" s="45">
        <v>555</v>
      </c>
      <c r="P23" s="46">
        <v>578</v>
      </c>
      <c r="Q23" s="9">
        <v>557</v>
      </c>
      <c r="R23" s="9">
        <v>578</v>
      </c>
      <c r="S23" s="45">
        <v>619</v>
      </c>
      <c r="T23" s="46">
        <v>642</v>
      </c>
      <c r="U23" s="9">
        <v>620</v>
      </c>
      <c r="V23" s="9">
        <v>5550</v>
      </c>
      <c r="W23" s="9">
        <v>11.2</v>
      </c>
      <c r="X23" s="45">
        <v>10300</v>
      </c>
      <c r="Y23" s="9">
        <v>13.8</v>
      </c>
      <c r="Z23" s="9">
        <v>10.1</v>
      </c>
      <c r="AA23" s="46">
        <v>7.8</v>
      </c>
      <c r="AB23" s="45">
        <v>24.2</v>
      </c>
      <c r="AC23" s="9">
        <v>280</v>
      </c>
      <c r="AD23" s="9">
        <v>33</v>
      </c>
      <c r="AE23" s="46">
        <v>280</v>
      </c>
      <c r="AF23" s="9">
        <v>220</v>
      </c>
      <c r="AG23" s="9">
        <v>180</v>
      </c>
      <c r="AH23" s="9">
        <f>(AF23+AG23)/2</f>
        <v>200</v>
      </c>
      <c r="AI23" s="45">
        <v>180</v>
      </c>
      <c r="AJ23" s="9">
        <v>160</v>
      </c>
      <c r="AK23" s="46">
        <f>(AI23+AJ23)/2</f>
        <v>170</v>
      </c>
      <c r="AL23" s="23"/>
      <c r="AM23" s="9">
        <v>1520</v>
      </c>
      <c r="AN23" s="23">
        <v>1700</v>
      </c>
      <c r="AO23" s="45">
        <v>3697</v>
      </c>
      <c r="AP23" s="9">
        <v>4391</v>
      </c>
      <c r="AQ23" s="46">
        <v>5239</v>
      </c>
      <c r="AR23" s="9">
        <v>18.3</v>
      </c>
      <c r="AS23" s="42">
        <f>AO23/AR23</f>
        <v>202.02185792349727</v>
      </c>
      <c r="AT23" s="42">
        <f>AP23/AR23</f>
        <v>239.94535519125682</v>
      </c>
      <c r="AU23" s="42">
        <f>AQ23/AR23</f>
        <v>286.28415300546447</v>
      </c>
      <c r="AV23" s="49">
        <f>(AL23*0.7457)/(AP23/1000)</f>
        <v>0</v>
      </c>
      <c r="AW23" s="42">
        <f>(AM23*0.7457)/(AP23/1000)</f>
        <v>258.13345479389659</v>
      </c>
      <c r="AX23" s="50">
        <f>(AN23*0.7457)/(AP23/1000)</f>
        <v>288.70189023001598</v>
      </c>
      <c r="AY23" s="9"/>
      <c r="AZ23" s="42">
        <f>MAX(AV23:AX23)</f>
        <v>288.70189023001598</v>
      </c>
      <c r="BA23" s="42">
        <f>(2*AL23*0.7457)/(AQ23/1000)</f>
        <v>0</v>
      </c>
      <c r="BB23" s="45">
        <f>60*3.8</f>
        <v>228</v>
      </c>
      <c r="BC23" s="23">
        <v>498</v>
      </c>
      <c r="BD23" s="9">
        <v>639</v>
      </c>
      <c r="BE23" s="68">
        <f>BC23/BD23</f>
        <v>0.77934272300469487</v>
      </c>
      <c r="BF23" s="69">
        <f>BD23/BB23</f>
        <v>2.8026315789473686</v>
      </c>
      <c r="BG23" s="70">
        <f>30/BB23*1.5</f>
        <v>0.19736842105263158</v>
      </c>
      <c r="BH23" s="72">
        <f>AP23-(BC23*(1-BG23))</f>
        <v>3991.2894736842104</v>
      </c>
      <c r="BI23" s="71">
        <f>BH23/AR23</f>
        <v>218.10324992809893</v>
      </c>
      <c r="BJ23" s="71">
        <f>(AM23*0.7457)/(BH23/1000)</f>
        <v>283.98441342660658</v>
      </c>
      <c r="BK23" s="45"/>
      <c r="BL23" s="1"/>
      <c r="BM23" s="1"/>
    </row>
    <row r="24" spans="1:65" ht="30" x14ac:dyDescent="0.25">
      <c r="A24" s="12" t="s">
        <v>120</v>
      </c>
      <c r="B24" s="9" t="s">
        <v>21</v>
      </c>
      <c r="C24" s="9" t="s">
        <v>49</v>
      </c>
      <c r="D24" s="43">
        <v>15493</v>
      </c>
      <c r="E24" s="9" t="s">
        <v>113</v>
      </c>
      <c r="F24" s="9">
        <v>6</v>
      </c>
      <c r="G24" s="45">
        <v>151</v>
      </c>
      <c r="H24" s="9">
        <v>166</v>
      </c>
      <c r="I24" s="9">
        <v>19.600000000000001</v>
      </c>
      <c r="J24" s="9">
        <v>14.8</v>
      </c>
      <c r="K24" s="30" t="s">
        <v>126</v>
      </c>
      <c r="L24" s="46">
        <v>850</v>
      </c>
      <c r="M24" s="9"/>
      <c r="N24" s="9">
        <v>500</v>
      </c>
      <c r="O24" s="45">
        <v>502</v>
      </c>
      <c r="P24" s="46">
        <v>535</v>
      </c>
      <c r="Q24" s="9">
        <v>541</v>
      </c>
      <c r="R24" s="9">
        <v>574</v>
      </c>
      <c r="S24" s="45">
        <v>560</v>
      </c>
      <c r="T24" s="46">
        <v>598</v>
      </c>
      <c r="U24" s="9">
        <v>567</v>
      </c>
      <c r="V24" s="9">
        <v>4500</v>
      </c>
      <c r="W24" s="9">
        <v>15.2</v>
      </c>
      <c r="X24" s="45">
        <v>11300</v>
      </c>
      <c r="Y24" s="9">
        <v>17.3</v>
      </c>
      <c r="Z24" s="9">
        <v>15.1</v>
      </c>
      <c r="AA24" s="46">
        <v>10.6</v>
      </c>
      <c r="AB24" s="45">
        <v>22.6</v>
      </c>
      <c r="AC24" s="9">
        <v>270</v>
      </c>
      <c r="AD24" s="9">
        <v>28.2</v>
      </c>
      <c r="AE24" s="46">
        <v>270</v>
      </c>
      <c r="AF24" s="9">
        <v>190</v>
      </c>
      <c r="AG24" s="9">
        <v>160</v>
      </c>
      <c r="AH24" s="9">
        <f>(AF24+AG24)/2</f>
        <v>175</v>
      </c>
      <c r="AI24" s="45">
        <v>150</v>
      </c>
      <c r="AJ24" s="9">
        <v>140</v>
      </c>
      <c r="AK24" s="46">
        <f>(AI24+AJ24)/2</f>
        <v>145</v>
      </c>
      <c r="AL24" s="9"/>
      <c r="AM24" s="9">
        <v>1050</v>
      </c>
      <c r="AN24" s="9">
        <v>1175</v>
      </c>
      <c r="AO24" s="45">
        <v>2622</v>
      </c>
      <c r="AP24" s="9">
        <v>2967</v>
      </c>
      <c r="AQ24" s="46">
        <v>3197</v>
      </c>
      <c r="AR24" s="9">
        <v>16.8</v>
      </c>
      <c r="AS24" s="42">
        <f>AO24/AR24</f>
        <v>156.07142857142856</v>
      </c>
      <c r="AT24" s="42">
        <f>AP24/AR24</f>
        <v>176.60714285714286</v>
      </c>
      <c r="AU24" s="42">
        <f>AQ24/AR24</f>
        <v>190.29761904761904</v>
      </c>
      <c r="AV24" s="49">
        <f>(AL24*0.7457)/(AP24/1000)</f>
        <v>0</v>
      </c>
      <c r="AW24" s="42">
        <f>(AM24*0.7457)/(AP24/1000)</f>
        <v>263.8978766430738</v>
      </c>
      <c r="AX24" s="50">
        <f>(AN24*0.7457)/(AP24/1000)</f>
        <v>295.31429052915399</v>
      </c>
      <c r="AY24" s="9"/>
      <c r="AZ24" s="42">
        <f>MAX(AV24:AX24)</f>
        <v>295.31429052915399</v>
      </c>
      <c r="BA24" s="42">
        <f>(AL24*0.7457)/(AQ24/1000)</f>
        <v>0</v>
      </c>
      <c r="BB24" s="45">
        <f>60*2.2</f>
        <v>132</v>
      </c>
      <c r="BC24" s="9">
        <v>307</v>
      </c>
      <c r="BD24" s="23">
        <v>430</v>
      </c>
      <c r="BE24" s="68">
        <f>BC24/BD24</f>
        <v>0.71395348837209305</v>
      </c>
      <c r="BF24" s="69">
        <f>BD24/BB24</f>
        <v>3.2575757575757578</v>
      </c>
      <c r="BG24" s="70">
        <f>30/BB24*1.5</f>
        <v>0.34090909090909088</v>
      </c>
      <c r="BH24" s="72">
        <f>AP24-(BC24*(1-BG24))</f>
        <v>2764.659090909091</v>
      </c>
      <c r="BI24" s="71">
        <f>BH24/AR24</f>
        <v>164.56304112554113</v>
      </c>
      <c r="BJ24" s="71">
        <f>(AM24*0.7457)/(BH24/1000)</f>
        <v>283.21213366763942</v>
      </c>
      <c r="BK24" s="45"/>
      <c r="BL24" s="1"/>
      <c r="BM24" s="1"/>
    </row>
    <row r="25" spans="1:65" ht="30" x14ac:dyDescent="0.25">
      <c r="A25" s="12" t="s">
        <v>79</v>
      </c>
      <c r="B25" s="9" t="s">
        <v>36</v>
      </c>
      <c r="C25" s="9" t="s">
        <v>52</v>
      </c>
      <c r="D25" s="9">
        <v>1944</v>
      </c>
      <c r="E25" s="9" t="s">
        <v>113</v>
      </c>
      <c r="F25" s="9">
        <v>23</v>
      </c>
      <c r="G25" s="45">
        <v>159</v>
      </c>
      <c r="H25" s="9">
        <v>196</v>
      </c>
      <c r="I25" s="9">
        <v>19.100000000000001</v>
      </c>
      <c r="J25" s="9">
        <v>10</v>
      </c>
      <c r="K25" s="30" t="s">
        <v>104</v>
      </c>
      <c r="L25" s="46">
        <v>812</v>
      </c>
      <c r="M25" s="9">
        <v>578</v>
      </c>
      <c r="N25" s="9">
        <v>607</v>
      </c>
      <c r="O25" s="45">
        <v>605</v>
      </c>
      <c r="P25" s="46">
        <v>630</v>
      </c>
      <c r="Q25" s="9">
        <v>645</v>
      </c>
      <c r="R25" s="9">
        <v>662</v>
      </c>
      <c r="S25" s="45">
        <v>675</v>
      </c>
      <c r="T25" s="46">
        <v>698</v>
      </c>
      <c r="U25" s="9">
        <v>720</v>
      </c>
      <c r="V25" s="9">
        <v>8500</v>
      </c>
      <c r="W25" s="9">
        <v>9.3000000000000007</v>
      </c>
      <c r="X25" s="45">
        <v>12680</v>
      </c>
      <c r="Y25" s="9">
        <v>18.100000000000001</v>
      </c>
      <c r="Z25" s="9">
        <v>15.7</v>
      </c>
      <c r="AA25" s="46">
        <v>12.4</v>
      </c>
      <c r="AB25" s="45">
        <v>20</v>
      </c>
      <c r="AC25" s="9">
        <v>290</v>
      </c>
      <c r="AD25" s="9">
        <v>29.5</v>
      </c>
      <c r="AE25" s="46">
        <v>295</v>
      </c>
      <c r="AF25" s="9">
        <v>200</v>
      </c>
      <c r="AG25" s="9">
        <v>185</v>
      </c>
      <c r="AH25" s="9">
        <f>(AF25+AG25)/2</f>
        <v>192.5</v>
      </c>
      <c r="AI25" s="45">
        <v>195</v>
      </c>
      <c r="AJ25" s="9">
        <v>175</v>
      </c>
      <c r="AK25" s="46">
        <f>(AI25+AJ25)/2</f>
        <v>185</v>
      </c>
      <c r="AL25" s="23">
        <v>1490</v>
      </c>
      <c r="AM25" s="9"/>
      <c r="AN25" s="23">
        <v>1650</v>
      </c>
      <c r="AO25" s="45">
        <v>3629</v>
      </c>
      <c r="AP25" s="9">
        <v>4578</v>
      </c>
      <c r="AQ25" s="46">
        <v>5667</v>
      </c>
      <c r="AR25" s="9">
        <v>22.3</v>
      </c>
      <c r="AS25" s="42">
        <f>AO25/AR25</f>
        <v>162.7354260089686</v>
      </c>
      <c r="AT25" s="42">
        <f>AP25/AR25</f>
        <v>205.29147982062779</v>
      </c>
      <c r="AU25" s="42">
        <f>AQ25/AR25</f>
        <v>254.12556053811659</v>
      </c>
      <c r="AV25" s="49">
        <f>(AL25*0.7457)/(AP25/1000)</f>
        <v>242.70270860637834</v>
      </c>
      <c r="AW25" s="42">
        <f>(AM25*0.7457)/(AP25/1000)</f>
        <v>0</v>
      </c>
      <c r="AX25" s="50">
        <f>(AN25*0.7457)/(AP25/1000)</f>
        <v>268.764744429882</v>
      </c>
      <c r="AY25" s="9"/>
      <c r="AZ25" s="42">
        <f>MAX(AV25:AX25)</f>
        <v>268.764744429882</v>
      </c>
      <c r="BA25" s="42">
        <f>(AL25*0.7457)/(AQ25/1000)</f>
        <v>196.06370213516854</v>
      </c>
      <c r="BB25" s="45">
        <f>60*4.3</f>
        <v>258</v>
      </c>
      <c r="BC25" s="23">
        <v>732</v>
      </c>
      <c r="BD25" s="23">
        <v>1020</v>
      </c>
      <c r="BE25" s="68">
        <f>BC25/BD25</f>
        <v>0.71764705882352942</v>
      </c>
      <c r="BF25" s="69">
        <f>BD25/BB25</f>
        <v>3.9534883720930232</v>
      </c>
      <c r="BG25" s="70">
        <f>30/BB25*1.5</f>
        <v>0.1744186046511628</v>
      </c>
      <c r="BH25" s="72">
        <f>AP25-(BC25*(1-BG25))</f>
        <v>3973.6744186046512</v>
      </c>
      <c r="BI25" s="71">
        <f>BH25/AR25</f>
        <v>178.19167796433413</v>
      </c>
      <c r="BJ25" s="71">
        <f>(AL25*0.7457)/(BH25/1000)</f>
        <v>279.61349696842007</v>
      </c>
      <c r="BK25" s="45"/>
      <c r="BL25" s="1"/>
      <c r="BM25" s="1"/>
    </row>
    <row r="26" spans="1:65" ht="45" x14ac:dyDescent="0.25">
      <c r="A26" s="12" t="s">
        <v>30</v>
      </c>
      <c r="B26" s="9" t="s">
        <v>15</v>
      </c>
      <c r="C26" s="9" t="s">
        <v>51</v>
      </c>
      <c r="D26" s="43">
        <v>15646</v>
      </c>
      <c r="E26" s="9" t="s">
        <v>113</v>
      </c>
      <c r="F26" s="9">
        <v>15</v>
      </c>
      <c r="G26" s="45">
        <v>160</v>
      </c>
      <c r="H26" s="9">
        <v>172</v>
      </c>
      <c r="I26" s="9">
        <v>18.3</v>
      </c>
      <c r="J26" s="9">
        <v>13</v>
      </c>
      <c r="K26" s="30" t="s">
        <v>99</v>
      </c>
      <c r="L26" s="46">
        <v>841</v>
      </c>
      <c r="M26" s="9"/>
      <c r="N26" s="9">
        <v>539</v>
      </c>
      <c r="O26" s="45">
        <v>535</v>
      </c>
      <c r="P26" s="46">
        <v>591</v>
      </c>
      <c r="Q26" s="9">
        <v>579</v>
      </c>
      <c r="R26" s="9">
        <v>599</v>
      </c>
      <c r="S26" s="45">
        <v>576</v>
      </c>
      <c r="T26" s="46">
        <v>576</v>
      </c>
      <c r="U26" s="9">
        <v>595</v>
      </c>
      <c r="V26" s="9">
        <v>4500</v>
      </c>
      <c r="W26" s="9">
        <v>15.2</v>
      </c>
      <c r="X26" s="45">
        <v>9300</v>
      </c>
      <c r="Y26" s="9">
        <v>16.7</v>
      </c>
      <c r="Z26" s="9">
        <v>13.5</v>
      </c>
      <c r="AA26" s="46">
        <v>7.2</v>
      </c>
      <c r="AB26" s="45">
        <v>21.5</v>
      </c>
      <c r="AC26" s="9">
        <v>270</v>
      </c>
      <c r="AD26" s="9">
        <v>30.3</v>
      </c>
      <c r="AE26" s="46">
        <v>270</v>
      </c>
      <c r="AF26" s="9">
        <v>180</v>
      </c>
      <c r="AG26" s="9">
        <v>150</v>
      </c>
      <c r="AH26" s="9">
        <f>(AF26+AG26)/2</f>
        <v>165</v>
      </c>
      <c r="AI26" s="45">
        <v>160</v>
      </c>
      <c r="AJ26" s="9">
        <v>155</v>
      </c>
      <c r="AK26" s="46">
        <f>(AI26+AJ26)/2</f>
        <v>157.5</v>
      </c>
      <c r="AL26" s="9">
        <v>1000</v>
      </c>
      <c r="AM26" s="9">
        <v>1150</v>
      </c>
      <c r="AN26" s="9">
        <v>1550</v>
      </c>
      <c r="AO26" s="45">
        <v>3331</v>
      </c>
      <c r="AP26" s="9">
        <v>3508</v>
      </c>
      <c r="AQ26" s="46">
        <v>3868</v>
      </c>
      <c r="AR26" s="9">
        <v>19.82</v>
      </c>
      <c r="AS26" s="42">
        <f>AO26/AR26</f>
        <v>168.06256306760847</v>
      </c>
      <c r="AT26" s="42">
        <f>AP26/AR26</f>
        <v>176.99293642785065</v>
      </c>
      <c r="AU26" s="42">
        <f>AQ26/AR26</f>
        <v>195.15640766902118</v>
      </c>
      <c r="AV26" s="49">
        <f>(AL26*0.7457)/(AP26/1000)</f>
        <v>212.57126567844927</v>
      </c>
      <c r="AW26" s="42">
        <f>(AM26*0.7457)/(AP26/1000)</f>
        <v>244.45695553021667</v>
      </c>
      <c r="AX26" s="50">
        <f>(AN26*0.7457)/(AP26/1000)</f>
        <v>329.48546180159639</v>
      </c>
      <c r="AY26" s="9"/>
      <c r="AZ26" s="42">
        <f>MAX(AV26:AX26)</f>
        <v>329.48546180159639</v>
      </c>
      <c r="BA26" s="42">
        <f>(AL26*0.7457)/(AQ26/1000)</f>
        <v>192.78697001034129</v>
      </c>
      <c r="BB26" s="49">
        <f>1.6*60</f>
        <v>96</v>
      </c>
      <c r="BC26" s="42">
        <f>326.9</f>
        <v>326.89999999999998</v>
      </c>
      <c r="BD26" s="42">
        <v>454</v>
      </c>
      <c r="BE26" s="68">
        <f>BC26/BD26</f>
        <v>0.72004405286343609</v>
      </c>
      <c r="BF26" s="69">
        <f>BD26/BB26</f>
        <v>4.729166666666667</v>
      </c>
      <c r="BG26" s="70">
        <f>30/BB26*1.5</f>
        <v>0.46875</v>
      </c>
      <c r="BH26" s="72">
        <f>AP26-(BC26*(1-BG26))</f>
        <v>3334.3343749999999</v>
      </c>
      <c r="BI26" s="71">
        <f>BH26/AR26</f>
        <v>168.23079591321897</v>
      </c>
      <c r="BJ26" s="71">
        <f>(AM26*0.7457)/(BH26/1000)</f>
        <v>257.18926284950055</v>
      </c>
      <c r="BK26" s="49">
        <f>AP26-(BC26/2)-192</f>
        <v>3152.55</v>
      </c>
      <c r="BL26" s="5">
        <f>BK26/AR26</f>
        <v>159.05903128153381</v>
      </c>
      <c r="BM26" s="5">
        <f>(AN26*0.7457)/(BK26/1000)</f>
        <v>366.6349463133019</v>
      </c>
    </row>
    <row r="27" spans="1:65" ht="30" x14ac:dyDescent="0.25">
      <c r="A27" s="12" t="s">
        <v>35</v>
      </c>
      <c r="B27" s="9" t="s">
        <v>36</v>
      </c>
      <c r="C27" s="9" t="s">
        <v>52</v>
      </c>
      <c r="D27" s="9">
        <v>1944</v>
      </c>
      <c r="E27" s="9" t="s">
        <v>113</v>
      </c>
      <c r="F27" s="9">
        <v>21</v>
      </c>
      <c r="G27" s="45">
        <v>178</v>
      </c>
      <c r="H27" s="9">
        <v>222</v>
      </c>
      <c r="I27" s="9">
        <v>17.100000000000001</v>
      </c>
      <c r="J27" s="9">
        <v>11</v>
      </c>
      <c r="K27" s="30" t="s">
        <v>104</v>
      </c>
      <c r="L27" s="46">
        <v>805</v>
      </c>
      <c r="M27" s="9">
        <v>502</v>
      </c>
      <c r="N27" s="9">
        <v>557</v>
      </c>
      <c r="O27" s="45">
        <v>433</v>
      </c>
      <c r="P27" s="46">
        <v>586</v>
      </c>
      <c r="Q27" s="9">
        <v>567</v>
      </c>
      <c r="R27" s="9">
        <v>625</v>
      </c>
      <c r="S27" s="45">
        <v>624</v>
      </c>
      <c r="T27" s="46">
        <v>692</v>
      </c>
      <c r="U27" s="9">
        <v>666</v>
      </c>
      <c r="V27" s="9">
        <v>9000</v>
      </c>
      <c r="W27" s="9">
        <v>10.8</v>
      </c>
      <c r="X27" s="45">
        <v>11580</v>
      </c>
      <c r="Y27" s="9">
        <v>12.1</v>
      </c>
      <c r="Z27" s="9">
        <v>11.5</v>
      </c>
      <c r="AA27" s="46">
        <v>10.3</v>
      </c>
      <c r="AB27" s="45">
        <v>27.5</v>
      </c>
      <c r="AC27" s="9">
        <v>322</v>
      </c>
      <c r="AD27" s="9">
        <v>31</v>
      </c>
      <c r="AE27" s="46">
        <v>330</v>
      </c>
      <c r="AF27" s="9">
        <v>200</v>
      </c>
      <c r="AG27" s="9">
        <v>185</v>
      </c>
      <c r="AH27" s="9">
        <f>(AF27+AG27)/2</f>
        <v>192.5</v>
      </c>
      <c r="AI27" s="45">
        <v>195</v>
      </c>
      <c r="AJ27" s="9">
        <v>175</v>
      </c>
      <c r="AK27" s="46">
        <f>(AI27+AJ27)/2</f>
        <v>185</v>
      </c>
      <c r="AL27" s="9">
        <v>1620</v>
      </c>
      <c r="AM27" s="9">
        <v>1950</v>
      </c>
      <c r="AN27" s="9">
        <v>2600</v>
      </c>
      <c r="AO27" s="45">
        <v>5163</v>
      </c>
      <c r="AP27" s="9">
        <v>6503</v>
      </c>
      <c r="AQ27" s="46">
        <v>8163</v>
      </c>
      <c r="AR27" s="9">
        <v>27.87</v>
      </c>
      <c r="AS27" s="42">
        <f>AO27/AR27</f>
        <v>185.2529601722282</v>
      </c>
      <c r="AT27" s="42">
        <f>AP27/AR27</f>
        <v>233.33333333333331</v>
      </c>
      <c r="AU27" s="42">
        <f>AQ27/AR27</f>
        <v>292.89558665231431</v>
      </c>
      <c r="AV27" s="49">
        <f>(AL27*0.7457)/(AP27/1000)</f>
        <v>185.7656466246348</v>
      </c>
      <c r="AW27" s="42">
        <f>(AM27*0.7457)/(AP27/1000)</f>
        <v>223.6067968629863</v>
      </c>
      <c r="AX27" s="50">
        <f>(AN27*0.7457)/(AP27/1000)</f>
        <v>298.1423958173151</v>
      </c>
      <c r="AY27" s="9"/>
      <c r="AZ27" s="42">
        <f>MAX(AV27:AX27)</f>
        <v>298.1423958173151</v>
      </c>
      <c r="BA27" s="42">
        <f>(AL27*0.7457)/(AQ27/1000)</f>
        <v>147.98897464167587</v>
      </c>
      <c r="BB27" s="45">
        <f>60*2.4</f>
        <v>144</v>
      </c>
      <c r="BC27" s="9">
        <v>1006</v>
      </c>
      <c r="BD27" s="9">
        <v>1404</v>
      </c>
      <c r="BE27" s="68">
        <f>BC27/BD27</f>
        <v>0.7165242165242165</v>
      </c>
      <c r="BF27" s="69">
        <f>BD27/BB27</f>
        <v>9.75</v>
      </c>
      <c r="BG27" s="70">
        <f>30/BB27*1.5</f>
        <v>0.3125</v>
      </c>
      <c r="BH27" s="72">
        <f>AP27-(BC27*(1-BG27))</f>
        <v>5811.375</v>
      </c>
      <c r="BI27" s="71">
        <f>BH27/AR27</f>
        <v>208.51722282023681</v>
      </c>
      <c r="BJ27" s="71">
        <f>(AM27*0.7457)/(BH27/1000)</f>
        <v>250.21875201651932</v>
      </c>
      <c r="BK27" s="45">
        <f>6503-(BC27/4)-280</f>
        <v>5971.5</v>
      </c>
      <c r="BL27" s="1"/>
      <c r="BM27" s="1"/>
    </row>
    <row r="28" spans="1:65" ht="30" x14ac:dyDescent="0.25">
      <c r="A28" s="12" t="s">
        <v>60</v>
      </c>
      <c r="B28" s="9" t="s">
        <v>15</v>
      </c>
      <c r="C28" s="9" t="s">
        <v>49</v>
      </c>
      <c r="D28" s="43">
        <v>15128</v>
      </c>
      <c r="E28" s="9" t="s">
        <v>118</v>
      </c>
      <c r="F28" s="9">
        <v>32</v>
      </c>
      <c r="G28" s="45">
        <v>136</v>
      </c>
      <c r="H28" s="9">
        <v>156</v>
      </c>
      <c r="I28" s="9">
        <v>19.399999999999999</v>
      </c>
      <c r="J28" s="9">
        <v>11.5</v>
      </c>
      <c r="K28" s="30" t="s">
        <v>92</v>
      </c>
      <c r="L28" s="46">
        <v>570</v>
      </c>
      <c r="M28" s="9">
        <v>421</v>
      </c>
      <c r="N28" s="9">
        <v>430</v>
      </c>
      <c r="O28" s="45">
        <v>435</v>
      </c>
      <c r="P28" s="46">
        <v>444</v>
      </c>
      <c r="Q28" s="9">
        <v>445</v>
      </c>
      <c r="R28" s="9">
        <v>453</v>
      </c>
      <c r="S28" s="45">
        <v>427</v>
      </c>
      <c r="T28" s="46">
        <v>435</v>
      </c>
      <c r="U28" s="9">
        <v>447</v>
      </c>
      <c r="V28" s="9">
        <v>2000</v>
      </c>
      <c r="W28" s="9">
        <v>6.7</v>
      </c>
      <c r="X28" s="45">
        <v>7500</v>
      </c>
      <c r="Y28" s="9">
        <v>9.4</v>
      </c>
      <c r="Z28" s="9">
        <v>8.9</v>
      </c>
      <c r="AA28" s="46">
        <v>3.9</v>
      </c>
      <c r="AB28" s="45">
        <v>23.1</v>
      </c>
      <c r="AC28" s="9">
        <v>250</v>
      </c>
      <c r="AD28" s="9">
        <v>32.6</v>
      </c>
      <c r="AE28" s="46">
        <v>250</v>
      </c>
      <c r="AF28" s="9">
        <v>190</v>
      </c>
      <c r="AG28" s="9">
        <v>150</v>
      </c>
      <c r="AH28" s="9">
        <f>(AF28+AG28)/2</f>
        <v>170</v>
      </c>
      <c r="AI28" s="45">
        <v>140</v>
      </c>
      <c r="AJ28" s="9">
        <v>130</v>
      </c>
      <c r="AK28" s="46">
        <f>(AI28+AJ28)/2</f>
        <v>135</v>
      </c>
      <c r="AL28" s="9">
        <v>1500</v>
      </c>
      <c r="AM28" s="9">
        <v>1600</v>
      </c>
      <c r="AN28" s="9"/>
      <c r="AO28" s="45">
        <v>4464</v>
      </c>
      <c r="AP28" s="9">
        <v>5049</v>
      </c>
      <c r="AQ28" s="46">
        <v>5888</v>
      </c>
      <c r="AR28" s="9">
        <v>38.5</v>
      </c>
      <c r="AS28" s="42">
        <f>AO28/AR28</f>
        <v>115.94805194805195</v>
      </c>
      <c r="AT28" s="42">
        <f>AP28/AR28</f>
        <v>131.14285714285714</v>
      </c>
      <c r="AU28" s="42">
        <f>AQ28/AR28</f>
        <v>152.93506493506493</v>
      </c>
      <c r="AV28" s="49">
        <f>(AL28*0.7457)/(AP28/1000)</f>
        <v>221.53891859774211</v>
      </c>
      <c r="AW28" s="42">
        <f>(AM28*0.7457)/(AP28/1000)</f>
        <v>236.30817983759161</v>
      </c>
      <c r="AX28" s="50">
        <f>(AN28*0.7457)/(AP28/1000)</f>
        <v>0</v>
      </c>
      <c r="AY28" s="9"/>
      <c r="AZ28" s="42">
        <f>MAX(AV28:AX28)</f>
        <v>236.30817983759161</v>
      </c>
      <c r="BA28" s="42">
        <f>(AL28*0.7457)/(AQ28/1000)</f>
        <v>189.97112771739131</v>
      </c>
      <c r="BB28" s="45">
        <f>1.7*60</f>
        <v>102</v>
      </c>
      <c r="BC28" s="9">
        <v>470</v>
      </c>
      <c r="BD28" s="9">
        <v>641</v>
      </c>
      <c r="BE28" s="68">
        <f>BC28/BD28</f>
        <v>0.73322932917316697</v>
      </c>
      <c r="BF28" s="69">
        <f>BD28/BB28</f>
        <v>6.284313725490196</v>
      </c>
      <c r="BG28" s="70">
        <f>30/BB28*1.5</f>
        <v>0.44117647058823528</v>
      </c>
      <c r="BH28" s="72">
        <f>AP28-(BC28*(1-BG28))</f>
        <v>4786.3529411764703</v>
      </c>
      <c r="BI28" s="71">
        <f>BH28/AR28</f>
        <v>124.32085561497325</v>
      </c>
      <c r="BJ28" s="71">
        <f>(AM28*0.7457)/(BH28/1000)</f>
        <v>249.27539081702886</v>
      </c>
      <c r="BK28" s="45"/>
      <c r="BL28" s="1"/>
      <c r="BM28" s="1"/>
    </row>
    <row r="29" spans="1:65" ht="45" x14ac:dyDescent="0.25">
      <c r="A29" s="12" t="s">
        <v>33</v>
      </c>
      <c r="B29" s="9" t="s">
        <v>15</v>
      </c>
      <c r="C29" s="9" t="s">
        <v>49</v>
      </c>
      <c r="D29" s="43">
        <v>15311</v>
      </c>
      <c r="E29" s="9" t="s">
        <v>113</v>
      </c>
      <c r="F29" s="9">
        <v>3</v>
      </c>
      <c r="G29" s="45">
        <v>153</v>
      </c>
      <c r="H29" s="9">
        <v>176</v>
      </c>
      <c r="I29" s="9">
        <v>14</v>
      </c>
      <c r="J29" s="9">
        <v>12.2</v>
      </c>
      <c r="K29" s="30" t="s">
        <v>107</v>
      </c>
      <c r="L29" s="46">
        <v>860</v>
      </c>
      <c r="M29" s="9"/>
      <c r="N29" s="9">
        <v>494</v>
      </c>
      <c r="O29" s="45">
        <v>477</v>
      </c>
      <c r="P29" s="46">
        <v>517</v>
      </c>
      <c r="Q29" s="9">
        <v>517</v>
      </c>
      <c r="R29" s="9">
        <v>562</v>
      </c>
      <c r="S29" s="45">
        <v>517</v>
      </c>
      <c r="T29" s="46">
        <v>569</v>
      </c>
      <c r="U29" s="9">
        <v>530</v>
      </c>
      <c r="V29" s="9">
        <v>4000</v>
      </c>
      <c r="W29" s="9">
        <v>10.199999999999999</v>
      </c>
      <c r="X29" s="45">
        <v>9200</v>
      </c>
      <c r="Y29" s="9">
        <v>12.5</v>
      </c>
      <c r="Z29" s="9">
        <v>10</v>
      </c>
      <c r="AA29" s="46">
        <v>3.7</v>
      </c>
      <c r="AB29" s="45">
        <v>24.3</v>
      </c>
      <c r="AC29" s="9">
        <v>270</v>
      </c>
      <c r="AD29" s="9">
        <v>36.1</v>
      </c>
      <c r="AE29" s="46">
        <v>270</v>
      </c>
      <c r="AF29" s="9">
        <v>190</v>
      </c>
      <c r="AG29" s="9">
        <v>160</v>
      </c>
      <c r="AH29" s="9">
        <f>(AF29+AG29)/2</f>
        <v>175</v>
      </c>
      <c r="AI29" s="45">
        <v>145</v>
      </c>
      <c r="AJ29" s="9">
        <v>140</v>
      </c>
      <c r="AK29" s="46">
        <f>(AI29+AJ29)/2</f>
        <v>142.5</v>
      </c>
      <c r="AL29" s="9">
        <v>900</v>
      </c>
      <c r="AM29" s="9">
        <v>1150</v>
      </c>
      <c r="AN29" s="9">
        <v>1470</v>
      </c>
      <c r="AO29" s="45">
        <v>3264</v>
      </c>
      <c r="AP29" s="9">
        <v>3819</v>
      </c>
      <c r="AQ29" s="46">
        <v>4414</v>
      </c>
      <c r="AR29" s="9">
        <v>21.92</v>
      </c>
      <c r="AS29" s="42">
        <f>AO29/AR29</f>
        <v>148.90510948905109</v>
      </c>
      <c r="AT29" s="42">
        <f>AP29/AR29</f>
        <v>174.22445255474452</v>
      </c>
      <c r="AU29" s="42">
        <f>AQ29/AR29</f>
        <v>201.36861313868613</v>
      </c>
      <c r="AV29" s="49">
        <f>(AL29*0.7457)/(AP29/1000)</f>
        <v>175.73448546739985</v>
      </c>
      <c r="AW29" s="42">
        <f>(AM29*0.7457)/(AP29/1000)</f>
        <v>224.54962031945539</v>
      </c>
      <c r="AX29" s="50">
        <f>(AN29*0.7457)/(AP29/1000)</f>
        <v>287.03299293008644</v>
      </c>
      <c r="AY29" s="9"/>
      <c r="AZ29" s="42">
        <f>MAX(AV29:AX29)</f>
        <v>287.03299293008644</v>
      </c>
      <c r="BA29" s="42">
        <f>(AL29*0.7457)/(AQ29/1000)</f>
        <v>152.04576347983689</v>
      </c>
      <c r="BB29" s="45">
        <f>60*2.8</f>
        <v>168</v>
      </c>
      <c r="BC29" s="23">
        <v>404</v>
      </c>
      <c r="BD29" s="23">
        <v>561</v>
      </c>
      <c r="BE29" s="68">
        <f>BC29/BD29</f>
        <v>0.72014260249554363</v>
      </c>
      <c r="BF29" s="69">
        <f>BD29/BB29</f>
        <v>3.3392857142857144</v>
      </c>
      <c r="BG29" s="70">
        <f>30/BB29*1.5</f>
        <v>0.26785714285714285</v>
      </c>
      <c r="BH29" s="72">
        <f>AP29-(BC29*(1-BG29))</f>
        <v>3523.2142857142858</v>
      </c>
      <c r="BI29" s="71">
        <f>BH29/AR29</f>
        <v>160.7305787278415</v>
      </c>
      <c r="BJ29" s="71">
        <f>(AM29*0.7457)/(BH29/1000)</f>
        <v>243.40131779016727</v>
      </c>
      <c r="BK29" s="45">
        <f>AP29-BK44-156+207</f>
        <v>3870</v>
      </c>
      <c r="BL29" s="5">
        <f>BK29/AR29</f>
        <v>176.55109489051094</v>
      </c>
      <c r="BM29" s="5">
        <f>(AL29*0.7457)/(BK29/1000)</f>
        <v>173.41860465116278</v>
      </c>
    </row>
    <row r="30" spans="1:65" ht="30" x14ac:dyDescent="0.25">
      <c r="A30" s="12" t="s">
        <v>64</v>
      </c>
      <c r="B30" s="9" t="s">
        <v>15</v>
      </c>
      <c r="C30" s="9" t="s">
        <v>50</v>
      </c>
      <c r="D30" s="43">
        <v>15493</v>
      </c>
      <c r="E30" s="9" t="s">
        <v>118</v>
      </c>
      <c r="F30" s="9">
        <v>36</v>
      </c>
      <c r="G30" s="45">
        <v>138</v>
      </c>
      <c r="H30" s="9">
        <v>158</v>
      </c>
      <c r="I30" s="9">
        <v>19.399999999999999</v>
      </c>
      <c r="J30" s="9">
        <v>10.5</v>
      </c>
      <c r="K30" s="30" t="s">
        <v>92</v>
      </c>
      <c r="L30" s="46">
        <v>570</v>
      </c>
      <c r="M30" s="9">
        <v>380</v>
      </c>
      <c r="N30" s="9">
        <v>400</v>
      </c>
      <c r="O30" s="45">
        <v>406</v>
      </c>
      <c r="P30" s="46">
        <v>416</v>
      </c>
      <c r="Q30" s="9">
        <v>411</v>
      </c>
      <c r="R30" s="9">
        <v>419</v>
      </c>
      <c r="S30" s="45">
        <v>393</v>
      </c>
      <c r="T30" s="46">
        <v>403</v>
      </c>
      <c r="U30" s="9">
        <v>412</v>
      </c>
      <c r="V30" s="9">
        <v>2000</v>
      </c>
      <c r="W30" s="9">
        <v>6.7</v>
      </c>
      <c r="X30" s="45">
        <v>6000</v>
      </c>
      <c r="Y30" s="9">
        <v>7.1</v>
      </c>
      <c r="Z30" s="9">
        <v>5.6</v>
      </c>
      <c r="AA30" s="46">
        <v>0</v>
      </c>
      <c r="AB30" s="45">
        <v>25.7</v>
      </c>
      <c r="AC30" s="9">
        <v>250</v>
      </c>
      <c r="AD30" s="9">
        <v>37.299999999999997</v>
      </c>
      <c r="AE30" s="46">
        <v>250</v>
      </c>
      <c r="AF30" s="9">
        <v>190</v>
      </c>
      <c r="AG30" s="9">
        <v>150</v>
      </c>
      <c r="AH30" s="9">
        <f>(AF30+AG30)/2</f>
        <v>170</v>
      </c>
      <c r="AI30" s="45">
        <v>145</v>
      </c>
      <c r="AJ30" s="9">
        <v>135</v>
      </c>
      <c r="AK30" s="46">
        <f>(AI30+AJ30)/2</f>
        <v>140</v>
      </c>
      <c r="AL30" s="9">
        <v>1500</v>
      </c>
      <c r="AM30" s="9">
        <v>1600</v>
      </c>
      <c r="AN30" s="9"/>
      <c r="AO30" s="45">
        <v>4651</v>
      </c>
      <c r="AP30" s="9">
        <v>5294</v>
      </c>
      <c r="AQ30" s="46">
        <v>6127</v>
      </c>
      <c r="AR30" s="9">
        <v>38.5</v>
      </c>
      <c r="AS30" s="42">
        <f>AO30/AR30</f>
        <v>120.8051948051948</v>
      </c>
      <c r="AT30" s="42">
        <f>AP30/AR30</f>
        <v>137.50649350649351</v>
      </c>
      <c r="AU30" s="42">
        <f>AQ30/AR30</f>
        <v>159.14285714285714</v>
      </c>
      <c r="AV30" s="49">
        <f>(AL30*0.7457)/(AP30/1000)</f>
        <v>211.28636191915376</v>
      </c>
      <c r="AW30" s="42">
        <f>(AM30*0.7457)/(AP30/1000)</f>
        <v>225.37211938043072</v>
      </c>
      <c r="AX30" s="50">
        <f>(AN30*0.7457)/(AP30/1000)</f>
        <v>0</v>
      </c>
      <c r="AY30" s="9"/>
      <c r="AZ30" s="42">
        <f>MAX(AV30:AX30)</f>
        <v>225.37211938043072</v>
      </c>
      <c r="BA30" s="42">
        <f>(AL30*0.7457)/(AQ30/1000)</f>
        <v>182.56079647462053</v>
      </c>
      <c r="BB30" s="45">
        <f>1.7*60</f>
        <v>102</v>
      </c>
      <c r="BC30" s="9">
        <v>535</v>
      </c>
      <c r="BD30" s="9">
        <v>730</v>
      </c>
      <c r="BE30" s="68">
        <f>BC30/BD30</f>
        <v>0.73287671232876717</v>
      </c>
      <c r="BF30" s="69">
        <f>BD30/BB30</f>
        <v>7.1568627450980395</v>
      </c>
      <c r="BG30" s="70">
        <f>30/BB30*1.5</f>
        <v>0.44117647058823528</v>
      </c>
      <c r="BH30" s="72">
        <f>AP30-(BC30*(1-BG30))</f>
        <v>4995.0294117647063</v>
      </c>
      <c r="BI30" s="71">
        <f>BH30/AR30</f>
        <v>129.74102368220017</v>
      </c>
      <c r="BJ30" s="71">
        <f>(AM30*0.7457)/(BH30/1000)</f>
        <v>238.86145638899848</v>
      </c>
      <c r="BK30" s="45"/>
      <c r="BL30" s="1"/>
      <c r="BM30" s="1"/>
    </row>
    <row r="31" spans="1:65" x14ac:dyDescent="0.25">
      <c r="A31" s="40" t="s">
        <v>69</v>
      </c>
      <c r="B31" s="9" t="s">
        <v>15</v>
      </c>
      <c r="C31" s="9" t="s">
        <v>51</v>
      </c>
      <c r="D31" s="43">
        <v>15738</v>
      </c>
      <c r="E31" s="9" t="s">
        <v>118</v>
      </c>
      <c r="F31" s="9">
        <v>40</v>
      </c>
      <c r="G31" s="45">
        <v>159</v>
      </c>
      <c r="H31" s="9">
        <v>144</v>
      </c>
      <c r="I31" s="9">
        <v>19.399999999999999</v>
      </c>
      <c r="J31" s="9">
        <v>10.5</v>
      </c>
      <c r="K31" s="30" t="s">
        <v>105</v>
      </c>
      <c r="L31" s="46">
        <v>570</v>
      </c>
      <c r="M31" s="9">
        <v>389</v>
      </c>
      <c r="N31" s="9">
        <v>407</v>
      </c>
      <c r="O31" s="45">
        <v>402</v>
      </c>
      <c r="P31" s="46">
        <v>420</v>
      </c>
      <c r="Q31" s="9">
        <v>395</v>
      </c>
      <c r="R31" s="9">
        <v>425</v>
      </c>
      <c r="S31" s="45">
        <v>355</v>
      </c>
      <c r="T31" s="46">
        <v>402</v>
      </c>
      <c r="U31" s="9">
        <v>404</v>
      </c>
      <c r="V31" s="9">
        <v>2000</v>
      </c>
      <c r="W31" s="9">
        <v>6.7</v>
      </c>
      <c r="X31" s="45">
        <v>5600</v>
      </c>
      <c r="Y31" s="9">
        <v>7.5</v>
      </c>
      <c r="Z31" s="9">
        <v>4.2</v>
      </c>
      <c r="AA31" s="46">
        <v>0</v>
      </c>
      <c r="AB31" s="45">
        <v>26.6</v>
      </c>
      <c r="AC31" s="9">
        <v>250</v>
      </c>
      <c r="AD31" s="9">
        <v>39.299999999999997</v>
      </c>
      <c r="AE31" s="46">
        <v>250</v>
      </c>
      <c r="AF31" s="9">
        <v>200</v>
      </c>
      <c r="AG31" s="9">
        <v>160</v>
      </c>
      <c r="AH31" s="9">
        <f>(AF31+AG31)/2</f>
        <v>180</v>
      </c>
      <c r="AI31" s="45">
        <v>155</v>
      </c>
      <c r="AJ31" s="9">
        <v>145</v>
      </c>
      <c r="AK31" s="46">
        <f>(AI31+AJ31)/2</f>
        <v>150</v>
      </c>
      <c r="AL31" s="9">
        <v>1500</v>
      </c>
      <c r="AM31" s="9">
        <v>1720</v>
      </c>
      <c r="AN31" s="9"/>
      <c r="AO31" s="45">
        <v>5014</v>
      </c>
      <c r="AP31" s="9">
        <v>5681</v>
      </c>
      <c r="AQ31" s="46">
        <v>6375</v>
      </c>
      <c r="AR31" s="9">
        <v>38.5</v>
      </c>
      <c r="AS31" s="42">
        <f>AO31/AR31</f>
        <v>130.23376623376623</v>
      </c>
      <c r="AT31" s="42">
        <f>AP31/AR31</f>
        <v>147.55844155844156</v>
      </c>
      <c r="AU31" s="42">
        <f>AQ31/AR31</f>
        <v>165.58441558441558</v>
      </c>
      <c r="AV31" s="49">
        <f>(AL31*0.7457)/(AP31/1000)</f>
        <v>196.89315261397641</v>
      </c>
      <c r="AW31" s="42">
        <f>(AM31*0.7457)/(AP31/1000)</f>
        <v>225.77081499735962</v>
      </c>
      <c r="AX31" s="50">
        <f>(AN31*0.7457)/(AP31/1000)</f>
        <v>0</v>
      </c>
      <c r="AY31" s="9"/>
      <c r="AZ31" s="42">
        <f>MAX(AV31:AX31)</f>
        <v>225.77081499735962</v>
      </c>
      <c r="BA31" s="42">
        <f>(AL31*0.7457)/(AQ31/1000)</f>
        <v>175.45882352941175</v>
      </c>
      <c r="BB31" s="45">
        <f>1.4*60</f>
        <v>84</v>
      </c>
      <c r="BC31" s="9">
        <v>535</v>
      </c>
      <c r="BD31" s="9">
        <v>730</v>
      </c>
      <c r="BE31" s="68">
        <f>BC31/BD31</f>
        <v>0.73287671232876717</v>
      </c>
      <c r="BF31" s="69">
        <f>BD31/BB31</f>
        <v>8.6904761904761898</v>
      </c>
      <c r="BG31" s="70">
        <f>30/BB31*1.5</f>
        <v>0.5357142857142857</v>
      </c>
      <c r="BH31" s="72">
        <f>AP31-(BC31*(1-BG31))</f>
        <v>5432.6071428571431</v>
      </c>
      <c r="BI31" s="71">
        <f>BH31/AR31</f>
        <v>141.10667903525047</v>
      </c>
      <c r="BJ31" s="71">
        <f>(AM31*0.7457)/(BH31/1000)</f>
        <v>236.09364091169064</v>
      </c>
      <c r="BK31" s="45"/>
      <c r="BL31" s="1"/>
      <c r="BM31" s="1"/>
    </row>
    <row r="32" spans="1:65" ht="45" x14ac:dyDescent="0.25">
      <c r="A32" s="40" t="s">
        <v>67</v>
      </c>
      <c r="B32" s="9" t="s">
        <v>21</v>
      </c>
      <c r="C32" s="9" t="s">
        <v>50</v>
      </c>
      <c r="D32" s="43">
        <v>15401</v>
      </c>
      <c r="E32" s="9" t="s">
        <v>119</v>
      </c>
      <c r="F32" s="9">
        <v>38</v>
      </c>
      <c r="G32" s="45">
        <v>176</v>
      </c>
      <c r="H32" s="9">
        <v>137</v>
      </c>
      <c r="I32" s="9">
        <v>19.899999999999999</v>
      </c>
      <c r="J32" s="9">
        <v>9</v>
      </c>
      <c r="K32" s="30" t="s">
        <v>96</v>
      </c>
      <c r="L32" s="46">
        <v>650</v>
      </c>
      <c r="M32" s="9">
        <v>367</v>
      </c>
      <c r="N32" s="9"/>
      <c r="O32" s="45">
        <v>391</v>
      </c>
      <c r="P32" s="46">
        <v>410</v>
      </c>
      <c r="Q32" s="9">
        <v>403</v>
      </c>
      <c r="R32" s="9">
        <v>417</v>
      </c>
      <c r="S32" s="45">
        <v>425</v>
      </c>
      <c r="T32" s="46">
        <v>444</v>
      </c>
      <c r="U32" s="9">
        <v>427</v>
      </c>
      <c r="V32" s="9">
        <v>5500</v>
      </c>
      <c r="W32" s="9">
        <v>6.3</v>
      </c>
      <c r="X32" s="45">
        <v>7000</v>
      </c>
      <c r="Y32" s="9">
        <v>8</v>
      </c>
      <c r="Z32" s="9">
        <v>7</v>
      </c>
      <c r="AA32" s="46">
        <v>2.5</v>
      </c>
      <c r="AB32" s="45">
        <v>22.2</v>
      </c>
      <c r="AC32" s="9">
        <v>230</v>
      </c>
      <c r="AD32" s="9">
        <v>31.3</v>
      </c>
      <c r="AE32" s="46">
        <v>230</v>
      </c>
      <c r="AF32" s="9">
        <v>170</v>
      </c>
      <c r="AG32" s="9">
        <v>140</v>
      </c>
      <c r="AH32" s="9">
        <f>(AF32+AG32)/2</f>
        <v>155</v>
      </c>
      <c r="AI32" s="45">
        <v>145</v>
      </c>
      <c r="AJ32" s="9">
        <v>125</v>
      </c>
      <c r="AK32" s="46">
        <f>(AI32+AJ32)/2</f>
        <v>135</v>
      </c>
      <c r="AL32" s="9">
        <v>1190</v>
      </c>
      <c r="AM32" s="9">
        <v>1260</v>
      </c>
      <c r="AN32" s="9">
        <v>1420</v>
      </c>
      <c r="AO32" s="45">
        <v>4250</v>
      </c>
      <c r="AP32" s="9">
        <v>4835</v>
      </c>
      <c r="AQ32" s="46">
        <v>6684</v>
      </c>
      <c r="AR32" s="9">
        <v>31.9</v>
      </c>
      <c r="AS32" s="42">
        <f>AO32/AR32</f>
        <v>133.22884012539186</v>
      </c>
      <c r="AT32" s="42">
        <f>AP32/AR32</f>
        <v>151.56739811912226</v>
      </c>
      <c r="AU32" s="42">
        <f>AQ32/AR32</f>
        <v>209.52978056426332</v>
      </c>
      <c r="AV32" s="49">
        <f>(AL32*0.7457)/(AP32/1000)</f>
        <v>183.5331954498449</v>
      </c>
      <c r="AW32" s="42">
        <f>(AM32*0.7457)/(AP32/1000)</f>
        <v>194.329265770424</v>
      </c>
      <c r="AX32" s="50">
        <f>(AN32*0.7457)/(AP32/1000)</f>
        <v>219.00599793174769</v>
      </c>
      <c r="AY32" s="9"/>
      <c r="AZ32" s="42">
        <f>MAX(AV32:AX32)</f>
        <v>219.00599793174769</v>
      </c>
      <c r="BA32" s="42">
        <f>(AL32*0.7457)/(AQ32/1000)</f>
        <v>132.76226810293238</v>
      </c>
      <c r="BB32" s="45">
        <f>3.4*60</f>
        <v>204</v>
      </c>
      <c r="BC32" s="23">
        <v>626</v>
      </c>
      <c r="BD32" s="9">
        <v>840</v>
      </c>
      <c r="BE32" s="68">
        <f>BC32/BD32</f>
        <v>0.74523809523809526</v>
      </c>
      <c r="BF32" s="69">
        <f>BD32/BB32</f>
        <v>4.117647058823529</v>
      </c>
      <c r="BG32" s="70">
        <f>30/BB32*1.5</f>
        <v>0.22058823529411764</v>
      </c>
      <c r="BH32" s="72">
        <f>AP32-(BC32*(1-BG32))</f>
        <v>4347.088235294118</v>
      </c>
      <c r="BI32" s="71">
        <f>BH32/AR32</f>
        <v>136.27235847316985</v>
      </c>
      <c r="BJ32" s="71">
        <f>(AM32*0.7457)/(BH32/1000)</f>
        <v>216.14054032110744</v>
      </c>
      <c r="BK32" s="45"/>
      <c r="BL32" s="1"/>
      <c r="BM32" s="1"/>
    </row>
    <row r="33" spans="1:65" ht="30" x14ac:dyDescent="0.25">
      <c r="A33" s="40" t="s">
        <v>70</v>
      </c>
      <c r="B33" s="9" t="s">
        <v>21</v>
      </c>
      <c r="C33" s="9" t="s">
        <v>51</v>
      </c>
      <c r="D33" s="43">
        <v>15646</v>
      </c>
      <c r="E33" s="9" t="s">
        <v>118</v>
      </c>
      <c r="F33" s="9">
        <v>42</v>
      </c>
      <c r="G33" s="45">
        <v>190</v>
      </c>
      <c r="H33" s="9">
        <v>160</v>
      </c>
      <c r="I33" s="9">
        <v>20.3</v>
      </c>
      <c r="J33" s="9">
        <v>11</v>
      </c>
      <c r="K33" s="30" t="s">
        <v>100</v>
      </c>
      <c r="L33" s="46">
        <v>740</v>
      </c>
      <c r="M33" s="9">
        <v>489</v>
      </c>
      <c r="N33" s="9"/>
      <c r="O33" s="45">
        <v>520</v>
      </c>
      <c r="P33" s="46">
        <v>532</v>
      </c>
      <c r="Q33" s="9">
        <v>553</v>
      </c>
      <c r="R33" s="9">
        <v>564</v>
      </c>
      <c r="S33" s="45">
        <v>592</v>
      </c>
      <c r="T33" s="46">
        <v>605</v>
      </c>
      <c r="U33" s="9">
        <v>592</v>
      </c>
      <c r="V33" s="9">
        <v>6000</v>
      </c>
      <c r="W33" s="9">
        <v>11.5</v>
      </c>
      <c r="X33" s="45">
        <v>10800</v>
      </c>
      <c r="Y33" s="9">
        <v>15.6</v>
      </c>
      <c r="Z33" s="9">
        <v>14.1</v>
      </c>
      <c r="AA33" s="46">
        <v>10.7</v>
      </c>
      <c r="AB33" s="45">
        <v>23.5</v>
      </c>
      <c r="AC33" s="9">
        <v>270</v>
      </c>
      <c r="AD33" s="9">
        <v>31.2</v>
      </c>
      <c r="AE33" s="46">
        <v>270</v>
      </c>
      <c r="AF33" s="9">
        <v>230</v>
      </c>
      <c r="AG33" s="9">
        <v>190</v>
      </c>
      <c r="AH33" s="9">
        <f>(AF33+AG33)/2</f>
        <v>210</v>
      </c>
      <c r="AI33" s="45">
        <v>170</v>
      </c>
      <c r="AJ33" s="9">
        <v>150</v>
      </c>
      <c r="AK33" s="46">
        <f>(AI33+AJ33)/2</f>
        <v>160</v>
      </c>
      <c r="AL33" s="9">
        <v>1310</v>
      </c>
      <c r="AM33" s="9">
        <v>1480</v>
      </c>
      <c r="AN33" s="9"/>
      <c r="AO33" s="45">
        <v>6335</v>
      </c>
      <c r="AP33" s="9">
        <v>7514</v>
      </c>
      <c r="AQ33" s="46">
        <v>8928</v>
      </c>
      <c r="AR33" s="9">
        <v>38.4</v>
      </c>
      <c r="AS33" s="42">
        <f>AO33/AR33</f>
        <v>164.97395833333334</v>
      </c>
      <c r="AT33" s="42">
        <f>AP33/AR33</f>
        <v>195.67708333333334</v>
      </c>
      <c r="AU33" s="42">
        <f>AQ33/AR33</f>
        <v>232.5</v>
      </c>
      <c r="AV33" s="49">
        <f>(2*AL33*0.7457)/(AP33/1000)</f>
        <v>260.01250998136811</v>
      </c>
      <c r="AW33" s="42">
        <f>(2*AM33*0.7457)/(AP33/1000)</f>
        <v>293.75459142933192</v>
      </c>
      <c r="AX33" s="50">
        <f>(2*AN33*0.7457)/(AP33/1000)</f>
        <v>0</v>
      </c>
      <c r="AY33" s="9"/>
      <c r="AZ33" s="42">
        <f>MAX(AV33:AX33)</f>
        <v>293.75459142933192</v>
      </c>
      <c r="BA33" s="42">
        <f>(2*AL33*0.7457)/(AQ33/1000)</f>
        <v>218.83221326164875</v>
      </c>
      <c r="BB33" s="45">
        <f>60*4</f>
        <v>240</v>
      </c>
      <c r="BC33" s="23">
        <v>1003</v>
      </c>
      <c r="BD33" s="9">
        <v>1270</v>
      </c>
      <c r="BE33" s="68">
        <f>BC33/BD33</f>
        <v>0.78976377952755905</v>
      </c>
      <c r="BF33" s="69">
        <f>BD33/BB33</f>
        <v>5.291666666666667</v>
      </c>
      <c r="BG33" s="70">
        <f>30/BB33*1.5</f>
        <v>0.1875</v>
      </c>
      <c r="BH33" s="72">
        <f>AP33-(BC33*(1-BG33))</f>
        <v>6699.0625</v>
      </c>
      <c r="BI33" s="71">
        <f>BH33/AR33</f>
        <v>174.45475260416669</v>
      </c>
      <c r="BJ33" s="71">
        <f>(AM33*0.7457)/(BH33/1000)</f>
        <v>164.74484302840881</v>
      </c>
      <c r="BK33" s="45"/>
      <c r="BL33" s="1"/>
      <c r="BM33" s="1"/>
    </row>
    <row r="34" spans="1:65" ht="30" x14ac:dyDescent="0.25">
      <c r="A34" s="12" t="s">
        <v>80</v>
      </c>
      <c r="B34" s="9" t="s">
        <v>36</v>
      </c>
      <c r="C34" s="9" t="s">
        <v>52</v>
      </c>
      <c r="D34" s="9">
        <v>1944</v>
      </c>
      <c r="E34" s="9" t="s">
        <v>113</v>
      </c>
      <c r="F34" s="9">
        <v>24</v>
      </c>
      <c r="G34" s="45">
        <v>179</v>
      </c>
      <c r="H34" s="9">
        <v>220</v>
      </c>
      <c r="I34" s="9">
        <v>14.1</v>
      </c>
      <c r="J34" s="9">
        <v>9</v>
      </c>
      <c r="K34" s="30" t="s">
        <v>141</v>
      </c>
      <c r="L34" s="46">
        <v>725</v>
      </c>
      <c r="M34" s="9">
        <v>540</v>
      </c>
      <c r="N34" s="9">
        <v>557</v>
      </c>
      <c r="O34" s="45">
        <v>570</v>
      </c>
      <c r="P34" s="46">
        <v>582</v>
      </c>
      <c r="Q34" s="9">
        <v>605</v>
      </c>
      <c r="R34" s="9">
        <v>615</v>
      </c>
      <c r="S34" s="45">
        <v>650</v>
      </c>
      <c r="T34" s="46">
        <v>658</v>
      </c>
      <c r="U34" s="9">
        <v>674</v>
      </c>
      <c r="V34" s="9">
        <v>8500</v>
      </c>
      <c r="W34" s="9">
        <v>11.4</v>
      </c>
      <c r="X34" s="45">
        <v>12350</v>
      </c>
      <c r="Y34" s="9">
        <v>20.399999999999999</v>
      </c>
      <c r="Z34" s="9">
        <v>19.100000000000001</v>
      </c>
      <c r="AA34" s="46">
        <v>15</v>
      </c>
      <c r="AB34" s="45">
        <v>20</v>
      </c>
      <c r="AC34" s="9">
        <v>310</v>
      </c>
      <c r="AD34" s="9">
        <v>28.3</v>
      </c>
      <c r="AE34" s="46">
        <v>320</v>
      </c>
      <c r="AF34" s="9">
        <v>175</v>
      </c>
      <c r="AG34" s="9">
        <v>160</v>
      </c>
      <c r="AH34" s="9">
        <f>(AF34+AG34)/2</f>
        <v>167.5</v>
      </c>
      <c r="AI34" s="45">
        <v>175</v>
      </c>
      <c r="AJ34" s="9">
        <v>150</v>
      </c>
      <c r="AK34" s="46">
        <f>(AI34+AJ34)/2</f>
        <v>162.5</v>
      </c>
      <c r="AL34" s="23">
        <v>1490</v>
      </c>
      <c r="AM34" s="9"/>
      <c r="AN34" s="23">
        <v>1550</v>
      </c>
      <c r="AO34" s="45">
        <v>6662</v>
      </c>
      <c r="AP34" s="9">
        <v>7890</v>
      </c>
      <c r="AQ34" s="46">
        <v>10113</v>
      </c>
      <c r="AR34" s="9">
        <v>30.4</v>
      </c>
      <c r="AS34" s="42">
        <f>AO34/AR34</f>
        <v>219.14473684210526</v>
      </c>
      <c r="AT34" s="42">
        <f>AP34/AR34</f>
        <v>259.53947368421052</v>
      </c>
      <c r="AU34" s="42">
        <f>AQ34/AR34</f>
        <v>332.66447368421052</v>
      </c>
      <c r="AV34" s="49">
        <f>(2*AL34*0.7457)/(AP34/1000)</f>
        <v>281.64588086185046</v>
      </c>
      <c r="AW34" s="42">
        <f>(2*AM34*0.7457)/(AP34/1000)</f>
        <v>0</v>
      </c>
      <c r="AX34" s="50">
        <f>(2*AN34*0.7457)/(AP34/1000)</f>
        <v>292.9873257287706</v>
      </c>
      <c r="AY34" s="9"/>
      <c r="AZ34" s="42">
        <f>MAX(AV34:AX34)</f>
        <v>292.9873257287706</v>
      </c>
      <c r="BA34" s="42">
        <f>(2*AL34*0.7457)/(AQ34/1000)</f>
        <v>219.73558785721352</v>
      </c>
      <c r="BB34" s="45">
        <f>60*5.8</f>
        <v>348</v>
      </c>
      <c r="BC34" s="23">
        <v>1132</v>
      </c>
      <c r="BD34" s="23">
        <v>1575</v>
      </c>
      <c r="BE34" s="68">
        <f>BC34/BD34</f>
        <v>0.71873015873015877</v>
      </c>
      <c r="BF34" s="69">
        <f>BD34/BB34</f>
        <v>4.5258620689655169</v>
      </c>
      <c r="BG34" s="70">
        <f>30/BB34*1.5</f>
        <v>0.12931034482758622</v>
      </c>
      <c r="BH34" s="72">
        <f>AP34-(BC34*(1-BG34))</f>
        <v>6904.3793103448279</v>
      </c>
      <c r="BI34" s="71">
        <f>BH34/AR34</f>
        <v>227.11774047186935</v>
      </c>
      <c r="BJ34" s="71">
        <f>(AL34*0.7457)/(BH34/1000)</f>
        <v>160.92583417820774</v>
      </c>
      <c r="BK34" s="45"/>
      <c r="BL34" s="1"/>
      <c r="BM34" s="1"/>
    </row>
    <row r="35" spans="1:65" ht="45" x14ac:dyDescent="0.25">
      <c r="A35" s="12" t="s">
        <v>62</v>
      </c>
      <c r="B35" s="9" t="s">
        <v>21</v>
      </c>
      <c r="C35" s="9" t="s">
        <v>49</v>
      </c>
      <c r="D35" s="43">
        <v>14885</v>
      </c>
      <c r="E35" s="9" t="s">
        <v>118</v>
      </c>
      <c r="F35" s="9">
        <v>34</v>
      </c>
      <c r="G35" s="45">
        <v>148</v>
      </c>
      <c r="H35" s="9">
        <v>182</v>
      </c>
      <c r="I35" s="9">
        <v>20.7</v>
      </c>
      <c r="J35" s="9">
        <v>11</v>
      </c>
      <c r="K35" s="30" t="s">
        <v>94</v>
      </c>
      <c r="L35" s="46">
        <v>740</v>
      </c>
      <c r="M35" s="9"/>
      <c r="N35" s="9">
        <v>456</v>
      </c>
      <c r="O35" s="45">
        <v>468</v>
      </c>
      <c r="P35" s="46">
        <v>485</v>
      </c>
      <c r="Q35" s="9">
        <v>500</v>
      </c>
      <c r="R35" s="9">
        <v>515</v>
      </c>
      <c r="S35" s="45">
        <v>518</v>
      </c>
      <c r="T35" s="46">
        <v>518</v>
      </c>
      <c r="U35" s="9">
        <v>524</v>
      </c>
      <c r="V35" s="9">
        <v>5000</v>
      </c>
      <c r="W35" s="9">
        <v>8.3000000000000007</v>
      </c>
      <c r="X35" s="45">
        <v>9500</v>
      </c>
      <c r="Y35" s="9">
        <v>10.3</v>
      </c>
      <c r="Z35" s="9">
        <v>9.6</v>
      </c>
      <c r="AA35" s="46">
        <v>6.1</v>
      </c>
      <c r="AB35" s="45">
        <v>27.4</v>
      </c>
      <c r="AC35" s="9">
        <v>270</v>
      </c>
      <c r="AD35" s="9">
        <v>35.4</v>
      </c>
      <c r="AE35" s="46">
        <v>270</v>
      </c>
      <c r="AF35" s="9">
        <v>220</v>
      </c>
      <c r="AG35" s="9">
        <v>180</v>
      </c>
      <c r="AH35" s="9">
        <f>(AF35+AG35)/2</f>
        <v>200</v>
      </c>
      <c r="AI35" s="45">
        <v>160</v>
      </c>
      <c r="AJ35" s="9">
        <v>140</v>
      </c>
      <c r="AK35" s="46">
        <f>(AI35+AJ35)/2</f>
        <v>150</v>
      </c>
      <c r="AL35" s="9">
        <v>910</v>
      </c>
      <c r="AM35" s="9">
        <v>1100</v>
      </c>
      <c r="AN35" s="9">
        <v>990</v>
      </c>
      <c r="AO35" s="45">
        <v>5597</v>
      </c>
      <c r="AP35" s="9">
        <v>6706</v>
      </c>
      <c r="AQ35" s="46">
        <v>8398</v>
      </c>
      <c r="AR35" s="9">
        <v>38.4</v>
      </c>
      <c r="AS35" s="42">
        <f>AO35/AR35</f>
        <v>145.75520833333334</v>
      </c>
      <c r="AT35" s="42">
        <f>AP35/AR35</f>
        <v>174.63541666666669</v>
      </c>
      <c r="AU35" s="42">
        <f>AQ35/AR35</f>
        <v>218.69791666666669</v>
      </c>
      <c r="AV35" s="49">
        <f>(2*AL35*0.7457)/(AP35/1000)</f>
        <v>202.38204592901877</v>
      </c>
      <c r="AW35" s="42">
        <f>(2*AM35*0.7457)/(AP35/1000)</f>
        <v>244.63763793617653</v>
      </c>
      <c r="AX35" s="50">
        <f>(2*AN35*0.7457)/(AP35/1000)</f>
        <v>220.1738741425589</v>
      </c>
      <c r="AY35" s="9"/>
      <c r="AZ35" s="42">
        <f>MAX(AV35:AX35)</f>
        <v>244.63763793617653</v>
      </c>
      <c r="BA35" s="42">
        <f>(2*AL35*0.7457)/(AQ35/1000)</f>
        <v>161.60681114551085</v>
      </c>
      <c r="BB35" s="45">
        <f>3.5*60</f>
        <v>210</v>
      </c>
      <c r="BC35" s="23">
        <v>965</v>
      </c>
      <c r="BD35" s="9">
        <v>1270</v>
      </c>
      <c r="BE35" s="68">
        <f>BC35/BD35</f>
        <v>0.75984251968503935</v>
      </c>
      <c r="BF35" s="69">
        <f>BD35/BB35</f>
        <v>6.0476190476190474</v>
      </c>
      <c r="BG35" s="70">
        <f>30/BB35*1.5</f>
        <v>0.21428571428571427</v>
      </c>
      <c r="BH35" s="72">
        <f>AP35-(BC35*(1-BG35))</f>
        <v>5947.7857142857147</v>
      </c>
      <c r="BI35" s="71">
        <f>BH35/AR35</f>
        <v>154.89025297619048</v>
      </c>
      <c r="BJ35" s="71">
        <f>(AM35*0.7457)/(BH35/1000)</f>
        <v>137.91182793116283</v>
      </c>
      <c r="BK35" s="45"/>
      <c r="BL35" s="1"/>
      <c r="BM35" s="1"/>
    </row>
    <row r="36" spans="1:65" x14ac:dyDescent="0.25">
      <c r="A36" s="12" t="s">
        <v>59</v>
      </c>
      <c r="B36" s="9" t="s">
        <v>15</v>
      </c>
      <c r="C36" s="9" t="s">
        <v>51</v>
      </c>
      <c r="D36" s="43">
        <v>15462</v>
      </c>
      <c r="E36" s="9" t="s">
        <v>119</v>
      </c>
      <c r="F36" s="9">
        <v>41</v>
      </c>
      <c r="G36" s="45">
        <v>193</v>
      </c>
      <c r="H36" s="9">
        <v>161</v>
      </c>
      <c r="I36" s="9">
        <v>19.100000000000001</v>
      </c>
      <c r="J36" s="9">
        <v>6.5</v>
      </c>
      <c r="K36" s="30" t="s">
        <v>109</v>
      </c>
      <c r="L36" s="46">
        <v>665</v>
      </c>
      <c r="M36" s="9">
        <v>467</v>
      </c>
      <c r="N36" s="9">
        <v>505</v>
      </c>
      <c r="O36" s="45">
        <v>509</v>
      </c>
      <c r="P36" s="46">
        <v>528</v>
      </c>
      <c r="Q36" s="9">
        <v>506</v>
      </c>
      <c r="R36" s="9">
        <v>533</v>
      </c>
      <c r="S36" s="45">
        <v>515</v>
      </c>
      <c r="T36" s="46">
        <v>537</v>
      </c>
      <c r="U36" s="9">
        <v>429</v>
      </c>
      <c r="V36" s="9">
        <v>4500</v>
      </c>
      <c r="W36" s="9">
        <v>7.8</v>
      </c>
      <c r="X36" s="45">
        <v>8700</v>
      </c>
      <c r="Y36" s="9">
        <v>10</v>
      </c>
      <c r="Z36" s="9">
        <v>8.1999999999999993</v>
      </c>
      <c r="AA36" s="46">
        <v>5</v>
      </c>
      <c r="AB36" s="45">
        <v>24.5</v>
      </c>
      <c r="AC36" s="9">
        <v>270</v>
      </c>
      <c r="AD36" s="9">
        <v>34.1</v>
      </c>
      <c r="AE36" s="46">
        <v>270</v>
      </c>
      <c r="AF36" s="9">
        <v>195</v>
      </c>
      <c r="AG36" s="9">
        <v>170</v>
      </c>
      <c r="AH36" s="9">
        <f>(AF36+AG36)/2</f>
        <v>182.5</v>
      </c>
      <c r="AI36" s="45">
        <v>170</v>
      </c>
      <c r="AJ36" s="9">
        <v>150</v>
      </c>
      <c r="AK36" s="46">
        <f>(AI36+AJ36)/2</f>
        <v>160</v>
      </c>
      <c r="AL36" s="9">
        <v>810</v>
      </c>
      <c r="AM36" s="9">
        <v>1350</v>
      </c>
      <c r="AN36" s="9">
        <v>1600</v>
      </c>
      <c r="AO36" s="45">
        <v>7359</v>
      </c>
      <c r="AP36" s="9">
        <v>8366</v>
      </c>
      <c r="AQ36" s="46">
        <v>10466</v>
      </c>
      <c r="AR36" s="9">
        <v>43.18</v>
      </c>
      <c r="AS36" s="42">
        <f>AO36/AR36</f>
        <v>170.42612320518759</v>
      </c>
      <c r="AT36" s="42">
        <f>AP36/AR36</f>
        <v>193.74710514126912</v>
      </c>
      <c r="AU36" s="42">
        <f>AQ36/AR36</f>
        <v>242.38073182028717</v>
      </c>
      <c r="AV36" s="49">
        <f>(2*AL36*0.7457)/(AP36/1000)</f>
        <v>144.39803968443704</v>
      </c>
      <c r="AW36" s="42">
        <f>(2*AM36*0.7457)/(AP36/1000)</f>
        <v>240.66339947406169</v>
      </c>
      <c r="AX36" s="50">
        <f>(2*AN36*0.7457)/(AP36/1000)</f>
        <v>285.23069567296204</v>
      </c>
      <c r="AY36" s="9"/>
      <c r="AZ36" s="42">
        <f>MAX(AV36:AX36)</f>
        <v>285.23069567296204</v>
      </c>
      <c r="BA36" s="42">
        <f>(2*AL36*0.7457)/(AQ36/1000)</f>
        <v>115.42461303267726</v>
      </c>
      <c r="BB36" s="45">
        <f>3.4*60</f>
        <v>204</v>
      </c>
      <c r="BC36" s="9">
        <v>1057</v>
      </c>
      <c r="BD36" s="9">
        <v>1468</v>
      </c>
      <c r="BE36" s="68">
        <f>BC36/BD36</f>
        <v>0.72002724795640327</v>
      </c>
      <c r="BF36" s="69">
        <f>BD36/BB36</f>
        <v>7.1960784313725492</v>
      </c>
      <c r="BG36" s="70">
        <f>30/BB36*1.5</f>
        <v>0.22058823529411764</v>
      </c>
      <c r="BH36" s="72">
        <f>AP36-(BC36*(1-BG36))</f>
        <v>7542.161764705882</v>
      </c>
      <c r="BI36" s="71">
        <f>BH36/AR36</f>
        <v>174.66794267498568</v>
      </c>
      <c r="BJ36" s="71">
        <f>(AM36*0.7457)/(BH36/1000)</f>
        <v>133.47565743165384</v>
      </c>
      <c r="BK36" s="45"/>
      <c r="BL36" s="1"/>
      <c r="BM36" s="1"/>
    </row>
    <row r="37" spans="1:65" x14ac:dyDescent="0.25">
      <c r="A37" s="12" t="s">
        <v>66</v>
      </c>
      <c r="B37" s="9" t="s">
        <v>15</v>
      </c>
      <c r="C37" s="9" t="s">
        <v>50</v>
      </c>
      <c r="D37" s="43">
        <v>15462</v>
      </c>
      <c r="E37" s="9" t="s">
        <v>119</v>
      </c>
      <c r="F37" s="9">
        <v>37</v>
      </c>
      <c r="G37" s="45">
        <v>175</v>
      </c>
      <c r="H37" s="9">
        <v>200</v>
      </c>
      <c r="I37" s="9">
        <v>13.9</v>
      </c>
      <c r="J37" s="9">
        <v>11</v>
      </c>
      <c r="K37" s="30" t="s">
        <v>93</v>
      </c>
      <c r="L37" s="46">
        <v>790</v>
      </c>
      <c r="M37" s="9">
        <v>446</v>
      </c>
      <c r="N37" s="9"/>
      <c r="O37" s="45">
        <v>475</v>
      </c>
      <c r="P37" s="46"/>
      <c r="Q37" s="9">
        <v>490</v>
      </c>
      <c r="R37" s="9"/>
      <c r="S37" s="45">
        <v>485</v>
      </c>
      <c r="T37" s="46"/>
      <c r="U37" s="9">
        <v>510</v>
      </c>
      <c r="V37" s="9">
        <v>4000</v>
      </c>
      <c r="W37" s="9">
        <v>7.7</v>
      </c>
      <c r="X37" s="45">
        <v>8000</v>
      </c>
      <c r="Y37" s="9">
        <v>10.4</v>
      </c>
      <c r="Z37" s="9">
        <v>7.8</v>
      </c>
      <c r="AA37" s="46">
        <v>3</v>
      </c>
      <c r="AB37" s="45">
        <v>29.9</v>
      </c>
      <c r="AC37" s="9">
        <v>270</v>
      </c>
      <c r="AD37" s="9">
        <v>40.299999999999997</v>
      </c>
      <c r="AE37" s="46">
        <v>270</v>
      </c>
      <c r="AF37" s="9">
        <v>200</v>
      </c>
      <c r="AG37" s="9">
        <v>160</v>
      </c>
      <c r="AH37" s="9">
        <f>(AF37+AG37)/2</f>
        <v>180</v>
      </c>
      <c r="AI37" s="45">
        <v>165</v>
      </c>
      <c r="AJ37" s="9">
        <v>155</v>
      </c>
      <c r="AK37" s="46">
        <f>(AI37+AJ37)/2</f>
        <v>160</v>
      </c>
      <c r="AL37" s="9">
        <v>1200</v>
      </c>
      <c r="AM37" s="9"/>
      <c r="AN37" s="9"/>
      <c r="AO37" s="45">
        <v>6643</v>
      </c>
      <c r="AP37" s="9">
        <v>7685</v>
      </c>
      <c r="AQ37" s="46">
        <v>8701</v>
      </c>
      <c r="AR37" s="9">
        <v>40.799999999999997</v>
      </c>
      <c r="AS37" s="42">
        <f>AO37/AR37</f>
        <v>162.81862745098042</v>
      </c>
      <c r="AT37" s="42">
        <f>AP37/AR37</f>
        <v>188.35784313725492</v>
      </c>
      <c r="AU37" s="42">
        <f>AQ37/AR37</f>
        <v>213.25980392156865</v>
      </c>
      <c r="AV37" s="49">
        <f>(2*AL37*0.7457)/(AP37/1000)</f>
        <v>232.87963565387119</v>
      </c>
      <c r="AW37" s="42">
        <f>(2*AM37*0.7457)/(AP37/1000)</f>
        <v>0</v>
      </c>
      <c r="AX37" s="50">
        <f>(2*AN37*0.7457)/(AP37/1000)</f>
        <v>0</v>
      </c>
      <c r="AY37" s="9"/>
      <c r="AZ37" s="42">
        <f>MAX(AV37:AX37)</f>
        <v>232.87963565387119</v>
      </c>
      <c r="BA37" s="42">
        <f>(2*AL37*0.7457)/(AQ37/1000)</f>
        <v>205.68670267785311</v>
      </c>
      <c r="BB37" s="45">
        <f>2.8*60</f>
        <v>168</v>
      </c>
      <c r="BC37" s="9">
        <v>1113</v>
      </c>
      <c r="BD37" s="9">
        <v>1484</v>
      </c>
      <c r="BE37" s="68">
        <f>BC37/BD37</f>
        <v>0.75</v>
      </c>
      <c r="BF37" s="69">
        <f>BD37/BB37</f>
        <v>8.8333333333333339</v>
      </c>
      <c r="BG37" s="70">
        <f>30/BB37*1.5</f>
        <v>0.26785714285714285</v>
      </c>
      <c r="BH37" s="72">
        <f>AP37-(BC37*(1-BG37))</f>
        <v>6870.125</v>
      </c>
      <c r="BI37" s="71">
        <f>BH37/AR37</f>
        <v>168.38541666666669</v>
      </c>
      <c r="BJ37" s="71">
        <f>(AL37*0.7457)/(BH37/1000)</f>
        <v>130.25090518731466</v>
      </c>
      <c r="BK37" s="45"/>
      <c r="BL37" s="1"/>
      <c r="BM37" s="1"/>
    </row>
    <row r="38" spans="1:65" x14ac:dyDescent="0.25">
      <c r="A38" s="40" t="s">
        <v>81</v>
      </c>
      <c r="B38" s="9" t="s">
        <v>47</v>
      </c>
      <c r="C38" s="9" t="s">
        <v>52</v>
      </c>
      <c r="D38" s="9">
        <v>1942</v>
      </c>
      <c r="E38" s="9" t="s">
        <v>119</v>
      </c>
      <c r="F38" s="9">
        <v>44</v>
      </c>
      <c r="G38" s="45">
        <v>160</v>
      </c>
      <c r="H38" s="9">
        <v>191</v>
      </c>
      <c r="I38" s="9">
        <v>18.3</v>
      </c>
      <c r="J38" s="9">
        <v>6.5</v>
      </c>
      <c r="K38" s="30"/>
      <c r="L38" s="46">
        <v>544</v>
      </c>
      <c r="M38" s="9">
        <v>419</v>
      </c>
      <c r="N38" s="9">
        <v>430</v>
      </c>
      <c r="O38" s="45">
        <v>434</v>
      </c>
      <c r="P38" s="46">
        <v>460</v>
      </c>
      <c r="Q38" s="9">
        <v>443</v>
      </c>
      <c r="R38" s="9">
        <v>476</v>
      </c>
      <c r="S38" s="45">
        <v>444</v>
      </c>
      <c r="T38" s="46">
        <v>471</v>
      </c>
      <c r="U38" s="9">
        <v>461</v>
      </c>
      <c r="V38" s="9">
        <v>4550</v>
      </c>
      <c r="W38" s="9">
        <v>5.2</v>
      </c>
      <c r="X38" s="45">
        <v>7450</v>
      </c>
      <c r="Y38" s="9">
        <v>8.3000000000000007</v>
      </c>
      <c r="Z38" s="9">
        <v>6.3</v>
      </c>
      <c r="AA38" s="46">
        <v>2.7</v>
      </c>
      <c r="AB38" s="45">
        <v>28.8</v>
      </c>
      <c r="AC38" s="9">
        <v>270</v>
      </c>
      <c r="AD38" s="9">
        <v>47</v>
      </c>
      <c r="AE38" s="46">
        <v>280</v>
      </c>
      <c r="AF38" s="9">
        <v>180</v>
      </c>
      <c r="AG38" s="9">
        <v>165</v>
      </c>
      <c r="AH38" s="9">
        <f>(AF38+AG38)/2</f>
        <v>172.5</v>
      </c>
      <c r="AI38" s="45">
        <v>192</v>
      </c>
      <c r="AJ38" s="9">
        <v>176</v>
      </c>
      <c r="AK38" s="46">
        <f>(AI38+AJ38)/2</f>
        <v>184</v>
      </c>
      <c r="AL38" s="9">
        <v>1520</v>
      </c>
      <c r="AM38" s="9"/>
      <c r="AN38" s="9">
        <v>1725</v>
      </c>
      <c r="AO38" s="45">
        <v>8829</v>
      </c>
      <c r="AP38" s="9">
        <v>11544</v>
      </c>
      <c r="AQ38" s="46">
        <v>15422</v>
      </c>
      <c r="AR38" s="9">
        <v>57</v>
      </c>
      <c r="AS38" s="42">
        <f>AO38/AR38</f>
        <v>154.89473684210526</v>
      </c>
      <c r="AT38" s="42">
        <f>AP38/AR38</f>
        <v>202.52631578947367</v>
      </c>
      <c r="AU38" s="42">
        <f>AQ38/AR38</f>
        <v>270.56140350877195</v>
      </c>
      <c r="AV38" s="49">
        <f>(2*AL38*0.7457)/(AP38/1000)</f>
        <v>196.37283437283435</v>
      </c>
      <c r="AW38" s="42">
        <f>(2*AM38*0.7457)/(AP38/1000)</f>
        <v>0</v>
      </c>
      <c r="AX38" s="50">
        <f>(2*AN38*0.7457)/(AP38/1000)</f>
        <v>222.85732848232848</v>
      </c>
      <c r="AY38" s="9"/>
      <c r="AZ38" s="42">
        <f>MAX(AV38:AX38)</f>
        <v>222.85732848232848</v>
      </c>
      <c r="BA38" s="42">
        <f>(2*AL38*0.7457)/(AQ38/1000)</f>
        <v>146.99312670211384</v>
      </c>
      <c r="BB38" s="45">
        <f>60*4.6</f>
        <v>276</v>
      </c>
      <c r="BC38" s="9">
        <v>2618</v>
      </c>
      <c r="BD38" s="9">
        <v>3688</v>
      </c>
      <c r="BE38" s="68">
        <f>BC38/BD38</f>
        <v>0.70986984815618226</v>
      </c>
      <c r="BF38" s="69">
        <f>BD38/BB38</f>
        <v>13.362318840579711</v>
      </c>
      <c r="BG38" s="70">
        <f>30/BB38*1.5</f>
        <v>0.16304347826086957</v>
      </c>
      <c r="BH38" s="72">
        <f>AP38-(BC38*(1-BG38))</f>
        <v>9352.847826086956</v>
      </c>
      <c r="BI38" s="71">
        <f>BH38/AR38</f>
        <v>164.08504958047291</v>
      </c>
      <c r="BJ38" s="71">
        <f>(AL38*0.7457)/(BH38/1000)</f>
        <v>121.1891844148841</v>
      </c>
      <c r="BK38" s="45"/>
      <c r="BL38" s="1"/>
      <c r="BM38" s="1"/>
    </row>
    <row r="39" spans="1:65" x14ac:dyDescent="0.25">
      <c r="A39" s="12" t="s">
        <v>61</v>
      </c>
      <c r="B39" s="9" t="s">
        <v>15</v>
      </c>
      <c r="C39" s="9" t="s">
        <v>49</v>
      </c>
      <c r="D39" s="43">
        <v>15158</v>
      </c>
      <c r="E39" s="9" t="s">
        <v>119</v>
      </c>
      <c r="F39" s="9">
        <v>33</v>
      </c>
      <c r="G39" s="45">
        <v>175</v>
      </c>
      <c r="H39" s="9">
        <v>200</v>
      </c>
      <c r="I39" s="9">
        <v>13.9</v>
      </c>
      <c r="J39" s="9">
        <v>11</v>
      </c>
      <c r="K39" s="30" t="s">
        <v>93</v>
      </c>
      <c r="L39" s="46">
        <v>790</v>
      </c>
      <c r="M39" s="9">
        <v>434</v>
      </c>
      <c r="N39" s="9"/>
      <c r="O39" s="45">
        <v>470</v>
      </c>
      <c r="P39" s="46"/>
      <c r="Q39" s="9">
        <v>521</v>
      </c>
      <c r="R39" s="9"/>
      <c r="S39" s="45">
        <v>530</v>
      </c>
      <c r="T39" s="46"/>
      <c r="U39" s="9">
        <v>539</v>
      </c>
      <c r="V39" s="9">
        <v>5000</v>
      </c>
      <c r="W39" s="9">
        <v>5.6</v>
      </c>
      <c r="X39" s="45">
        <v>9100</v>
      </c>
      <c r="Y39" s="9">
        <v>9.3000000000000007</v>
      </c>
      <c r="Z39" s="9">
        <v>8.4</v>
      </c>
      <c r="AA39" s="46">
        <v>5.6</v>
      </c>
      <c r="AB39" s="45">
        <v>30.5</v>
      </c>
      <c r="AC39" s="9">
        <v>270</v>
      </c>
      <c r="AD39" s="9">
        <v>39.9</v>
      </c>
      <c r="AE39" s="46">
        <v>270</v>
      </c>
      <c r="AF39" s="9">
        <v>200</v>
      </c>
      <c r="AG39" s="9">
        <v>160</v>
      </c>
      <c r="AH39" s="9">
        <f>(AF39+AG39)/2</f>
        <v>180</v>
      </c>
      <c r="AI39" s="45">
        <v>165</v>
      </c>
      <c r="AJ39" s="9">
        <v>155</v>
      </c>
      <c r="AK39" s="46">
        <f>(AI39+AJ39)/2</f>
        <v>160</v>
      </c>
      <c r="AL39" s="9">
        <v>1020</v>
      </c>
      <c r="AM39" s="9"/>
      <c r="AN39" s="9"/>
      <c r="AO39" s="45">
        <v>6640</v>
      </c>
      <c r="AP39" s="9">
        <v>7697</v>
      </c>
      <c r="AQ39" s="46">
        <v>8712</v>
      </c>
      <c r="AR39" s="9">
        <v>40.799999999999997</v>
      </c>
      <c r="AS39" s="42">
        <f>AO39/AR39</f>
        <v>162.74509803921569</v>
      </c>
      <c r="AT39" s="42">
        <f>AP39/AR39</f>
        <v>188.65196078431373</v>
      </c>
      <c r="AU39" s="42">
        <f>AQ39/AR39</f>
        <v>213.52941176470588</v>
      </c>
      <c r="AV39" s="49">
        <f>(2*AL39*0.7457)/(AP39/1000)</f>
        <v>197.63908016110173</v>
      </c>
      <c r="AW39" s="42">
        <f>(2*AM39*0.7457)/(AP39/1000)</f>
        <v>0</v>
      </c>
      <c r="AX39" s="50">
        <f>(2*AN39*0.7457)/(AP39/1000)</f>
        <v>0</v>
      </c>
      <c r="AY39" s="9"/>
      <c r="AZ39" s="42">
        <f>MAX(AV39:AX39)</f>
        <v>197.63908016110173</v>
      </c>
      <c r="BA39" s="42">
        <f>(2*AL39*0.7457)/(AQ39/1000)</f>
        <v>174.61294765840222</v>
      </c>
      <c r="BB39" s="45">
        <f>3.7*60</f>
        <v>222</v>
      </c>
      <c r="BC39" s="9">
        <v>1129</v>
      </c>
      <c r="BD39" s="9">
        <v>1505</v>
      </c>
      <c r="BE39" s="68">
        <f>BC39/BD39</f>
        <v>0.75016611295681068</v>
      </c>
      <c r="BF39" s="69">
        <f>BD39/BB39</f>
        <v>6.7792792792792795</v>
      </c>
      <c r="BG39" s="70">
        <f>30/BB39*1.5</f>
        <v>0.20270270270270271</v>
      </c>
      <c r="BH39" s="72">
        <f>AP39-(BC39*(1-BG39))</f>
        <v>6796.8513513513517</v>
      </c>
      <c r="BI39" s="71">
        <f>BH39/AR39</f>
        <v>166.58949390567039</v>
      </c>
      <c r="BJ39" s="71">
        <f>(AL39*0.7457)/(BH39/1000)</f>
        <v>111.90681694822921</v>
      </c>
      <c r="BK39" s="45"/>
      <c r="BL39" s="1"/>
      <c r="BM39" s="1"/>
    </row>
    <row r="40" spans="1:65" ht="30" x14ac:dyDescent="0.25">
      <c r="A40" s="40" t="s">
        <v>125</v>
      </c>
      <c r="B40" s="9" t="s">
        <v>21</v>
      </c>
      <c r="C40" s="9" t="s">
        <v>51</v>
      </c>
      <c r="D40" s="43">
        <v>15462</v>
      </c>
      <c r="E40" s="9" t="s">
        <v>118</v>
      </c>
      <c r="F40" s="9">
        <v>46</v>
      </c>
      <c r="G40" s="45">
        <v>143</v>
      </c>
      <c r="H40" s="9">
        <v>159</v>
      </c>
      <c r="I40" s="9">
        <v>20</v>
      </c>
      <c r="J40" s="9">
        <v>9</v>
      </c>
      <c r="K40" s="30" t="s">
        <v>128</v>
      </c>
      <c r="L40" s="46">
        <v>670</v>
      </c>
      <c r="M40" s="9">
        <v>349</v>
      </c>
      <c r="N40" s="9"/>
      <c r="O40" s="45">
        <v>365</v>
      </c>
      <c r="P40" s="46"/>
      <c r="Q40" s="9">
        <v>396</v>
      </c>
      <c r="R40" s="9"/>
      <c r="S40" s="45">
        <v>354</v>
      </c>
      <c r="T40" s="46"/>
      <c r="U40" s="9">
        <v>396</v>
      </c>
      <c r="V40" s="9">
        <v>3000</v>
      </c>
      <c r="W40" s="9">
        <v>8.1999999999999993</v>
      </c>
      <c r="X40" s="45">
        <v>7000</v>
      </c>
      <c r="Y40" s="9">
        <v>8.4</v>
      </c>
      <c r="Z40" s="9">
        <v>8.1</v>
      </c>
      <c r="AA40" s="46">
        <v>2.6</v>
      </c>
      <c r="AB40" s="45">
        <v>30</v>
      </c>
      <c r="AC40" s="9">
        <v>255</v>
      </c>
      <c r="AD40" s="9">
        <v>45</v>
      </c>
      <c r="AE40" s="46">
        <v>270</v>
      </c>
      <c r="AF40" s="9">
        <v>155</v>
      </c>
      <c r="AG40" s="9">
        <v>145</v>
      </c>
      <c r="AH40" s="9">
        <f>(AF40+AG40)/2</f>
        <v>150</v>
      </c>
      <c r="AI40" s="45">
        <v>145</v>
      </c>
      <c r="AJ40" s="9">
        <v>135</v>
      </c>
      <c r="AK40" s="46">
        <f>(AI40+AJ40)/2</f>
        <v>140</v>
      </c>
      <c r="AL40" s="9">
        <v>580</v>
      </c>
      <c r="AM40" s="9"/>
      <c r="AN40" s="9">
        <v>700</v>
      </c>
      <c r="AO40" s="45">
        <v>4200</v>
      </c>
      <c r="AP40" s="9">
        <v>4756</v>
      </c>
      <c r="AQ40" s="46">
        <v>5170</v>
      </c>
      <c r="AR40" s="9">
        <v>28.9</v>
      </c>
      <c r="AS40" s="42">
        <f>AO40/AR40</f>
        <v>145.32871972318341</v>
      </c>
      <c r="AT40" s="42">
        <f>AP40/AR40</f>
        <v>164.5674740484429</v>
      </c>
      <c r="AU40" s="42">
        <f>AQ40/AR40</f>
        <v>178.89273356401384</v>
      </c>
      <c r="AV40" s="49">
        <f>(2*AL40*0.7457)/(AP40/1000)</f>
        <v>181.8780487804878</v>
      </c>
      <c r="AW40" s="42">
        <f>(2*AM40*0.7457)/(AP40/1000)</f>
        <v>0</v>
      </c>
      <c r="AX40" s="50">
        <f>(2*AN40*0.7457)/(AP40/1000)</f>
        <v>219.50798990748527</v>
      </c>
      <c r="AY40" s="9"/>
      <c r="AZ40" s="42">
        <f>MAX(AV40:AX40)</f>
        <v>219.50798990748527</v>
      </c>
      <c r="BA40" s="42">
        <f>(2*AL40*0.7457)/(AQ40/1000)</f>
        <v>167.31373307543521</v>
      </c>
      <c r="BB40" s="45">
        <f>60*2.1</f>
        <v>126</v>
      </c>
      <c r="BC40" s="9">
        <v>451</v>
      </c>
      <c r="BD40" s="23">
        <v>610</v>
      </c>
      <c r="BE40" s="68">
        <f>BC40/BD40</f>
        <v>0.73934426229508199</v>
      </c>
      <c r="BF40" s="69">
        <f>BD40/BB40</f>
        <v>4.8412698412698409</v>
      </c>
      <c r="BG40" s="70">
        <f>30/BB40*1.5</f>
        <v>0.3571428571428571</v>
      </c>
      <c r="BH40" s="72">
        <f>AP40-(BC40*(1-BG40))</f>
        <v>4466.0714285714284</v>
      </c>
      <c r="BI40" s="71">
        <f>BH40/AR40</f>
        <v>154.53534354918438</v>
      </c>
      <c r="BJ40" s="71">
        <f>(AL40*0.7457)/(BH40/1000)</f>
        <v>96.842606957217129</v>
      </c>
      <c r="BK40" s="45"/>
      <c r="BL40" s="1"/>
      <c r="BM40" s="1"/>
    </row>
    <row r="41" spans="1:65" ht="45" x14ac:dyDescent="0.25">
      <c r="A41" s="40" t="s">
        <v>68</v>
      </c>
      <c r="B41" s="9" t="s">
        <v>21</v>
      </c>
      <c r="C41" s="9" t="s">
        <v>50</v>
      </c>
      <c r="D41" s="43">
        <v>15128</v>
      </c>
      <c r="E41" s="9" t="s">
        <v>119</v>
      </c>
      <c r="F41" s="9">
        <v>39</v>
      </c>
      <c r="G41" s="45">
        <v>184</v>
      </c>
      <c r="H41" s="9">
        <v>150</v>
      </c>
      <c r="I41" s="9">
        <v>20</v>
      </c>
      <c r="J41" s="9">
        <v>4.5</v>
      </c>
      <c r="K41" s="30" t="s">
        <v>96</v>
      </c>
      <c r="L41" s="46">
        <v>560</v>
      </c>
      <c r="M41" s="9">
        <v>369</v>
      </c>
      <c r="N41" s="9"/>
      <c r="O41" s="45">
        <v>392</v>
      </c>
      <c r="P41" s="46">
        <v>403</v>
      </c>
      <c r="Q41" s="9">
        <v>395</v>
      </c>
      <c r="R41" s="9">
        <v>408</v>
      </c>
      <c r="S41" s="45">
        <v>428</v>
      </c>
      <c r="T41" s="46">
        <v>450</v>
      </c>
      <c r="U41" s="9">
        <v>428</v>
      </c>
      <c r="V41" s="9">
        <v>6000</v>
      </c>
      <c r="W41" s="9">
        <v>1.7</v>
      </c>
      <c r="X41" s="45">
        <v>6300</v>
      </c>
      <c r="Y41" s="9">
        <v>4.5</v>
      </c>
      <c r="Z41" s="9">
        <v>3.6</v>
      </c>
      <c r="AA41" s="46">
        <v>1.8</v>
      </c>
      <c r="AB41" s="45">
        <v>30.8</v>
      </c>
      <c r="AC41" s="9">
        <v>250</v>
      </c>
      <c r="AD41" s="9">
        <v>45.2</v>
      </c>
      <c r="AE41" s="46">
        <v>250</v>
      </c>
      <c r="AF41" s="9">
        <v>210</v>
      </c>
      <c r="AG41" s="9">
        <v>170</v>
      </c>
      <c r="AH41" s="9">
        <f>(AF41+AG41)/2</f>
        <v>190</v>
      </c>
      <c r="AI41" s="45">
        <v>150</v>
      </c>
      <c r="AJ41" s="9">
        <v>125</v>
      </c>
      <c r="AK41" s="46">
        <f>(AI41+AJ41)/2</f>
        <v>137.5</v>
      </c>
      <c r="AL41" s="9">
        <v>1190</v>
      </c>
      <c r="AM41" s="9">
        <v>1260</v>
      </c>
      <c r="AN41" s="9">
        <v>1420</v>
      </c>
      <c r="AO41" s="45">
        <v>9946</v>
      </c>
      <c r="AP41" s="9">
        <v>13727</v>
      </c>
      <c r="AQ41" s="46">
        <v>15239</v>
      </c>
      <c r="AR41" s="9">
        <v>79.5</v>
      </c>
      <c r="AS41" s="42">
        <f>AO41/AR41</f>
        <v>125.10691823899371</v>
      </c>
      <c r="AT41" s="42">
        <f>AP41/AR41</f>
        <v>172.66666666666666</v>
      </c>
      <c r="AU41" s="42">
        <f>AQ41/AR41</f>
        <v>191.68553459119497</v>
      </c>
      <c r="AV41" s="49">
        <f>(2*AL41*0.7457)/(AP41/1000)</f>
        <v>129.29015808261093</v>
      </c>
      <c r="AW41" s="42">
        <f>(2*AM41*0.7457)/(AP41/1000)</f>
        <v>136.89546149923507</v>
      </c>
      <c r="AX41" s="50">
        <f>(2*AN41*0.7457)/(AP41/1000)</f>
        <v>154.2790121658046</v>
      </c>
      <c r="AY41" s="9"/>
      <c r="AZ41" s="42">
        <f>MAX(AV41:AX41)</f>
        <v>154.2790121658046</v>
      </c>
      <c r="BA41" s="42">
        <f>(2*AL41*0.7457)/(AQ41/1000)</f>
        <v>116.46210381258612</v>
      </c>
      <c r="BB41" s="45">
        <f>8.5*60</f>
        <v>510</v>
      </c>
      <c r="BC41" s="23">
        <v>3214</v>
      </c>
      <c r="BD41" s="9">
        <v>4285</v>
      </c>
      <c r="BE41" s="68">
        <f>BC41/BD41</f>
        <v>0.75005834305717622</v>
      </c>
      <c r="BF41" s="69">
        <f>BD41/BB41</f>
        <v>8.4019607843137258</v>
      </c>
      <c r="BG41" s="70">
        <f>30/BB41*1.5</f>
        <v>8.8235294117647051E-2</v>
      </c>
      <c r="BH41" s="72">
        <f>AP41-(BC41*(1-BG41))</f>
        <v>10796.588235294117</v>
      </c>
      <c r="BI41" s="71">
        <f>BH41/AR41</f>
        <v>135.8061413244543</v>
      </c>
      <c r="BJ41" s="71">
        <f>(AM41*0.7457)/(BH41/1000)</f>
        <v>87.025825151736399</v>
      </c>
      <c r="BK41" s="45"/>
      <c r="BL41" s="1"/>
      <c r="BM41" s="1"/>
    </row>
    <row r="42" spans="1:65" ht="45" x14ac:dyDescent="0.25">
      <c r="A42" s="40" t="s">
        <v>71</v>
      </c>
      <c r="B42" s="9" t="s">
        <v>21</v>
      </c>
      <c r="C42" s="9" t="s">
        <v>51</v>
      </c>
      <c r="D42" s="9">
        <v>1943</v>
      </c>
      <c r="E42" s="9" t="s">
        <v>119</v>
      </c>
      <c r="F42" s="9">
        <v>43</v>
      </c>
      <c r="G42" s="45">
        <v>194</v>
      </c>
      <c r="H42" s="9">
        <v>150</v>
      </c>
      <c r="I42" s="9">
        <v>20</v>
      </c>
      <c r="J42" s="9">
        <v>4.5</v>
      </c>
      <c r="K42" s="30" t="s">
        <v>96</v>
      </c>
      <c r="L42" s="46">
        <v>560</v>
      </c>
      <c r="M42" s="9">
        <v>370</v>
      </c>
      <c r="N42" s="9"/>
      <c r="O42" s="45">
        <v>395</v>
      </c>
      <c r="P42" s="46">
        <v>406</v>
      </c>
      <c r="Q42" s="9">
        <v>396</v>
      </c>
      <c r="R42" s="9">
        <v>409</v>
      </c>
      <c r="S42" s="45">
        <v>430</v>
      </c>
      <c r="T42" s="46">
        <v>451</v>
      </c>
      <c r="U42" s="9">
        <v>430</v>
      </c>
      <c r="V42" s="9">
        <v>6000</v>
      </c>
      <c r="W42" s="9">
        <v>1.6</v>
      </c>
      <c r="X42" s="45">
        <v>6850</v>
      </c>
      <c r="Y42" s="9">
        <v>5.3</v>
      </c>
      <c r="Z42" s="9">
        <v>4.0999999999999996</v>
      </c>
      <c r="AA42" s="46">
        <v>2.2999999999999998</v>
      </c>
      <c r="AB42" s="45">
        <v>30.8</v>
      </c>
      <c r="AC42" s="9">
        <v>250</v>
      </c>
      <c r="AD42" s="9">
        <v>45.2</v>
      </c>
      <c r="AE42" s="46">
        <v>250</v>
      </c>
      <c r="AF42" s="9">
        <v>210</v>
      </c>
      <c r="AG42" s="9">
        <v>170</v>
      </c>
      <c r="AH42" s="9">
        <f>(AF42+AG42)/2</f>
        <v>190</v>
      </c>
      <c r="AI42" s="45">
        <v>150</v>
      </c>
      <c r="AJ42" s="9">
        <v>125</v>
      </c>
      <c r="AK42" s="46">
        <f>(AI42+AJ42)/2</f>
        <v>137.5</v>
      </c>
      <c r="AL42" s="9">
        <v>1210</v>
      </c>
      <c r="AM42" s="9"/>
      <c r="AN42" s="9">
        <v>1340</v>
      </c>
      <c r="AO42" s="45">
        <v>9831</v>
      </c>
      <c r="AP42" s="9">
        <v>13017</v>
      </c>
      <c r="AQ42" s="46">
        <v>15689</v>
      </c>
      <c r="AR42" s="9">
        <v>79.5</v>
      </c>
      <c r="AS42" s="42">
        <f>AO42/AR42</f>
        <v>123.66037735849056</v>
      </c>
      <c r="AT42" s="42">
        <f>AP42/AR42</f>
        <v>163.73584905660377</v>
      </c>
      <c r="AU42" s="42">
        <f>AQ42/AR42</f>
        <v>197.34591194968553</v>
      </c>
      <c r="AV42" s="49">
        <f>(2*AL42*0.7457)/(AP42/1000)</f>
        <v>138.633632941538</v>
      </c>
      <c r="AW42" s="42">
        <f>(2*AM42*0.7457)/(AP42/1000)</f>
        <v>0</v>
      </c>
      <c r="AX42" s="50">
        <f>(2*AN42*0.7457)/(AP42/1000)</f>
        <v>153.52815548897598</v>
      </c>
      <c r="AY42" s="9"/>
      <c r="AZ42" s="42">
        <f>MAX(AV42:AX42)</f>
        <v>153.52815548897598</v>
      </c>
      <c r="BA42" s="42">
        <f>(2*AL42*0.7457)/(AQ42/1000)</f>
        <v>115.02288227420486</v>
      </c>
      <c r="BB42" s="45">
        <f>60*6.7</f>
        <v>402</v>
      </c>
      <c r="BC42" s="23">
        <v>2553</v>
      </c>
      <c r="BD42" s="23">
        <v>3450</v>
      </c>
      <c r="BE42" s="68">
        <f>BC42/BD42</f>
        <v>0.74</v>
      </c>
      <c r="BF42" s="69">
        <f>BD42/BB42</f>
        <v>8.5820895522388057</v>
      </c>
      <c r="BG42" s="70">
        <f>30/BB42*1.5</f>
        <v>0.11194029850746268</v>
      </c>
      <c r="BH42" s="72">
        <f>AP42-(BC42*(1-BG42))</f>
        <v>10749.783582089553</v>
      </c>
      <c r="BI42" s="71">
        <f>BH42/AR42</f>
        <v>135.21740354829626</v>
      </c>
      <c r="BJ42" s="71">
        <f>(AL42*0.7457)/(BH42/1000)</f>
        <v>83.936294448135371</v>
      </c>
      <c r="BK42" s="45"/>
      <c r="BL42" s="1"/>
      <c r="BM42" s="1"/>
    </row>
    <row r="43" spans="1:65" ht="45" x14ac:dyDescent="0.25">
      <c r="A43" s="12" t="s">
        <v>63</v>
      </c>
      <c r="B43" s="9" t="s">
        <v>21</v>
      </c>
      <c r="C43" s="9" t="s">
        <v>49</v>
      </c>
      <c r="D43" s="9">
        <v>1941</v>
      </c>
      <c r="E43" s="9" t="s">
        <v>119</v>
      </c>
      <c r="F43" s="9">
        <v>35</v>
      </c>
      <c r="G43" s="45">
        <v>188</v>
      </c>
      <c r="H43" s="9">
        <v>205</v>
      </c>
      <c r="I43" s="9">
        <v>21</v>
      </c>
      <c r="J43" s="9">
        <v>8</v>
      </c>
      <c r="K43" s="30" t="s">
        <v>96</v>
      </c>
      <c r="L43" s="46">
        <v>670</v>
      </c>
      <c r="M43" s="9">
        <v>424</v>
      </c>
      <c r="N43" s="9"/>
      <c r="O43" s="45">
        <v>460</v>
      </c>
      <c r="P43" s="46">
        <v>486</v>
      </c>
      <c r="Q43" s="9">
        <v>468</v>
      </c>
      <c r="R43" s="9">
        <v>487</v>
      </c>
      <c r="S43" s="45">
        <v>509</v>
      </c>
      <c r="T43" s="46">
        <v>532</v>
      </c>
      <c r="U43" s="9">
        <v>509</v>
      </c>
      <c r="V43" s="9">
        <v>6000</v>
      </c>
      <c r="W43" s="9">
        <v>4</v>
      </c>
      <c r="X43" s="45">
        <v>7500</v>
      </c>
      <c r="Y43" s="9">
        <v>7</v>
      </c>
      <c r="Z43" s="9">
        <v>5.0999999999999996</v>
      </c>
      <c r="AA43" s="46">
        <v>3.4</v>
      </c>
      <c r="AB43" s="45">
        <v>33</v>
      </c>
      <c r="AC43" s="9">
        <v>250</v>
      </c>
      <c r="AD43" s="9">
        <v>50.5</v>
      </c>
      <c r="AE43" s="46">
        <v>250</v>
      </c>
      <c r="AF43" s="9">
        <v>210</v>
      </c>
      <c r="AG43" s="9">
        <v>170</v>
      </c>
      <c r="AH43" s="9">
        <f>(AF43+AG43)/2</f>
        <v>190</v>
      </c>
      <c r="AI43" s="45">
        <v>160</v>
      </c>
      <c r="AJ43" s="9">
        <v>150</v>
      </c>
      <c r="AK43" s="46">
        <f>(AI43+AJ43)/2</f>
        <v>155</v>
      </c>
      <c r="AL43" s="9">
        <v>1190</v>
      </c>
      <c r="AM43" s="9"/>
      <c r="AN43" s="9">
        <v>1420</v>
      </c>
      <c r="AO43" s="45">
        <v>9458</v>
      </c>
      <c r="AP43" s="9">
        <v>12110</v>
      </c>
      <c r="AQ43" s="46">
        <v>13655</v>
      </c>
      <c r="AR43" s="9">
        <v>52.7</v>
      </c>
      <c r="AS43" s="42">
        <f>AO43/AR43</f>
        <v>179.46869070208729</v>
      </c>
      <c r="AT43" s="42">
        <f>AP43/AR43</f>
        <v>229.79127134724857</v>
      </c>
      <c r="AU43" s="42">
        <f>AQ43/AR43</f>
        <v>259.10815939278933</v>
      </c>
      <c r="AV43" s="49">
        <f>(2*AL43*0.7457)/(AP43/1000)</f>
        <v>146.55375722543354</v>
      </c>
      <c r="AW43" s="42">
        <f>(2*AM43*0.7457)/(AP43/1000)</f>
        <v>0</v>
      </c>
      <c r="AX43" s="50">
        <f>(2*AN43*0.7457)/(AP43/1000)</f>
        <v>174.87927332782826</v>
      </c>
      <c r="AY43" s="9"/>
      <c r="AZ43" s="42">
        <f>MAX(AV43:AX43)</f>
        <v>174.87927332782826</v>
      </c>
      <c r="BA43" s="42">
        <f>(2*AL43*0.7457)/(AQ43/1000)</f>
        <v>129.9718784328085</v>
      </c>
      <c r="BB43" s="45">
        <f>3.8*60</f>
        <v>228</v>
      </c>
      <c r="BC43" s="23">
        <v>1277</v>
      </c>
      <c r="BD43" s="23">
        <v>1680</v>
      </c>
      <c r="BE43" s="68">
        <f>BC43/BD43</f>
        <v>0.76011904761904758</v>
      </c>
      <c r="BF43" s="69">
        <f>BD43/BB43</f>
        <v>7.3684210526315788</v>
      </c>
      <c r="BG43" s="70">
        <f>30/BB43*1.5</f>
        <v>0.19736842105263158</v>
      </c>
      <c r="BH43" s="72">
        <f>AP43-(BC43*(1-BG43))</f>
        <v>11085.03947368421</v>
      </c>
      <c r="BI43" s="71">
        <f>BH43/AR43</f>
        <v>210.34230500349543</v>
      </c>
      <c r="BJ43" s="71">
        <f>(AL43*0.7457)/(BH43/1000)</f>
        <v>80.05230852868317</v>
      </c>
      <c r="BK43" s="45"/>
      <c r="BL43" s="1"/>
      <c r="BM43" s="1"/>
    </row>
    <row r="44" spans="1:65" ht="45" x14ac:dyDescent="0.25">
      <c r="A44" s="40" t="s">
        <v>123</v>
      </c>
      <c r="B44" s="9" t="s">
        <v>21</v>
      </c>
      <c r="C44" s="9"/>
      <c r="D44" s="9">
        <v>1936</v>
      </c>
      <c r="E44" s="9" t="s">
        <v>127</v>
      </c>
      <c r="F44" s="9">
        <v>45</v>
      </c>
      <c r="G44" s="45">
        <v>105</v>
      </c>
      <c r="H44" s="9">
        <v>117</v>
      </c>
      <c r="I44" s="9">
        <v>20</v>
      </c>
      <c r="J44" s="9">
        <v>4</v>
      </c>
      <c r="K44" s="30" t="s">
        <v>129</v>
      </c>
      <c r="L44" s="46">
        <v>330</v>
      </c>
      <c r="M44" s="9">
        <v>260</v>
      </c>
      <c r="N44" s="9"/>
      <c r="O44" s="45">
        <v>259</v>
      </c>
      <c r="P44" s="46"/>
      <c r="Q44" s="9">
        <v>258</v>
      </c>
      <c r="R44" s="9"/>
      <c r="S44" s="45">
        <v>241</v>
      </c>
      <c r="T44" s="46"/>
      <c r="U44" s="9">
        <v>260</v>
      </c>
      <c r="V44" s="9">
        <v>0</v>
      </c>
      <c r="W44" s="9">
        <v>7</v>
      </c>
      <c r="X44" s="45">
        <v>6800</v>
      </c>
      <c r="Y44" s="9">
        <v>6.9</v>
      </c>
      <c r="Z44" s="9">
        <v>4.2</v>
      </c>
      <c r="AA44" s="46">
        <v>1.4</v>
      </c>
      <c r="AB44" s="45">
        <v>24</v>
      </c>
      <c r="AC44" s="9">
        <v>165</v>
      </c>
      <c r="AD44" s="9">
        <v>35.4</v>
      </c>
      <c r="AE44" s="46">
        <v>165</v>
      </c>
      <c r="AF44" s="9">
        <v>120</v>
      </c>
      <c r="AG44" s="9">
        <v>100</v>
      </c>
      <c r="AH44" s="9">
        <f>(AF44+AG44)/2</f>
        <v>110</v>
      </c>
      <c r="AI44" s="45">
        <v>110</v>
      </c>
      <c r="AJ44" s="9">
        <v>95</v>
      </c>
      <c r="AK44" s="46">
        <f>(AI44+AJ44)/2</f>
        <v>102.5</v>
      </c>
      <c r="AL44" s="9">
        <v>575</v>
      </c>
      <c r="AM44" s="9"/>
      <c r="AN44" s="9">
        <v>640</v>
      </c>
      <c r="AO44" s="45">
        <v>7017</v>
      </c>
      <c r="AP44" s="9">
        <v>10003</v>
      </c>
      <c r="AQ44" s="46">
        <v>11333</v>
      </c>
      <c r="AR44" s="9">
        <v>111.5</v>
      </c>
      <c r="AS44" s="42">
        <f>AO44/AR44</f>
        <v>62.932735426008968</v>
      </c>
      <c r="AT44" s="42">
        <f>AP44/AR44</f>
        <v>89.713004484304932</v>
      </c>
      <c r="AU44" s="42">
        <f>AQ44/AR44</f>
        <v>101.64125560538116</v>
      </c>
      <c r="AV44" s="49">
        <f>(3*AL44*0.7457)/(AP44/1000)</f>
        <v>128.59467159852045</v>
      </c>
      <c r="AW44" s="42">
        <f>(3*AM44*0.7457)/(AP44/1000)</f>
        <v>0</v>
      </c>
      <c r="AX44" s="50">
        <f>(3*AN44*0.7457)/(AP44/1000)</f>
        <v>143.13146056183146</v>
      </c>
      <c r="AY44" s="9"/>
      <c r="AZ44" s="42">
        <f>MAX(AV44:AX44)</f>
        <v>143.13146056183146</v>
      </c>
      <c r="BA44" s="42">
        <f>(3*AL44*0.7457)/(AQ44/1000)</f>
        <v>113.50326480190593</v>
      </c>
      <c r="BB44" s="45">
        <f>60*5.3</f>
        <v>318</v>
      </c>
      <c r="BC44" s="23">
        <v>1824</v>
      </c>
      <c r="BD44" s="23">
        <v>2400</v>
      </c>
      <c r="BE44" s="68">
        <f>BC44/BD44</f>
        <v>0.76</v>
      </c>
      <c r="BF44" s="69">
        <f>BD44/BB44</f>
        <v>7.5471698113207548</v>
      </c>
      <c r="BG44" s="70">
        <f>30/BB44*1.5</f>
        <v>0.14150943396226418</v>
      </c>
      <c r="BH44" s="72">
        <f>AP44-(BC44*(1-BG44))</f>
        <v>8437.1132075471705</v>
      </c>
      <c r="BI44" s="71">
        <f>BH44/AR44</f>
        <v>75.669176749301982</v>
      </c>
      <c r="BJ44" s="71">
        <f>(AL44*0.7457)/(BH44/1000)</f>
        <v>50.820403786504819</v>
      </c>
      <c r="BK44" s="45"/>
      <c r="BL44" s="1"/>
      <c r="BM44" s="1"/>
    </row>
    <row r="45" spans="1:65" ht="30" x14ac:dyDescent="0.25">
      <c r="A45" s="38" t="s">
        <v>136</v>
      </c>
      <c r="B45" s="9" t="s">
        <v>47</v>
      </c>
      <c r="C45" s="9" t="s">
        <v>52</v>
      </c>
      <c r="D45" s="43">
        <v>16193</v>
      </c>
      <c r="E45" s="9" t="s">
        <v>113</v>
      </c>
      <c r="F45" s="9">
        <v>29</v>
      </c>
      <c r="G45" s="45">
        <v>140</v>
      </c>
      <c r="H45" s="9">
        <v>163</v>
      </c>
      <c r="I45" s="9">
        <v>17.5</v>
      </c>
      <c r="J45" s="9">
        <v>12</v>
      </c>
      <c r="K45" s="30" t="s">
        <v>137</v>
      </c>
      <c r="L45" s="46">
        <v>870</v>
      </c>
      <c r="M45" s="9"/>
      <c r="N45" s="9">
        <v>600</v>
      </c>
      <c r="O45" s="45">
        <v>617</v>
      </c>
      <c r="P45" s="46">
        <v>654</v>
      </c>
      <c r="Q45" s="9">
        <v>663</v>
      </c>
      <c r="R45" s="9">
        <v>663</v>
      </c>
      <c r="S45" s="45">
        <v>701</v>
      </c>
      <c r="T45" s="46">
        <v>703</v>
      </c>
      <c r="U45" s="9">
        <v>701</v>
      </c>
      <c r="V45" s="9">
        <v>6000</v>
      </c>
      <c r="W45" s="9">
        <v>13</v>
      </c>
      <c r="X45" s="45">
        <v>10800</v>
      </c>
      <c r="Y45" s="9">
        <v>21</v>
      </c>
      <c r="Z45" s="9">
        <v>15.1</v>
      </c>
      <c r="AA45" s="46">
        <v>12.1</v>
      </c>
      <c r="AB45" s="45">
        <v>20</v>
      </c>
      <c r="AC45" s="9">
        <v>270</v>
      </c>
      <c r="AD45" s="9">
        <v>27.8</v>
      </c>
      <c r="AE45" s="46">
        <v>270</v>
      </c>
      <c r="AF45" s="9">
        <v>170</v>
      </c>
      <c r="AG45" s="9">
        <v>150</v>
      </c>
      <c r="AH45" s="9">
        <f>(AF45+AG45)/2</f>
        <v>160</v>
      </c>
      <c r="AI45" s="45">
        <v>155</v>
      </c>
      <c r="AJ45" s="9">
        <v>150</v>
      </c>
      <c r="AK45" s="46">
        <f>(AI45+AJ45)/2</f>
        <v>152.5</v>
      </c>
      <c r="AL45" s="23"/>
      <c r="AM45" s="9"/>
      <c r="AN45" s="23">
        <v>2180</v>
      </c>
      <c r="AO45" s="45">
        <v>4585</v>
      </c>
      <c r="AP45" s="9">
        <v>5221</v>
      </c>
      <c r="AQ45" s="46">
        <v>6190</v>
      </c>
      <c r="AR45" s="9">
        <v>27.81</v>
      </c>
      <c r="AS45" s="42">
        <f>AO45/AR45</f>
        <v>164.86875224739302</v>
      </c>
      <c r="AT45" s="42">
        <f>AP45/AR45</f>
        <v>187.73822366055376</v>
      </c>
      <c r="AU45" s="42">
        <f>AQ45/AR45</f>
        <v>222.58180510607696</v>
      </c>
      <c r="AV45" s="49">
        <f>(AL45*0.7457)/(AP45/1000)</f>
        <v>0</v>
      </c>
      <c r="AW45" s="42">
        <f>(AM45*0.7457)/(AP45/1000)</f>
        <v>0</v>
      </c>
      <c r="AX45" s="50">
        <f>(AN45*0.7457)/(AP45/1000)</f>
        <v>311.36295728787587</v>
      </c>
      <c r="AY45" s="9"/>
      <c r="AZ45" s="42">
        <f>MAX(AV45:AX45)</f>
        <v>311.36295728787587</v>
      </c>
      <c r="BA45" s="42">
        <f>(2*AL45*0.7457)/(AQ45/1000)</f>
        <v>0</v>
      </c>
      <c r="BB45" s="45">
        <f>60*3+18</f>
        <v>198</v>
      </c>
      <c r="BC45" s="9">
        <v>516</v>
      </c>
      <c r="BD45" s="23">
        <v>718</v>
      </c>
      <c r="BE45" s="68">
        <f>BC45/BD45</f>
        <v>0.71866295264623958</v>
      </c>
      <c r="BF45" s="69">
        <f>BD45/BB45</f>
        <v>3.6262626262626263</v>
      </c>
      <c r="BG45" s="70">
        <f>30/BB45*1.5</f>
        <v>0.22727272727272729</v>
      </c>
      <c r="BH45" s="72">
        <f>AP45-(BC45*(1-BG45))</f>
        <v>4822.272727272727</v>
      </c>
      <c r="BI45" s="71">
        <f>BH45/AR45</f>
        <v>173.40067340067341</v>
      </c>
      <c r="BJ45" s="71">
        <f>(AL45*0.7457)/(BH45/1000)</f>
        <v>0</v>
      </c>
      <c r="BK45" s="45"/>
      <c r="BL45" s="1"/>
      <c r="BM45" s="1"/>
    </row>
    <row r="46" spans="1:65" x14ac:dyDescent="0.25">
      <c r="A46" s="12" t="s">
        <v>130</v>
      </c>
      <c r="B46" s="9" t="s">
        <v>21</v>
      </c>
      <c r="C46" s="9" t="s">
        <v>52</v>
      </c>
      <c r="D46" s="43">
        <v>16254</v>
      </c>
      <c r="E46" s="9" t="s">
        <v>113</v>
      </c>
      <c r="F46" s="9">
        <v>30</v>
      </c>
      <c r="G46" s="45">
        <v>165</v>
      </c>
      <c r="H46" s="9">
        <v>200</v>
      </c>
      <c r="I46" s="9">
        <v>17</v>
      </c>
      <c r="J46" s="9">
        <v>12.5</v>
      </c>
      <c r="K46" s="30" t="s">
        <v>139</v>
      </c>
      <c r="L46" s="46">
        <v>1000</v>
      </c>
      <c r="M46" s="9">
        <v>759</v>
      </c>
      <c r="N46" s="9">
        <v>837</v>
      </c>
      <c r="O46" s="45">
        <v>760</v>
      </c>
      <c r="P46" s="46">
        <v>833</v>
      </c>
      <c r="Q46" s="9">
        <v>769</v>
      </c>
      <c r="R46" s="9">
        <v>849</v>
      </c>
      <c r="S46" s="45">
        <v>780</v>
      </c>
      <c r="T46" s="46">
        <v>870</v>
      </c>
      <c r="U46" s="9">
        <v>780</v>
      </c>
      <c r="V46" s="9">
        <v>6000</v>
      </c>
      <c r="W46" s="9">
        <v>10.3</v>
      </c>
      <c r="X46" s="45">
        <v>12000</v>
      </c>
      <c r="Y46" s="9">
        <v>19.3</v>
      </c>
      <c r="Z46" s="9">
        <v>9.6999999999999993</v>
      </c>
      <c r="AA46" s="46">
        <v>5.4</v>
      </c>
      <c r="AB46" s="45">
        <v>33</v>
      </c>
      <c r="AC46" s="9">
        <v>450</v>
      </c>
      <c r="AD46" s="9">
        <v>45</v>
      </c>
      <c r="AE46" s="46">
        <v>380</v>
      </c>
      <c r="AF46" s="9">
        <v>220</v>
      </c>
      <c r="AG46" s="9">
        <v>200</v>
      </c>
      <c r="AH46" s="9">
        <f>(AF46+AG46)/2</f>
        <v>210</v>
      </c>
      <c r="AI46" s="45">
        <v>185</v>
      </c>
      <c r="AJ46" s="9">
        <v>165</v>
      </c>
      <c r="AK46" s="46">
        <f>(AI46+AJ46)/2</f>
        <v>175</v>
      </c>
      <c r="AL46" s="23"/>
      <c r="AM46" s="9"/>
      <c r="AN46" s="23"/>
      <c r="AO46" s="45">
        <v>4737</v>
      </c>
      <c r="AP46" s="9">
        <v>6400</v>
      </c>
      <c r="AQ46" s="46">
        <v>7100</v>
      </c>
      <c r="AR46" s="9">
        <v>20.399999999999999</v>
      </c>
      <c r="AS46" s="42">
        <f>AO46/AR46</f>
        <v>232.20588235294119</v>
      </c>
      <c r="AT46" s="42">
        <f>AP46/AR46</f>
        <v>313.72549019607845</v>
      </c>
      <c r="AU46" s="42">
        <f>AQ46/AR46</f>
        <v>348.03921568627453</v>
      </c>
      <c r="AV46" s="49">
        <f>(2*AL46*0.7457)/(AP46/1000)</f>
        <v>0</v>
      </c>
      <c r="AW46" s="42">
        <f>(2*AM46*0.7457)/(AP46/1000)</f>
        <v>0</v>
      </c>
      <c r="AX46" s="50">
        <f>(2*AN46*0.7457)/(AP46/1000)</f>
        <v>0</v>
      </c>
      <c r="AY46" s="9"/>
      <c r="AZ46" s="42"/>
      <c r="BA46" s="42">
        <f>(2*AL46*0.7457)/(AQ46/1000)</f>
        <v>0</v>
      </c>
      <c r="BB46" s="45">
        <f>60*2+20</f>
        <v>140</v>
      </c>
      <c r="BC46" s="9">
        <v>2161</v>
      </c>
      <c r="BD46" s="23">
        <v>2570</v>
      </c>
      <c r="BE46" s="68">
        <f>BC46/BD46</f>
        <v>0.84085603112840468</v>
      </c>
      <c r="BF46" s="69">
        <f>BD46/BB46</f>
        <v>18.357142857142858</v>
      </c>
      <c r="BG46" s="70">
        <f>30/BB46*1.5</f>
        <v>0.3214285714285714</v>
      </c>
      <c r="BH46" s="72">
        <f>AP46-(BC46*(1-BG46))</f>
        <v>4933.6071428571431</v>
      </c>
      <c r="BI46" s="71">
        <f>BH46/AR46</f>
        <v>241.843487394958</v>
      </c>
      <c r="BJ46" s="71">
        <f>(AM46*0.7457)/(BH46/1000)</f>
        <v>0</v>
      </c>
      <c r="BK46" s="45"/>
      <c r="BL46" s="1"/>
      <c r="BM46" s="1"/>
    </row>
    <row r="50" spans="3:3" x14ac:dyDescent="0.25">
      <c r="C50" s="27" t="s">
        <v>76</v>
      </c>
    </row>
    <row r="51" spans="3:3" x14ac:dyDescent="0.25">
      <c r="C51" t="s">
        <v>111</v>
      </c>
    </row>
    <row r="52" spans="3:3" x14ac:dyDescent="0.25">
      <c r="C52" t="s">
        <v>148</v>
      </c>
    </row>
  </sheetData>
  <autoFilter ref="A1:BM46" xr:uid="{C4CE3EDC-EA94-4E24-9F5B-26A9D5CE5CC3}">
    <sortState ref="A2:BM46">
      <sortCondition descending="1" ref="BJ1:BJ46"/>
    </sortState>
  </autoFilter>
  <conditionalFormatting sqref="Y2:Y4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4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4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g 0 V W T x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g 0 V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F V k / 8 F j F a r A A A A N c A A A A T A B w A R m 9 y b X V s Y X M v U 2 V j d G l v b j E u b S C i G A A o o B Q A A A A A A A A A A A A A A A A A A A A A A A A A A A B N T s 0 K g k A Y v A u + w 2 I X h R I V i 0 g 6 m G K X o I N 2 W 4 h t / a C F 9 d v Y H y i i d 8 + K q D n M w M z A j A F u h U L S f j Q t f M / 3 z J l p 6 M k k K G d Z s j 1 a p z E g a y L B + h 4 Z 0 S q n O Y x O x 0 4 S 4 k a r o V L S D W j C + 0 4 g m L e 1 E c j 0 L W z E W K k U W k B r w q B a 0 Y M B b S j k S b 5 Y 0 l p x N 7 w i W m p O u B o u Z C 9 7 W j P L u n G X / i 7 E 9 m q D a E r Q S f n l N J t n 0 S P y P Y H / 1 4 o n U E s B A i 0 A F A A C A A g A g 0 V W T x 0 0 L D K n A A A A + Q A A A B I A A A A A A A A A A A A A A A A A A A A A A E N v b m Z p Z y 9 Q Y W N r Y W d l L n h t b F B L A Q I t A B Q A A g A I A I N F V k 8 P y u m r p A A A A O k A A A A T A A A A A A A A A A A A A A A A A P M A A A B b Q 2 9 u d G V u d F 9 U e X B l c 1 0 u e G 1 s U E s B A i 0 A F A A C A A g A g 0 V W T / w W M V q s A A A A 1 w A A A B M A A A A A A A A A A A A A A A A A 5 A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c A A A A A A A A V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0 y M E d f d H V y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y V D E y O j Q z O j A 3 L j A 5 N j E 0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0 y M E d f d H V y b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S 0 y M E d f d H V y b i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t M j B H X 3 R 1 c m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C w 9 q 0 Y 6 k V K v d L 6 u j L d 2 5 Q A A A A A A g A A A A A A A 2 Y A A M A A A A A Q A A A A a / Z N D d k s d Y J i j V E c E i K i K w A A A A A E g A A A o A A A A B A A A A C z y + f 5 q Y l J o f / / Q G y k n j G C U A A A A P 9 g W V M H U s 7 3 h V F i 0 G q l d X 5 K T 2 t Y i V G e e l g a O 1 Z h G a n j A 3 6 M W 4 j I J i d t k X q G F r P f V g E / G g S 9 h V y D 4 r R j z 5 r k v a + L S O F a X L 3 G B h D j x 5 P n / y R i F A A A A A r s 4 O N r l r 5 4 q U H 4 O k p N 6 e Q h n y s b < / D a t a M a s h u p > 
</file>

<file path=customXml/itemProps1.xml><?xml version="1.0" encoding="utf-8"?>
<ds:datastoreItem xmlns:ds="http://schemas.openxmlformats.org/officeDocument/2006/customXml" ds:itemID="{A1C62F91-DD8E-42D8-B832-D1EA74DFD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Compact</vt:lpstr>
      <vt:lpstr>Sortable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2020-01-08T16:41:15Z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98273d-f5aa-46da-8e10-241f6dcd5f2d_Enabled">
    <vt:lpwstr>True</vt:lpwstr>
  </property>
  <property fmtid="{D5CDD505-2E9C-101B-9397-08002B2CF9AE}" pid="3" name="MSIP_Label_e798273d-f5aa-46da-8e10-241f6dcd5f2d_SiteId">
    <vt:lpwstr>c760270c-f3da-4cfa-9737-03808ef5579f</vt:lpwstr>
  </property>
  <property fmtid="{D5CDD505-2E9C-101B-9397-08002B2CF9AE}" pid="4" name="MSIP_Label_e798273d-f5aa-46da-8e10-241f6dcd5f2d_Owner">
    <vt:lpwstr>Timothy.Condron@magna.com</vt:lpwstr>
  </property>
  <property fmtid="{D5CDD505-2E9C-101B-9397-08002B2CF9AE}" pid="5" name="MSIP_Label_e798273d-f5aa-46da-8e10-241f6dcd5f2d_SetDate">
    <vt:lpwstr>2019-10-21T13:00:54.7446951Z</vt:lpwstr>
  </property>
  <property fmtid="{D5CDD505-2E9C-101B-9397-08002B2CF9AE}" pid="6" name="MSIP_Label_e798273d-f5aa-46da-8e10-241f6dcd5f2d_Name">
    <vt:lpwstr>Internal</vt:lpwstr>
  </property>
  <property fmtid="{D5CDD505-2E9C-101B-9397-08002B2CF9AE}" pid="7" name="MSIP_Label_e798273d-f5aa-46da-8e10-241f6dcd5f2d_Application">
    <vt:lpwstr>Microsoft Azure Information Protection</vt:lpwstr>
  </property>
  <property fmtid="{D5CDD505-2E9C-101B-9397-08002B2CF9AE}" pid="8" name="MSIP_Label_e798273d-f5aa-46da-8e10-241f6dcd5f2d_ActionId">
    <vt:lpwstr>5a83686c-f65f-4807-9ac4-e80d52e21fb1</vt:lpwstr>
  </property>
  <property fmtid="{D5CDD505-2E9C-101B-9397-08002B2CF9AE}" pid="9" name="MSIP_Label_e798273d-f5aa-46da-8e10-241f6dcd5f2d_Extended_MSFT_Method">
    <vt:lpwstr>Automatic</vt:lpwstr>
  </property>
  <property fmtid="{D5CDD505-2E9C-101B-9397-08002B2CF9AE}" pid="10" name="Sensitivity">
    <vt:lpwstr>Internal</vt:lpwstr>
  </property>
</Properties>
</file>