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jamancekpali/Desktop/"/>
    </mc:Choice>
  </mc:AlternateContent>
  <xr:revisionPtr revIDLastSave="0" documentId="13_ncr:1_{B61BEE0B-C8EC-8749-93DA-88E5B43B9A82}" xr6:coauthVersionLast="47" xr6:coauthVersionMax="47" xr10:uidLastSave="{00000000-0000-0000-0000-000000000000}"/>
  <bookViews>
    <workbookView xWindow="0" yWindow="500" windowWidth="28780" windowHeight="17500" xr2:uid="{3098CF15-1359-AF4D-93E0-6EEAF8E5598F}"/>
  </bookViews>
  <sheets>
    <sheet name="ALL raw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O2" i="1"/>
  <c r="I2" i="1"/>
  <c r="L2" i="1" s="1"/>
  <c r="F2" i="1"/>
  <c r="M2" i="1" s="1"/>
  <c r="J26" i="1"/>
  <c r="K26" i="1" s="1"/>
  <c r="N26" i="1" s="1"/>
  <c r="J31" i="1"/>
  <c r="K31" i="1" s="1"/>
  <c r="N31" i="1" s="1"/>
  <c r="J30" i="1"/>
  <c r="J29" i="1"/>
  <c r="J28" i="1"/>
  <c r="J27" i="1"/>
  <c r="J40" i="1"/>
  <c r="K40" i="1" s="1"/>
  <c r="J41" i="1"/>
  <c r="J25" i="1"/>
  <c r="J24" i="1"/>
  <c r="J23" i="1"/>
  <c r="J22" i="1"/>
  <c r="J21" i="1"/>
  <c r="J20" i="1"/>
  <c r="J39" i="1"/>
  <c r="J38" i="1"/>
  <c r="J19" i="1"/>
  <c r="J37" i="1"/>
  <c r="J18" i="1"/>
  <c r="J36" i="1"/>
  <c r="J17" i="1"/>
  <c r="J16" i="1"/>
  <c r="J35" i="1"/>
  <c r="J15" i="1"/>
  <c r="J14" i="1"/>
  <c r="J34" i="1"/>
  <c r="J33" i="1"/>
  <c r="J13" i="1"/>
  <c r="J32" i="1"/>
  <c r="J11" i="1"/>
  <c r="J10" i="1"/>
  <c r="J12" i="1"/>
  <c r="J9" i="1"/>
  <c r="J8" i="1"/>
  <c r="K8" i="1" s="1"/>
  <c r="N8" i="1" s="1"/>
  <c r="J7" i="1"/>
  <c r="J6" i="1"/>
  <c r="K6" i="1" s="1"/>
  <c r="J5" i="1"/>
  <c r="J4" i="1"/>
  <c r="K4" i="1"/>
  <c r="N4" i="1" s="1"/>
  <c r="J3" i="1"/>
  <c r="J2" i="1"/>
  <c r="K2" i="1" s="1"/>
  <c r="N2" i="1" s="1"/>
  <c r="F28" i="1"/>
  <c r="M2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37" i="1"/>
  <c r="M37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8" i="1"/>
  <c r="M38" i="1" s="1"/>
  <c r="F39" i="1"/>
  <c r="M39" i="1" s="1"/>
  <c r="F40" i="1"/>
  <c r="M40" i="1" s="1"/>
  <c r="F41" i="1"/>
  <c r="M41" i="1" s="1"/>
  <c r="F12" i="1"/>
  <c r="M1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L31" i="1" l="1"/>
  <c r="N6" i="1"/>
  <c r="O6" i="1" s="1"/>
  <c r="L6" i="1"/>
  <c r="N40" i="1"/>
  <c r="O40" i="1" s="1"/>
  <c r="L40" i="1"/>
  <c r="L26" i="1"/>
  <c r="O26" i="1"/>
  <c r="K25" i="1"/>
  <c r="L8" i="1"/>
  <c r="L4" i="1"/>
  <c r="O4" i="1"/>
  <c r="O8" i="1"/>
  <c r="K29" i="1"/>
  <c r="K17" i="1"/>
  <c r="K27" i="1"/>
  <c r="N27" i="1" s="1"/>
  <c r="O27" i="1" s="1"/>
  <c r="K15" i="1"/>
  <c r="N15" i="1" s="1"/>
  <c r="O15" i="1" s="1"/>
  <c r="K41" i="1"/>
  <c r="O31" i="1"/>
  <c r="K30" i="1"/>
  <c r="K38" i="1"/>
  <c r="K28" i="1"/>
  <c r="K19" i="1"/>
  <c r="N19" i="1" s="1"/>
  <c r="O19" i="1" s="1"/>
  <c r="K3" i="1"/>
  <c r="N3" i="1" s="1"/>
  <c r="O3" i="1" s="1"/>
  <c r="K5" i="1"/>
  <c r="K7" i="1"/>
  <c r="N7" i="1" s="1"/>
  <c r="O7" i="1" s="1"/>
  <c r="K9" i="1"/>
  <c r="K12" i="1"/>
  <c r="K10" i="1"/>
  <c r="K11" i="1"/>
  <c r="N11" i="1" s="1"/>
  <c r="O11" i="1" s="1"/>
  <c r="K32" i="1"/>
  <c r="K13" i="1"/>
  <c r="K33" i="1"/>
  <c r="K34" i="1"/>
  <c r="K14" i="1"/>
  <c r="K35" i="1"/>
  <c r="N35" i="1" s="1"/>
  <c r="O35" i="1" s="1"/>
  <c r="K16" i="1"/>
  <c r="K36" i="1"/>
  <c r="K18" i="1"/>
  <c r="K37" i="1"/>
  <c r="K39" i="1"/>
  <c r="N39" i="1" s="1"/>
  <c r="O39" i="1" s="1"/>
  <c r="K20" i="1"/>
  <c r="K21" i="1"/>
  <c r="K22" i="1"/>
  <c r="N23" i="1"/>
  <c r="O23" i="1" s="1"/>
  <c r="K24" i="1"/>
  <c r="L19" i="1" l="1"/>
  <c r="L35" i="1"/>
  <c r="L7" i="1"/>
  <c r="N16" i="1"/>
  <c r="O16" i="1" s="1"/>
  <c r="L16" i="1"/>
  <c r="N33" i="1"/>
  <c r="O33" i="1" s="1"/>
  <c r="L33" i="1"/>
  <c r="N10" i="1"/>
  <c r="O10" i="1" s="1"/>
  <c r="L10" i="1"/>
  <c r="N5" i="1"/>
  <c r="O5" i="1" s="1"/>
  <c r="L5" i="1"/>
  <c r="N38" i="1"/>
  <c r="O38" i="1" s="1"/>
  <c r="L38" i="1"/>
  <c r="N17" i="1"/>
  <c r="O17" i="1" s="1"/>
  <c r="L17" i="1"/>
  <c r="L15" i="1"/>
  <c r="N22" i="1"/>
  <c r="O22" i="1" s="1"/>
  <c r="L22" i="1"/>
  <c r="N37" i="1"/>
  <c r="O37" i="1" s="1"/>
  <c r="L37" i="1"/>
  <c r="N13" i="1"/>
  <c r="O13" i="1" s="1"/>
  <c r="L13" i="1"/>
  <c r="N12" i="1"/>
  <c r="O12" i="1" s="1"/>
  <c r="L12" i="1"/>
  <c r="N30" i="1"/>
  <c r="O30" i="1" s="1"/>
  <c r="L30" i="1"/>
  <c r="N29" i="1"/>
  <c r="O29" i="1" s="1"/>
  <c r="L29" i="1"/>
  <c r="L3" i="1"/>
  <c r="L39" i="1"/>
  <c r="N21" i="1"/>
  <c r="O21" i="1" s="1"/>
  <c r="L21" i="1"/>
  <c r="N18" i="1"/>
  <c r="O18" i="1" s="1"/>
  <c r="L18" i="1"/>
  <c r="N14" i="1"/>
  <c r="O14" i="1" s="1"/>
  <c r="L14" i="1"/>
  <c r="N32" i="1"/>
  <c r="O32" i="1" s="1"/>
  <c r="L32" i="1"/>
  <c r="N9" i="1"/>
  <c r="O9" i="1" s="1"/>
  <c r="L9" i="1"/>
  <c r="N25" i="1"/>
  <c r="O25" i="1" s="1"/>
  <c r="L25" i="1"/>
  <c r="L23" i="1"/>
  <c r="N24" i="1"/>
  <c r="O24" i="1" s="1"/>
  <c r="L24" i="1"/>
  <c r="N20" i="1"/>
  <c r="O20" i="1" s="1"/>
  <c r="L20" i="1"/>
  <c r="N36" i="1"/>
  <c r="O36" i="1" s="1"/>
  <c r="L36" i="1"/>
  <c r="N34" i="1"/>
  <c r="O34" i="1" s="1"/>
  <c r="L34" i="1"/>
  <c r="N28" i="1"/>
  <c r="O28" i="1" s="1"/>
  <c r="L28" i="1"/>
  <c r="N41" i="1"/>
  <c r="O41" i="1" s="1"/>
  <c r="L41" i="1"/>
  <c r="L11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tc={96C1D323-E43C-4CB7-A61F-09A2B7D4B194}</author>
  </authors>
  <commentList>
    <comment ref="K1" authorId="0" shapeId="0" xr:uid="{96C1D323-E43C-4CB7-A61F-09A2B7D4B1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cm^2
</t>
      </text>
    </comment>
  </commentList>
</comments>
</file>

<file path=xl/sharedStrings.xml><?xml version="1.0" encoding="utf-8"?>
<sst xmlns="http://schemas.openxmlformats.org/spreadsheetml/2006/main" count="95" uniqueCount="59">
  <si>
    <t>TID</t>
  </si>
  <si>
    <t>Sample</t>
  </si>
  <si>
    <t>Location</t>
  </si>
  <si>
    <t>DBH 1</t>
  </si>
  <si>
    <t>DBH 2</t>
  </si>
  <si>
    <t>Mean_DBH</t>
  </si>
  <si>
    <t>Total wet mass</t>
  </si>
  <si>
    <t>Total dry mass</t>
  </si>
  <si>
    <t>age</t>
  </si>
  <si>
    <t>Alder</t>
  </si>
  <si>
    <t>NN 60267 33685</t>
  </si>
  <si>
    <t>NN 60259 33663</t>
  </si>
  <si>
    <t>NN 60234 33641</t>
  </si>
  <si>
    <t>NN 60241 33641</t>
  </si>
  <si>
    <t>NN 60824 33622</t>
  </si>
  <si>
    <t>NN 60219 33620</t>
  </si>
  <si>
    <t>NN 60202 33609</t>
  </si>
  <si>
    <t>NN 60201 33599</t>
  </si>
  <si>
    <t>NN 60248 33665</t>
  </si>
  <si>
    <t>NN 60189 33595</t>
  </si>
  <si>
    <t>Birch</t>
  </si>
  <si>
    <t>NN 60238 33637</t>
  </si>
  <si>
    <t>NN 60248 33607</t>
  </si>
  <si>
    <t>NN 60209 33607</t>
  </si>
  <si>
    <t>NN 60250 33665</t>
  </si>
  <si>
    <t>NN 60241 33665</t>
  </si>
  <si>
    <t>NN 60154 22568</t>
  </si>
  <si>
    <t>NN 60307 33718</t>
  </si>
  <si>
    <t>NN 60317 33722</t>
  </si>
  <si>
    <t>NN 60227 33728</t>
  </si>
  <si>
    <t>NN 60351 33721</t>
  </si>
  <si>
    <t>Rowan</t>
  </si>
  <si>
    <t>NN 60281 33725</t>
  </si>
  <si>
    <t>NN 60377 33741</t>
  </si>
  <si>
    <t>NN 60357 33732</t>
  </si>
  <si>
    <t>NN 60273 33734</t>
  </si>
  <si>
    <t>NN 60237 33649</t>
  </si>
  <si>
    <t>NN 60254 33633</t>
  </si>
  <si>
    <t>NN 60217 33603</t>
  </si>
  <si>
    <t>NN 60149 33574</t>
  </si>
  <si>
    <t>NN 60149 33568</t>
  </si>
  <si>
    <t>NN 60138 33553</t>
  </si>
  <si>
    <t>Oak</t>
  </si>
  <si>
    <t>NN 60273 33756</t>
  </si>
  <si>
    <t>NN 60305 33712</t>
  </si>
  <si>
    <t>NN 60273 33783</t>
  </si>
  <si>
    <t>NN 60308 33743</t>
  </si>
  <si>
    <t>NN 60308 33733</t>
  </si>
  <si>
    <t>NN 60342 33705</t>
  </si>
  <si>
    <t>NN 60180 33547</t>
  </si>
  <si>
    <t>NN 59967 33531</t>
  </si>
  <si>
    <t>NN 59861 33531</t>
  </si>
  <si>
    <t>NN 59755 33498</t>
  </si>
  <si>
    <t>lma_final</t>
  </si>
  <si>
    <t>mean_area (m)</t>
  </si>
  <si>
    <t>Total area of 4 leaves (cm^2)</t>
  </si>
  <si>
    <t>Mean area from 4 leaves (cm^2)</t>
  </si>
  <si>
    <t>mean LMA (g/cm^2)</t>
  </si>
  <si>
    <t>mean dry mass (from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</si>
</sst>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oja Mancek Pali" id="{5E33026C-B4FD-4A06-961E-3CBB068898EE}" userId="S::s2095338@ed.ac.uk::6a08f737-29c1-4898-a2f6-e9cb216247b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10-25T13:49:46.34" personId="{5E33026C-B4FD-4A06-961E-3CBB068898EE}" id="{96C1D323-E43C-4CB7-A61F-09A2B7D4B194}">
    <text xml:space="preserve">cm^2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CA88-354B-834C-9952-3CAA3C408D77}">
  <dimension ref="A1:T41"/>
  <sheetViews>
    <sheetView tabSelected="1" topLeftCell="K1" zoomScale="119" workbookViewId="0">
      <selection activeCell="U14" sqref="U14"/>
    </sheetView>
  </sheetViews>
  <sheetFormatPr baseColWidth="10" defaultColWidth="11" defaultRowHeight="16" x14ac:dyDescent="0.2"/>
  <cols>
    <col min="2" max="2" width="6.6640625" customWidth="1"/>
    <col min="6" max="6" width="15.33203125" customWidth="1"/>
    <col min="7" max="7" width="16" customWidth="1"/>
    <col min="8" max="8" width="14.5" customWidth="1"/>
    <col min="9" max="9" width="23.6640625" customWidth="1"/>
    <col min="10" max="10" width="25.33203125" customWidth="1"/>
    <col min="11" max="11" width="29.1640625" customWidth="1"/>
    <col min="12" max="12" width="24.1640625" customWidth="1"/>
    <col min="14" max="14" width="16.83203125" customWidth="1"/>
    <col min="16" max="16" width="15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58</v>
      </c>
      <c r="J1" s="1" t="s">
        <v>55</v>
      </c>
      <c r="K1" s="1" t="s">
        <v>56</v>
      </c>
      <c r="L1" s="1" t="s">
        <v>57</v>
      </c>
      <c r="M1" s="1" t="s">
        <v>8</v>
      </c>
      <c r="N1" s="1" t="s">
        <v>54</v>
      </c>
      <c r="O1" s="1" t="s">
        <v>53</v>
      </c>
      <c r="P1" s="1"/>
      <c r="S1" s="1"/>
      <c r="T1" s="1"/>
    </row>
    <row r="2" spans="1:20" x14ac:dyDescent="0.2">
      <c r="A2" t="s">
        <v>9</v>
      </c>
      <c r="B2">
        <v>1</v>
      </c>
      <c r="C2" t="s">
        <v>10</v>
      </c>
      <c r="D2">
        <v>22.5</v>
      </c>
      <c r="E2">
        <v>22.5</v>
      </c>
      <c r="F2">
        <f>(D2+E2)/2</f>
        <v>22.5</v>
      </c>
      <c r="G2">
        <v>9</v>
      </c>
      <c r="H2">
        <v>2.976</v>
      </c>
      <c r="I2">
        <f>H2/16</f>
        <v>0.186</v>
      </c>
      <c r="J2">
        <f>38.512+28.584+35.403+31.823</f>
        <v>134.322</v>
      </c>
      <c r="K2">
        <f>J2/4</f>
        <v>33.580500000000001</v>
      </c>
      <c r="L2">
        <f>I2/K2</f>
        <v>5.5389288426318847E-3</v>
      </c>
      <c r="M2">
        <f t="shared" ref="M2:M11" si="0">10.67 + 0.991*F2</f>
        <v>32.967500000000001</v>
      </c>
      <c r="N2">
        <f t="shared" ref="N2:N41" si="1">K2/10000</f>
        <v>3.35805E-3</v>
      </c>
      <c r="O2">
        <f t="shared" ref="O2:O41" si="2">I2/N2</f>
        <v>55.389288426318842</v>
      </c>
    </row>
    <row r="3" spans="1:20" x14ac:dyDescent="0.2">
      <c r="A3" t="s">
        <v>9</v>
      </c>
      <c r="B3">
        <v>2</v>
      </c>
      <c r="C3" t="s">
        <v>11</v>
      </c>
      <c r="D3">
        <v>32.1</v>
      </c>
      <c r="E3">
        <v>31.9</v>
      </c>
      <c r="F3">
        <f t="shared" ref="F3:F41" si="3">AVERAGE(D3,E3)</f>
        <v>32</v>
      </c>
      <c r="G3">
        <v>8</v>
      </c>
      <c r="H3">
        <v>2.8809999999999998</v>
      </c>
      <c r="I3">
        <f t="shared" ref="I3:I41" si="4">H3/16</f>
        <v>0.18006249999999999</v>
      </c>
      <c r="J3">
        <f>38.681 + 22.779 + 34.328 + 22.461</f>
        <v>118.249</v>
      </c>
      <c r="K3">
        <f>J3/4</f>
        <v>29.562249999999999</v>
      </c>
      <c r="L3">
        <f t="shared" ref="L3:L41" si="5">I3/K3</f>
        <v>6.0909606000896415E-3</v>
      </c>
      <c r="M3">
        <f t="shared" si="0"/>
        <v>42.381999999999998</v>
      </c>
      <c r="N3">
        <f t="shared" si="1"/>
        <v>2.9562249999999998E-3</v>
      </c>
      <c r="O3">
        <f t="shared" si="2"/>
        <v>60.90960600089641</v>
      </c>
    </row>
    <row r="4" spans="1:20" x14ac:dyDescent="0.2">
      <c r="A4" t="s">
        <v>9</v>
      </c>
      <c r="B4">
        <v>3</v>
      </c>
      <c r="C4" t="s">
        <v>12</v>
      </c>
      <c r="D4">
        <v>27.5</v>
      </c>
      <c r="E4">
        <v>27.8</v>
      </c>
      <c r="F4">
        <f t="shared" si="3"/>
        <v>27.65</v>
      </c>
      <c r="G4">
        <v>11</v>
      </c>
      <c r="H4">
        <v>3.0619999999999998</v>
      </c>
      <c r="I4">
        <f t="shared" si="4"/>
        <v>0.19137499999999999</v>
      </c>
      <c r="J4">
        <f>93.36+79.13+ 57.234 + 59.121</f>
        <v>288.84500000000003</v>
      </c>
      <c r="K4">
        <f t="shared" ref="K4:K41" si="6">J4/4</f>
        <v>72.211250000000007</v>
      </c>
      <c r="L4">
        <f t="shared" si="5"/>
        <v>2.6502103204140625E-3</v>
      </c>
      <c r="M4">
        <f t="shared" si="0"/>
        <v>38.071149999999996</v>
      </c>
      <c r="N4">
        <f t="shared" si="1"/>
        <v>7.221125000000001E-3</v>
      </c>
      <c r="O4">
        <f t="shared" si="2"/>
        <v>26.502103204140624</v>
      </c>
    </row>
    <row r="5" spans="1:20" x14ac:dyDescent="0.2">
      <c r="A5" t="s">
        <v>9</v>
      </c>
      <c r="B5">
        <v>4</v>
      </c>
      <c r="C5" t="s">
        <v>13</v>
      </c>
      <c r="D5">
        <v>12.2</v>
      </c>
      <c r="E5">
        <v>12.5</v>
      </c>
      <c r="F5">
        <f t="shared" si="3"/>
        <v>12.35</v>
      </c>
      <c r="G5">
        <v>9</v>
      </c>
      <c r="H5">
        <v>2.2480000000000002</v>
      </c>
      <c r="I5">
        <f t="shared" si="4"/>
        <v>0.14050000000000001</v>
      </c>
      <c r="J5">
        <f>20.48 + 47.543 + 52.08 + 38.173</f>
        <v>158.27600000000001</v>
      </c>
      <c r="K5">
        <f t="shared" si="6"/>
        <v>39.569000000000003</v>
      </c>
      <c r="L5">
        <f t="shared" si="5"/>
        <v>3.5507594328893833E-3</v>
      </c>
      <c r="M5">
        <f t="shared" si="0"/>
        <v>22.908850000000001</v>
      </c>
      <c r="N5">
        <f t="shared" si="1"/>
        <v>3.9569000000000002E-3</v>
      </c>
      <c r="O5">
        <f t="shared" si="2"/>
        <v>35.50759432889383</v>
      </c>
    </row>
    <row r="6" spans="1:20" x14ac:dyDescent="0.2">
      <c r="A6" t="s">
        <v>9</v>
      </c>
      <c r="B6">
        <v>5</v>
      </c>
      <c r="C6" t="s">
        <v>14</v>
      </c>
      <c r="D6">
        <v>19</v>
      </c>
      <c r="E6">
        <v>19.100000000000001</v>
      </c>
      <c r="F6">
        <f t="shared" si="3"/>
        <v>19.05</v>
      </c>
      <c r="G6">
        <v>12</v>
      </c>
      <c r="H6">
        <v>3.1949999999999998</v>
      </c>
      <c r="I6">
        <f t="shared" si="4"/>
        <v>0.19968749999999999</v>
      </c>
      <c r="J6">
        <f>124.276+71.762+66.086+78.625</f>
        <v>340.74900000000002</v>
      </c>
      <c r="K6">
        <f t="shared" si="6"/>
        <v>85.187250000000006</v>
      </c>
      <c r="L6">
        <f t="shared" si="5"/>
        <v>2.3441007897308575E-3</v>
      </c>
      <c r="M6">
        <f t="shared" si="0"/>
        <v>29.548549999999999</v>
      </c>
      <c r="N6">
        <f t="shared" si="1"/>
        <v>8.5187250000000013E-3</v>
      </c>
      <c r="O6">
        <f t="shared" si="2"/>
        <v>23.44100789730857</v>
      </c>
    </row>
    <row r="7" spans="1:20" x14ac:dyDescent="0.2">
      <c r="A7" t="s">
        <v>9</v>
      </c>
      <c r="B7">
        <v>6</v>
      </c>
      <c r="C7" t="s">
        <v>15</v>
      </c>
      <c r="D7">
        <v>50.1</v>
      </c>
      <c r="E7">
        <v>49.8</v>
      </c>
      <c r="F7">
        <f t="shared" si="3"/>
        <v>49.95</v>
      </c>
      <c r="G7">
        <v>15</v>
      </c>
      <c r="H7">
        <v>4.8819999999999997</v>
      </c>
      <c r="I7">
        <f t="shared" si="4"/>
        <v>0.30512499999999998</v>
      </c>
      <c r="J7">
        <f>60.043+94.302+61.228+50.331</f>
        <v>265.904</v>
      </c>
      <c r="K7">
        <f>J7/4</f>
        <v>66.475999999999999</v>
      </c>
      <c r="L7">
        <f t="shared" si="5"/>
        <v>4.5900024068836875E-3</v>
      </c>
      <c r="M7">
        <f t="shared" si="0"/>
        <v>60.170450000000002</v>
      </c>
      <c r="N7">
        <f t="shared" si="1"/>
        <v>6.6476E-3</v>
      </c>
      <c r="O7">
        <f t="shared" si="2"/>
        <v>45.900024068836871</v>
      </c>
    </row>
    <row r="8" spans="1:20" x14ac:dyDescent="0.2">
      <c r="A8" t="s">
        <v>9</v>
      </c>
      <c r="B8">
        <v>7</v>
      </c>
      <c r="C8" t="s">
        <v>16</v>
      </c>
      <c r="D8">
        <v>20.100000000000001</v>
      </c>
      <c r="E8">
        <v>20.2</v>
      </c>
      <c r="F8">
        <f t="shared" si="3"/>
        <v>20.149999999999999</v>
      </c>
      <c r="G8">
        <v>12</v>
      </c>
      <c r="H8">
        <v>4.5419999999999998</v>
      </c>
      <c r="I8">
        <f t="shared" si="4"/>
        <v>0.28387499999999999</v>
      </c>
      <c r="J8">
        <f>21.392+35.275+23.42+30.671</f>
        <v>110.75800000000001</v>
      </c>
      <c r="K8">
        <f t="shared" si="6"/>
        <v>27.689500000000002</v>
      </c>
      <c r="L8">
        <f t="shared" si="5"/>
        <v>1.025208111377959E-2</v>
      </c>
      <c r="M8">
        <f t="shared" si="0"/>
        <v>30.638649999999998</v>
      </c>
      <c r="N8">
        <f t="shared" si="1"/>
        <v>2.7689500000000001E-3</v>
      </c>
      <c r="O8">
        <f t="shared" si="2"/>
        <v>102.5208111377959</v>
      </c>
    </row>
    <row r="9" spans="1:20" x14ac:dyDescent="0.2">
      <c r="A9" t="s">
        <v>9</v>
      </c>
      <c r="B9">
        <v>8</v>
      </c>
      <c r="C9" t="s">
        <v>17</v>
      </c>
      <c r="D9">
        <v>38.299999999999997</v>
      </c>
      <c r="E9">
        <v>38.1</v>
      </c>
      <c r="F9">
        <f t="shared" si="3"/>
        <v>38.200000000000003</v>
      </c>
      <c r="G9">
        <v>9</v>
      </c>
      <c r="H9">
        <v>2.9529999999999998</v>
      </c>
      <c r="I9">
        <f t="shared" si="4"/>
        <v>0.18456249999999999</v>
      </c>
      <c r="J9">
        <f>40.931+37.611+37.704+29.301</f>
        <v>145.547</v>
      </c>
      <c r="K9">
        <f t="shared" si="6"/>
        <v>36.386749999999999</v>
      </c>
      <c r="L9">
        <f t="shared" si="5"/>
        <v>5.0722447044597276E-3</v>
      </c>
      <c r="M9">
        <f t="shared" si="0"/>
        <v>48.526200000000003</v>
      </c>
      <c r="N9">
        <f t="shared" si="1"/>
        <v>3.6386750000000001E-3</v>
      </c>
      <c r="O9">
        <f t="shared" si="2"/>
        <v>50.722447044597274</v>
      </c>
    </row>
    <row r="10" spans="1:20" x14ac:dyDescent="0.2">
      <c r="A10" t="s">
        <v>9</v>
      </c>
      <c r="B10">
        <v>9</v>
      </c>
      <c r="C10" t="s">
        <v>18</v>
      </c>
      <c r="D10">
        <v>31.9</v>
      </c>
      <c r="E10">
        <v>31.9</v>
      </c>
      <c r="F10">
        <f t="shared" si="3"/>
        <v>31.9</v>
      </c>
      <c r="G10">
        <v>8</v>
      </c>
      <c r="H10">
        <v>3.3490000000000002</v>
      </c>
      <c r="I10">
        <f t="shared" si="4"/>
        <v>0.20931250000000001</v>
      </c>
      <c r="J10">
        <f>33.847+37.415+20.873+8.158</f>
        <v>100.29300000000001</v>
      </c>
      <c r="K10">
        <f t="shared" si="6"/>
        <v>25.073250000000002</v>
      </c>
      <c r="L10">
        <f t="shared" si="5"/>
        <v>8.3480402420906749E-3</v>
      </c>
      <c r="M10">
        <f t="shared" si="0"/>
        <v>42.282899999999998</v>
      </c>
      <c r="N10">
        <f t="shared" si="1"/>
        <v>2.5073250000000004E-3</v>
      </c>
      <c r="O10">
        <f t="shared" si="2"/>
        <v>83.480402420906742</v>
      </c>
    </row>
    <row r="11" spans="1:20" x14ac:dyDescent="0.2">
      <c r="A11" t="s">
        <v>9</v>
      </c>
      <c r="B11">
        <v>10</v>
      </c>
      <c r="C11" t="s">
        <v>19</v>
      </c>
      <c r="D11">
        <v>6.9</v>
      </c>
      <c r="E11">
        <v>6.8</v>
      </c>
      <c r="F11">
        <f t="shared" si="3"/>
        <v>6.85</v>
      </c>
      <c r="G11">
        <v>8</v>
      </c>
      <c r="H11">
        <v>2.6110000000000002</v>
      </c>
      <c r="I11">
        <f t="shared" si="4"/>
        <v>0.16318750000000001</v>
      </c>
      <c r="J11">
        <f>40.134+47.505+22.453+16.5</f>
        <v>126.59200000000001</v>
      </c>
      <c r="K11">
        <f t="shared" si="6"/>
        <v>31.648000000000003</v>
      </c>
      <c r="L11">
        <f t="shared" si="5"/>
        <v>5.1563289939332655E-3</v>
      </c>
      <c r="M11">
        <f t="shared" si="0"/>
        <v>17.458349999999999</v>
      </c>
      <c r="N11">
        <f t="shared" si="1"/>
        <v>3.1648000000000002E-3</v>
      </c>
      <c r="O11">
        <f t="shared" si="2"/>
        <v>51.563289939332662</v>
      </c>
    </row>
    <row r="12" spans="1:20" x14ac:dyDescent="0.2">
      <c r="A12" t="s">
        <v>20</v>
      </c>
      <c r="B12">
        <v>1</v>
      </c>
      <c r="C12" t="s">
        <v>21</v>
      </c>
      <c r="D12">
        <v>28.8</v>
      </c>
      <c r="E12">
        <v>29</v>
      </c>
      <c r="F12">
        <f t="shared" si="3"/>
        <v>28.9</v>
      </c>
      <c r="G12">
        <v>4</v>
      </c>
      <c r="H12">
        <v>1.014</v>
      </c>
      <c r="I12">
        <f t="shared" si="4"/>
        <v>6.3375000000000001E-2</v>
      </c>
      <c r="J12">
        <f>8.507+7.569+6.854+7.814</f>
        <v>30.744</v>
      </c>
      <c r="K12">
        <f>J12/4</f>
        <v>7.6859999999999999</v>
      </c>
      <c r="L12">
        <f t="shared" si="5"/>
        <v>8.2455113192818116E-3</v>
      </c>
      <c r="M12">
        <f t="shared" ref="M12:M21" si="7">34.2 + 0.919*F12</f>
        <v>60.759100000000004</v>
      </c>
      <c r="N12">
        <f t="shared" si="1"/>
        <v>7.6860000000000003E-4</v>
      </c>
      <c r="O12">
        <f t="shared" si="2"/>
        <v>82.455113192818104</v>
      </c>
    </row>
    <row r="13" spans="1:20" x14ac:dyDescent="0.2">
      <c r="A13" t="s">
        <v>20</v>
      </c>
      <c r="B13">
        <v>2</v>
      </c>
      <c r="C13" t="s">
        <v>22</v>
      </c>
      <c r="D13">
        <v>14.2</v>
      </c>
      <c r="E13">
        <v>14.3</v>
      </c>
      <c r="F13">
        <f t="shared" si="3"/>
        <v>14.25</v>
      </c>
      <c r="G13">
        <v>3</v>
      </c>
      <c r="H13">
        <v>0.86499999999999999</v>
      </c>
      <c r="I13">
        <f t="shared" si="4"/>
        <v>5.4062499999999999E-2</v>
      </c>
      <c r="J13">
        <f>13.191+23.454+11.15+16.016</f>
        <v>63.811</v>
      </c>
      <c r="K13">
        <f>J13/4</f>
        <v>15.95275</v>
      </c>
      <c r="L13">
        <f t="shared" si="5"/>
        <v>3.3889141370610082E-3</v>
      </c>
      <c r="M13">
        <f t="shared" si="7"/>
        <v>47.295750000000005</v>
      </c>
      <c r="N13">
        <f t="shared" si="1"/>
        <v>1.5952749999999999E-3</v>
      </c>
      <c r="O13">
        <f t="shared" si="2"/>
        <v>33.889141370610083</v>
      </c>
    </row>
    <row r="14" spans="1:20" x14ac:dyDescent="0.2">
      <c r="A14" t="s">
        <v>20</v>
      </c>
      <c r="B14">
        <v>3</v>
      </c>
      <c r="C14" t="s">
        <v>23</v>
      </c>
      <c r="D14">
        <v>27.4</v>
      </c>
      <c r="E14">
        <v>27.3</v>
      </c>
      <c r="F14">
        <f t="shared" si="3"/>
        <v>27.35</v>
      </c>
      <c r="G14">
        <v>4</v>
      </c>
      <c r="H14">
        <v>1.3660000000000001</v>
      </c>
      <c r="I14">
        <f t="shared" si="4"/>
        <v>8.5375000000000006E-2</v>
      </c>
      <c r="J14">
        <f>8.937+12.275+11.335+13.333</f>
        <v>45.879999999999995</v>
      </c>
      <c r="K14">
        <f t="shared" si="6"/>
        <v>11.469999999999999</v>
      </c>
      <c r="L14">
        <f t="shared" si="5"/>
        <v>7.4433304272013964E-3</v>
      </c>
      <c r="M14">
        <f t="shared" si="7"/>
        <v>59.334650000000003</v>
      </c>
      <c r="N14">
        <f t="shared" si="1"/>
        <v>1.1469999999999998E-3</v>
      </c>
      <c r="O14">
        <f t="shared" si="2"/>
        <v>74.43330427201397</v>
      </c>
    </row>
    <row r="15" spans="1:20" x14ac:dyDescent="0.2">
      <c r="A15" t="s">
        <v>20</v>
      </c>
      <c r="B15">
        <v>4</v>
      </c>
      <c r="C15" t="s">
        <v>24</v>
      </c>
      <c r="D15">
        <v>12.8</v>
      </c>
      <c r="E15">
        <v>12.7</v>
      </c>
      <c r="F15">
        <f t="shared" si="3"/>
        <v>12.75</v>
      </c>
      <c r="G15">
        <v>3</v>
      </c>
      <c r="H15">
        <v>0.83599999999999997</v>
      </c>
      <c r="I15">
        <f t="shared" si="4"/>
        <v>5.2249999999999998E-2</v>
      </c>
      <c r="J15">
        <f>10.863+11.834+11.728+12.664</f>
        <v>47.088999999999999</v>
      </c>
      <c r="K15">
        <f t="shared" si="6"/>
        <v>11.77225</v>
      </c>
      <c r="L15">
        <f t="shared" si="5"/>
        <v>4.438403873516108E-3</v>
      </c>
      <c r="M15">
        <f t="shared" si="7"/>
        <v>45.917250000000003</v>
      </c>
      <c r="N15">
        <f t="shared" si="1"/>
        <v>1.1772250000000001E-3</v>
      </c>
      <c r="O15">
        <f t="shared" si="2"/>
        <v>44.384038735161077</v>
      </c>
    </row>
    <row r="16" spans="1:20" x14ac:dyDescent="0.2">
      <c r="A16" t="s">
        <v>20</v>
      </c>
      <c r="B16">
        <v>5</v>
      </c>
      <c r="C16" t="s">
        <v>25</v>
      </c>
      <c r="D16">
        <v>7.5</v>
      </c>
      <c r="E16">
        <v>7.5</v>
      </c>
      <c r="F16">
        <f t="shared" si="3"/>
        <v>7.5</v>
      </c>
      <c r="G16">
        <v>2</v>
      </c>
      <c r="H16">
        <v>0.69099999999999995</v>
      </c>
      <c r="I16">
        <f t="shared" si="4"/>
        <v>4.3187499999999997E-2</v>
      </c>
      <c r="J16">
        <f>7.311+6.582+6.508+12.093</f>
        <v>32.494</v>
      </c>
      <c r="K16">
        <f t="shared" si="6"/>
        <v>8.1234999999999999</v>
      </c>
      <c r="L16">
        <f t="shared" si="5"/>
        <v>5.3163660983566192E-3</v>
      </c>
      <c r="M16">
        <f t="shared" si="7"/>
        <v>41.092500000000001</v>
      </c>
      <c r="N16">
        <f t="shared" si="1"/>
        <v>8.1234999999999999E-4</v>
      </c>
      <c r="O16">
        <f t="shared" si="2"/>
        <v>53.163660983566196</v>
      </c>
    </row>
    <row r="17" spans="1:15" x14ac:dyDescent="0.2">
      <c r="A17" t="s">
        <v>20</v>
      </c>
      <c r="B17">
        <v>6</v>
      </c>
      <c r="C17" t="s">
        <v>26</v>
      </c>
      <c r="D17">
        <v>8.9</v>
      </c>
      <c r="E17">
        <v>9</v>
      </c>
      <c r="F17">
        <f t="shared" si="3"/>
        <v>8.9499999999999993</v>
      </c>
      <c r="G17">
        <v>3</v>
      </c>
      <c r="H17">
        <v>0.53100000000000003</v>
      </c>
      <c r="I17">
        <f t="shared" si="4"/>
        <v>3.3187500000000002E-2</v>
      </c>
      <c r="J17">
        <f>2.634+3.381+2.702+2.144</f>
        <v>10.860999999999999</v>
      </c>
      <c r="K17">
        <f t="shared" si="6"/>
        <v>2.7152499999999997</v>
      </c>
      <c r="L17">
        <f t="shared" si="5"/>
        <v>1.2222631433569655E-2</v>
      </c>
      <c r="M17">
        <f t="shared" si="7"/>
        <v>42.425049999999999</v>
      </c>
      <c r="N17">
        <f t="shared" si="1"/>
        <v>2.7152499999999995E-4</v>
      </c>
      <c r="O17">
        <f t="shared" si="2"/>
        <v>122.22631433569656</v>
      </c>
    </row>
    <row r="18" spans="1:15" x14ac:dyDescent="0.2">
      <c r="A18" t="s">
        <v>20</v>
      </c>
      <c r="B18">
        <v>7</v>
      </c>
      <c r="C18" t="s">
        <v>27</v>
      </c>
      <c r="D18">
        <v>34.6</v>
      </c>
      <c r="E18">
        <v>34.4</v>
      </c>
      <c r="F18">
        <f t="shared" si="3"/>
        <v>34.5</v>
      </c>
      <c r="G18">
        <v>4</v>
      </c>
      <c r="H18">
        <v>1.2969999999999999</v>
      </c>
      <c r="I18">
        <f t="shared" si="4"/>
        <v>8.1062499999999996E-2</v>
      </c>
      <c r="J18">
        <f>14.202+9.769+7.458+14.953</f>
        <v>46.382000000000005</v>
      </c>
      <c r="K18">
        <f t="shared" si="6"/>
        <v>11.595500000000001</v>
      </c>
      <c r="L18">
        <f t="shared" si="5"/>
        <v>6.9908585227027717E-3</v>
      </c>
      <c r="M18">
        <f t="shared" si="7"/>
        <v>65.905500000000004</v>
      </c>
      <c r="N18">
        <f t="shared" si="1"/>
        <v>1.1595500000000001E-3</v>
      </c>
      <c r="O18">
        <f t="shared" si="2"/>
        <v>69.908585227027714</v>
      </c>
    </row>
    <row r="19" spans="1:15" x14ac:dyDescent="0.2">
      <c r="A19" t="s">
        <v>20</v>
      </c>
      <c r="B19">
        <v>8</v>
      </c>
      <c r="C19" t="s">
        <v>28</v>
      </c>
      <c r="D19">
        <v>30.8</v>
      </c>
      <c r="E19">
        <v>30.9</v>
      </c>
      <c r="F19">
        <f t="shared" si="3"/>
        <v>30.85</v>
      </c>
      <c r="G19">
        <v>3</v>
      </c>
      <c r="H19">
        <v>1.0669999999999999</v>
      </c>
      <c r="I19">
        <f t="shared" si="4"/>
        <v>6.6687499999999997E-2</v>
      </c>
      <c r="J19">
        <f>16.926+13.031+10.847+8.053</f>
        <v>48.856999999999999</v>
      </c>
      <c r="K19">
        <f t="shared" si="6"/>
        <v>12.21425</v>
      </c>
      <c r="L19">
        <f t="shared" si="5"/>
        <v>5.4598112859979122E-3</v>
      </c>
      <c r="M19">
        <f t="shared" si="7"/>
        <v>62.551150000000007</v>
      </c>
      <c r="N19">
        <f t="shared" si="1"/>
        <v>1.2214249999999999E-3</v>
      </c>
      <c r="O19">
        <f t="shared" si="2"/>
        <v>54.598112859979125</v>
      </c>
    </row>
    <row r="20" spans="1:15" x14ac:dyDescent="0.2">
      <c r="A20" t="s">
        <v>20</v>
      </c>
      <c r="B20">
        <v>9</v>
      </c>
      <c r="C20" t="s">
        <v>29</v>
      </c>
      <c r="D20">
        <v>14.9</v>
      </c>
      <c r="E20">
        <v>14.7</v>
      </c>
      <c r="F20">
        <f t="shared" si="3"/>
        <v>14.8</v>
      </c>
      <c r="G20">
        <v>3</v>
      </c>
      <c r="H20">
        <v>0.94399999999999995</v>
      </c>
      <c r="I20">
        <f t="shared" si="4"/>
        <v>5.8999999999999997E-2</v>
      </c>
      <c r="J20">
        <f>7.093+6.772+13.861+8.603</f>
        <v>36.329000000000001</v>
      </c>
      <c r="K20">
        <f t="shared" si="6"/>
        <v>9.0822500000000002</v>
      </c>
      <c r="L20">
        <f t="shared" si="5"/>
        <v>6.496187618706818E-3</v>
      </c>
      <c r="M20">
        <f t="shared" si="7"/>
        <v>47.801200000000001</v>
      </c>
      <c r="N20">
        <f t="shared" si="1"/>
        <v>9.0822500000000003E-4</v>
      </c>
      <c r="O20">
        <f t="shared" si="2"/>
        <v>64.961876187068171</v>
      </c>
    </row>
    <row r="21" spans="1:15" x14ac:dyDescent="0.2">
      <c r="A21" t="s">
        <v>20</v>
      </c>
      <c r="B21">
        <v>10</v>
      </c>
      <c r="C21" t="s">
        <v>30</v>
      </c>
      <c r="D21">
        <v>27.1</v>
      </c>
      <c r="E21">
        <v>27.5</v>
      </c>
      <c r="F21">
        <f t="shared" si="3"/>
        <v>27.3</v>
      </c>
      <c r="G21">
        <v>3</v>
      </c>
      <c r="H21">
        <v>0.91100000000000003</v>
      </c>
      <c r="I21">
        <f t="shared" si="4"/>
        <v>5.6937500000000002E-2</v>
      </c>
      <c r="J21">
        <f>7.307+6.037+6.468+7.981</f>
        <v>27.792999999999999</v>
      </c>
      <c r="K21">
        <f t="shared" si="6"/>
        <v>6.9482499999999998</v>
      </c>
      <c r="L21">
        <f t="shared" si="5"/>
        <v>8.1945094088439543E-3</v>
      </c>
      <c r="M21">
        <f t="shared" si="7"/>
        <v>59.288700000000006</v>
      </c>
      <c r="N21">
        <f t="shared" si="1"/>
        <v>6.9482499999999993E-4</v>
      </c>
      <c r="O21">
        <f t="shared" si="2"/>
        <v>81.945094088439546</v>
      </c>
    </row>
    <row r="22" spans="1:15" x14ac:dyDescent="0.2">
      <c r="A22" t="s">
        <v>31</v>
      </c>
      <c r="B22">
        <v>1</v>
      </c>
      <c r="C22" t="s">
        <v>32</v>
      </c>
      <c r="D22">
        <v>16</v>
      </c>
      <c r="E22">
        <v>16.3</v>
      </c>
      <c r="F22">
        <f t="shared" si="3"/>
        <v>16.149999999999999</v>
      </c>
      <c r="G22">
        <v>12</v>
      </c>
      <c r="H22">
        <v>4.0839999999999996</v>
      </c>
      <c r="I22">
        <f t="shared" si="4"/>
        <v>0.25524999999999998</v>
      </c>
      <c r="J22">
        <f>46.464+52.745+52.916+43.63</f>
        <v>195.755</v>
      </c>
      <c r="K22">
        <f t="shared" si="6"/>
        <v>48.938749999999999</v>
      </c>
      <c r="L22">
        <f t="shared" si="5"/>
        <v>5.2157033025976348E-3</v>
      </c>
      <c r="M22">
        <f t="shared" ref="M22:M31" si="8">37.09 +0.753*F22</f>
        <v>49.250950000000003</v>
      </c>
      <c r="N22">
        <f t="shared" si="1"/>
        <v>4.8938749999999998E-3</v>
      </c>
      <c r="O22">
        <f t="shared" si="2"/>
        <v>52.157033025976347</v>
      </c>
    </row>
    <row r="23" spans="1:15" x14ac:dyDescent="0.2">
      <c r="A23" t="s">
        <v>31</v>
      </c>
      <c r="B23">
        <v>2</v>
      </c>
      <c r="C23" t="s">
        <v>33</v>
      </c>
      <c r="D23">
        <v>43.2</v>
      </c>
      <c r="E23">
        <v>46.8</v>
      </c>
      <c r="F23">
        <f t="shared" si="3"/>
        <v>45</v>
      </c>
      <c r="G23">
        <v>14</v>
      </c>
      <c r="H23">
        <v>4.9829999999999997</v>
      </c>
      <c r="I23">
        <f t="shared" si="4"/>
        <v>0.31143749999999998</v>
      </c>
      <c r="J23">
        <f>62.069+66.834+29.535+76.259</f>
        <v>234.697</v>
      </c>
      <c r="K23">
        <f t="shared" si="6"/>
        <v>58.674250000000001</v>
      </c>
      <c r="L23">
        <f t="shared" si="5"/>
        <v>5.3079076426200585E-3</v>
      </c>
      <c r="M23">
        <f t="shared" si="8"/>
        <v>70.974999999999994</v>
      </c>
      <c r="N23">
        <f t="shared" si="1"/>
        <v>5.8674249999999999E-3</v>
      </c>
      <c r="O23">
        <f t="shared" si="2"/>
        <v>53.079076426200587</v>
      </c>
    </row>
    <row r="24" spans="1:15" x14ac:dyDescent="0.2">
      <c r="A24" t="s">
        <v>31</v>
      </c>
      <c r="B24">
        <v>3</v>
      </c>
      <c r="C24" t="s">
        <v>34</v>
      </c>
      <c r="D24">
        <v>14.6</v>
      </c>
      <c r="E24">
        <v>14.4</v>
      </c>
      <c r="F24">
        <f t="shared" si="3"/>
        <v>14.5</v>
      </c>
      <c r="G24">
        <v>21</v>
      </c>
      <c r="H24">
        <v>6.7629999999999999</v>
      </c>
      <c r="I24">
        <f t="shared" si="4"/>
        <v>0.42268749999999999</v>
      </c>
      <c r="J24">
        <f>72.149+59.702+33.24+99.431</f>
        <v>264.52199999999999</v>
      </c>
      <c r="K24">
        <f>J24/4</f>
        <v>66.130499999999998</v>
      </c>
      <c r="L24">
        <f t="shared" si="5"/>
        <v>6.3917178911394893E-3</v>
      </c>
      <c r="M24">
        <f t="shared" si="8"/>
        <v>48.008500000000005</v>
      </c>
      <c r="N24">
        <f t="shared" si="1"/>
        <v>6.6130499999999997E-3</v>
      </c>
      <c r="O24">
        <f t="shared" si="2"/>
        <v>63.917178911394899</v>
      </c>
    </row>
    <row r="25" spans="1:15" x14ac:dyDescent="0.2">
      <c r="A25" t="s">
        <v>31</v>
      </c>
      <c r="B25">
        <v>4</v>
      </c>
      <c r="C25" t="s">
        <v>35</v>
      </c>
      <c r="D25">
        <v>30.4</v>
      </c>
      <c r="E25">
        <v>28.5</v>
      </c>
      <c r="F25">
        <f t="shared" si="3"/>
        <v>29.45</v>
      </c>
      <c r="G25">
        <v>22</v>
      </c>
      <c r="H25">
        <v>8.5310000000000006</v>
      </c>
      <c r="I25">
        <f t="shared" si="4"/>
        <v>0.53318750000000004</v>
      </c>
      <c r="J25">
        <f>38.508+45.101+41.114+49.833</f>
        <v>174.55600000000001</v>
      </c>
      <c r="K25">
        <f t="shared" si="6"/>
        <v>43.639000000000003</v>
      </c>
      <c r="L25">
        <f t="shared" si="5"/>
        <v>1.2218142028919085E-2</v>
      </c>
      <c r="M25">
        <f t="shared" si="8"/>
        <v>59.26585</v>
      </c>
      <c r="N25">
        <f t="shared" si="1"/>
        <v>4.3639000000000004E-3</v>
      </c>
      <c r="O25">
        <f t="shared" si="2"/>
        <v>122.18142028919085</v>
      </c>
    </row>
    <row r="26" spans="1:15" x14ac:dyDescent="0.2">
      <c r="A26" t="s">
        <v>31</v>
      </c>
      <c r="B26">
        <v>5</v>
      </c>
      <c r="C26" t="s">
        <v>36</v>
      </c>
      <c r="D26">
        <v>8.6</v>
      </c>
      <c r="E26">
        <v>8.8000000000000007</v>
      </c>
      <c r="F26">
        <f t="shared" si="3"/>
        <v>8.6999999999999993</v>
      </c>
      <c r="G26">
        <v>14</v>
      </c>
      <c r="H26">
        <v>3.9590000000000001</v>
      </c>
      <c r="I26">
        <f t="shared" si="4"/>
        <v>0.2474375</v>
      </c>
      <c r="J26">
        <f>43.444+38.781+4.211+55.371</f>
        <v>141.80699999999999</v>
      </c>
      <c r="K26">
        <f t="shared" si="6"/>
        <v>35.451749999999997</v>
      </c>
      <c r="L26">
        <f t="shared" si="5"/>
        <v>6.9795567214594491E-3</v>
      </c>
      <c r="M26">
        <f t="shared" si="8"/>
        <v>43.641100000000002</v>
      </c>
      <c r="N26">
        <f t="shared" si="1"/>
        <v>3.5451749999999998E-3</v>
      </c>
      <c r="O26">
        <f t="shared" si="2"/>
        <v>69.795567214594485</v>
      </c>
    </row>
    <row r="27" spans="1:15" x14ac:dyDescent="0.2">
      <c r="A27" t="s">
        <v>31</v>
      </c>
      <c r="B27">
        <v>6</v>
      </c>
      <c r="C27" t="s">
        <v>37</v>
      </c>
      <c r="D27">
        <v>18.8</v>
      </c>
      <c r="E27">
        <v>19.100000000000001</v>
      </c>
      <c r="F27">
        <f t="shared" si="3"/>
        <v>18.950000000000003</v>
      </c>
      <c r="G27">
        <v>18</v>
      </c>
      <c r="H27">
        <v>6.2969999999999997</v>
      </c>
      <c r="I27">
        <f t="shared" si="4"/>
        <v>0.39356249999999998</v>
      </c>
      <c r="J27">
        <f>65.353+48.299+58.8+29.043</f>
        <v>201.495</v>
      </c>
      <c r="K27">
        <f t="shared" si="6"/>
        <v>50.373750000000001</v>
      </c>
      <c r="L27">
        <f t="shared" si="5"/>
        <v>7.8128489540683389E-3</v>
      </c>
      <c r="M27">
        <f t="shared" si="8"/>
        <v>51.359350000000006</v>
      </c>
      <c r="N27">
        <f t="shared" si="1"/>
        <v>5.0373750000000002E-3</v>
      </c>
      <c r="O27">
        <f t="shared" si="2"/>
        <v>78.12848954068339</v>
      </c>
    </row>
    <row r="28" spans="1:15" x14ac:dyDescent="0.2">
      <c r="A28" t="s">
        <v>31</v>
      </c>
      <c r="B28">
        <v>7</v>
      </c>
      <c r="C28" t="s">
        <v>38</v>
      </c>
      <c r="D28">
        <v>42.1</v>
      </c>
      <c r="E28">
        <v>39.9</v>
      </c>
      <c r="F28">
        <f>AVERAGE(D28,E28)</f>
        <v>41</v>
      </c>
      <c r="G28">
        <v>19</v>
      </c>
      <c r="H28">
        <v>5.64</v>
      </c>
      <c r="I28">
        <f t="shared" si="4"/>
        <v>0.35249999999999998</v>
      </c>
      <c r="J28">
        <f>53.131+63.443+56.434+65.965</f>
        <v>238.97299999999998</v>
      </c>
      <c r="K28">
        <f t="shared" si="6"/>
        <v>59.743249999999996</v>
      </c>
      <c r="L28">
        <f t="shared" si="5"/>
        <v>5.9002481451879505E-3</v>
      </c>
      <c r="M28">
        <f t="shared" si="8"/>
        <v>67.963000000000008</v>
      </c>
      <c r="N28">
        <f t="shared" si="1"/>
        <v>5.9743249999999999E-3</v>
      </c>
      <c r="O28">
        <f t="shared" si="2"/>
        <v>59.002481451879497</v>
      </c>
    </row>
    <row r="29" spans="1:15" x14ac:dyDescent="0.2">
      <c r="A29" t="s">
        <v>31</v>
      </c>
      <c r="B29">
        <v>8</v>
      </c>
      <c r="C29" t="s">
        <v>39</v>
      </c>
      <c r="D29">
        <v>27.8</v>
      </c>
      <c r="E29">
        <v>25.2</v>
      </c>
      <c r="F29">
        <f t="shared" si="3"/>
        <v>26.5</v>
      </c>
      <c r="G29">
        <v>14</v>
      </c>
      <c r="H29">
        <v>4.96</v>
      </c>
      <c r="I29">
        <f t="shared" si="4"/>
        <v>0.31</v>
      </c>
      <c r="J29">
        <f>59.622+39.382+69.56+32.956</f>
        <v>201.51999999999998</v>
      </c>
      <c r="K29">
        <f t="shared" si="6"/>
        <v>50.379999999999995</v>
      </c>
      <c r="L29">
        <f t="shared" si="5"/>
        <v>6.153235410877333E-3</v>
      </c>
      <c r="M29">
        <f t="shared" si="8"/>
        <v>57.044499999999999</v>
      </c>
      <c r="N29">
        <f t="shared" si="1"/>
        <v>5.0379999999999999E-3</v>
      </c>
      <c r="O29">
        <f t="shared" si="2"/>
        <v>61.532354108773326</v>
      </c>
    </row>
    <row r="30" spans="1:15" x14ac:dyDescent="0.2">
      <c r="A30" t="s">
        <v>31</v>
      </c>
      <c r="B30">
        <v>9</v>
      </c>
      <c r="C30" t="s">
        <v>40</v>
      </c>
      <c r="D30">
        <v>13.7</v>
      </c>
      <c r="E30">
        <v>14</v>
      </c>
      <c r="F30">
        <f t="shared" si="3"/>
        <v>13.85</v>
      </c>
      <c r="G30">
        <v>14</v>
      </c>
      <c r="H30">
        <v>3.7589999999999999</v>
      </c>
      <c r="I30">
        <f t="shared" si="4"/>
        <v>0.23493749999999999</v>
      </c>
      <c r="J30">
        <f>91.997+30.456+36.646+79.785</f>
        <v>238.88399999999999</v>
      </c>
      <c r="K30">
        <f t="shared" si="6"/>
        <v>59.720999999999997</v>
      </c>
      <c r="L30">
        <f t="shared" si="5"/>
        <v>3.9339177173858446E-3</v>
      </c>
      <c r="M30">
        <f t="shared" si="8"/>
        <v>47.519050000000007</v>
      </c>
      <c r="N30">
        <f t="shared" si="1"/>
        <v>5.9720999999999993E-3</v>
      </c>
      <c r="O30">
        <f t="shared" si="2"/>
        <v>39.339177173858445</v>
      </c>
    </row>
    <row r="31" spans="1:15" x14ac:dyDescent="0.2">
      <c r="A31" t="s">
        <v>31</v>
      </c>
      <c r="B31">
        <v>10</v>
      </c>
      <c r="C31" t="s">
        <v>41</v>
      </c>
      <c r="D31">
        <v>18</v>
      </c>
      <c r="E31">
        <v>17.8</v>
      </c>
      <c r="F31">
        <f t="shared" si="3"/>
        <v>17.899999999999999</v>
      </c>
      <c r="G31">
        <v>15</v>
      </c>
      <c r="H31">
        <v>4.41</v>
      </c>
      <c r="I31">
        <f t="shared" si="4"/>
        <v>0.27562500000000001</v>
      </c>
      <c r="J31">
        <f>42.216+50.642+48.526+39.351</f>
        <v>180.73500000000001</v>
      </c>
      <c r="K31">
        <f t="shared" si="6"/>
        <v>45.183750000000003</v>
      </c>
      <c r="L31">
        <f t="shared" si="5"/>
        <v>6.1000912938833094E-3</v>
      </c>
      <c r="M31">
        <f t="shared" si="8"/>
        <v>50.5687</v>
      </c>
      <c r="N31">
        <f t="shared" si="1"/>
        <v>4.5183750000000007E-3</v>
      </c>
      <c r="O31">
        <f t="shared" si="2"/>
        <v>61.000912938833089</v>
      </c>
    </row>
    <row r="32" spans="1:15" x14ac:dyDescent="0.2">
      <c r="A32" t="s">
        <v>42</v>
      </c>
      <c r="B32">
        <v>1</v>
      </c>
      <c r="C32" t="s">
        <v>43</v>
      </c>
      <c r="D32">
        <v>47.3</v>
      </c>
      <c r="E32">
        <v>45.5</v>
      </c>
      <c r="F32">
        <f t="shared" si="3"/>
        <v>46.4</v>
      </c>
      <c r="G32">
        <v>5</v>
      </c>
      <c r="H32">
        <v>3.7570000000000001</v>
      </c>
      <c r="I32">
        <f t="shared" si="4"/>
        <v>0.23481250000000001</v>
      </c>
      <c r="J32">
        <f>33.322+34.377+27.375+26.804</f>
        <v>121.87800000000001</v>
      </c>
      <c r="K32">
        <f t="shared" si="6"/>
        <v>30.469500000000004</v>
      </c>
      <c r="L32">
        <f t="shared" si="5"/>
        <v>7.7064769687720499E-3</v>
      </c>
      <c r="M32">
        <f t="shared" ref="M32:M41" si="9">34.29 +0.909*F32</f>
        <v>76.467600000000004</v>
      </c>
      <c r="N32">
        <f t="shared" si="1"/>
        <v>3.0469500000000005E-3</v>
      </c>
      <c r="O32">
        <f t="shared" si="2"/>
        <v>77.064769687720499</v>
      </c>
    </row>
    <row r="33" spans="1:15" x14ac:dyDescent="0.2">
      <c r="A33" t="s">
        <v>42</v>
      </c>
      <c r="B33">
        <v>2</v>
      </c>
      <c r="C33" t="s">
        <v>44</v>
      </c>
      <c r="D33">
        <v>69</v>
      </c>
      <c r="E33">
        <v>68.5</v>
      </c>
      <c r="F33">
        <f t="shared" si="3"/>
        <v>68.75</v>
      </c>
      <c r="G33">
        <v>4</v>
      </c>
      <c r="H33">
        <v>3.415</v>
      </c>
      <c r="I33">
        <f t="shared" si="4"/>
        <v>0.2134375</v>
      </c>
      <c r="J33">
        <f>62.733+33.801+42.26+32.231</f>
        <v>171.02499999999998</v>
      </c>
      <c r="K33">
        <f t="shared" si="6"/>
        <v>42.756249999999994</v>
      </c>
      <c r="L33">
        <f t="shared" si="5"/>
        <v>4.9919602397310338E-3</v>
      </c>
      <c r="M33">
        <f t="shared" si="9"/>
        <v>96.783749999999998</v>
      </c>
      <c r="N33">
        <f t="shared" si="1"/>
        <v>4.275624999999999E-3</v>
      </c>
      <c r="O33">
        <f t="shared" si="2"/>
        <v>49.919602397310349</v>
      </c>
    </row>
    <row r="34" spans="1:15" x14ac:dyDescent="0.2">
      <c r="A34" t="s">
        <v>42</v>
      </c>
      <c r="B34">
        <v>3</v>
      </c>
      <c r="C34" t="s">
        <v>45</v>
      </c>
      <c r="D34">
        <v>84</v>
      </c>
      <c r="E34">
        <v>83.6</v>
      </c>
      <c r="F34">
        <f t="shared" si="3"/>
        <v>83.8</v>
      </c>
      <c r="G34">
        <v>3</v>
      </c>
      <c r="H34">
        <v>3.665</v>
      </c>
      <c r="I34">
        <f t="shared" si="4"/>
        <v>0.2290625</v>
      </c>
      <c r="J34">
        <f>52.941+28.385+29.342+25.907</f>
        <v>136.57500000000002</v>
      </c>
      <c r="K34">
        <f t="shared" si="6"/>
        <v>34.143750000000004</v>
      </c>
      <c r="L34">
        <f t="shared" si="5"/>
        <v>6.7087680761486355E-3</v>
      </c>
      <c r="M34">
        <f t="shared" si="9"/>
        <v>110.46420000000001</v>
      </c>
      <c r="N34">
        <f t="shared" si="1"/>
        <v>3.4143750000000003E-3</v>
      </c>
      <c r="O34">
        <f t="shared" si="2"/>
        <v>67.087680761486354</v>
      </c>
    </row>
    <row r="35" spans="1:15" x14ac:dyDescent="0.2">
      <c r="A35" t="s">
        <v>42</v>
      </c>
      <c r="B35">
        <v>4</v>
      </c>
      <c r="C35" t="s">
        <v>46</v>
      </c>
      <c r="D35">
        <v>7</v>
      </c>
      <c r="E35">
        <v>7.2</v>
      </c>
      <c r="F35">
        <f t="shared" si="3"/>
        <v>7.1</v>
      </c>
      <c r="G35">
        <v>9</v>
      </c>
      <c r="H35">
        <v>4.4379999999999997</v>
      </c>
      <c r="I35">
        <f t="shared" si="4"/>
        <v>0.27737499999999998</v>
      </c>
      <c r="J35">
        <f>70.251+38.806+51.868+30.255</f>
        <v>191.18</v>
      </c>
      <c r="K35">
        <f t="shared" si="6"/>
        <v>47.795000000000002</v>
      </c>
      <c r="L35">
        <f t="shared" si="5"/>
        <v>5.8034313212679146E-3</v>
      </c>
      <c r="M35">
        <f t="shared" si="9"/>
        <v>40.743899999999996</v>
      </c>
      <c r="N35">
        <f t="shared" si="1"/>
        <v>4.7794999999999999E-3</v>
      </c>
      <c r="O35">
        <f t="shared" si="2"/>
        <v>58.034313212679152</v>
      </c>
    </row>
    <row r="36" spans="1:15" x14ac:dyDescent="0.2">
      <c r="A36" t="s">
        <v>42</v>
      </c>
      <c r="B36">
        <v>5</v>
      </c>
      <c r="C36" t="s">
        <v>47</v>
      </c>
      <c r="D36">
        <v>6.2</v>
      </c>
      <c r="E36">
        <v>5.9</v>
      </c>
      <c r="F36">
        <f t="shared" si="3"/>
        <v>6.0500000000000007</v>
      </c>
      <c r="G36">
        <v>8</v>
      </c>
      <c r="H36">
        <v>3.1240000000000001</v>
      </c>
      <c r="I36">
        <f t="shared" si="4"/>
        <v>0.19525000000000001</v>
      </c>
      <c r="J36">
        <f>39.962+21.66+13.795+22.255</f>
        <v>97.671999999999997</v>
      </c>
      <c r="K36">
        <f t="shared" si="6"/>
        <v>24.417999999999999</v>
      </c>
      <c r="L36">
        <f t="shared" si="5"/>
        <v>7.9961503808665749E-3</v>
      </c>
      <c r="M36">
        <f t="shared" si="9"/>
        <v>39.789450000000002</v>
      </c>
      <c r="N36">
        <f t="shared" si="1"/>
        <v>2.4418E-3</v>
      </c>
      <c r="O36">
        <f t="shared" si="2"/>
        <v>79.961503808665739</v>
      </c>
    </row>
    <row r="37" spans="1:15" x14ac:dyDescent="0.2">
      <c r="A37" t="s">
        <v>42</v>
      </c>
      <c r="B37">
        <v>6</v>
      </c>
      <c r="C37" t="s">
        <v>48</v>
      </c>
      <c r="D37">
        <v>6.2</v>
      </c>
      <c r="E37">
        <v>5.9</v>
      </c>
      <c r="F37">
        <f>AVERAGE(D37,E37)</f>
        <v>6.0500000000000007</v>
      </c>
      <c r="G37">
        <v>9</v>
      </c>
      <c r="H37">
        <v>2.964</v>
      </c>
      <c r="I37">
        <f t="shared" si="4"/>
        <v>0.18525</v>
      </c>
      <c r="J37">
        <f>48.668+33.27+23.504+19.02</f>
        <v>124.462</v>
      </c>
      <c r="K37">
        <f t="shared" si="6"/>
        <v>31.115500000000001</v>
      </c>
      <c r="L37">
        <f t="shared" si="5"/>
        <v>5.953624399415082E-3</v>
      </c>
      <c r="M37">
        <f t="shared" si="9"/>
        <v>39.789450000000002</v>
      </c>
      <c r="N37">
        <f t="shared" si="1"/>
        <v>3.1115500000000003E-3</v>
      </c>
      <c r="O37">
        <f t="shared" si="2"/>
        <v>59.536243994150823</v>
      </c>
    </row>
    <row r="38" spans="1:15" x14ac:dyDescent="0.2">
      <c r="A38" t="s">
        <v>42</v>
      </c>
      <c r="B38">
        <v>7</v>
      </c>
      <c r="C38" t="s">
        <v>49</v>
      </c>
      <c r="D38">
        <v>3.2</v>
      </c>
      <c r="E38">
        <v>3.2</v>
      </c>
      <c r="F38">
        <f t="shared" si="3"/>
        <v>3.2</v>
      </c>
      <c r="G38">
        <v>6</v>
      </c>
      <c r="H38">
        <v>2.2850000000000001</v>
      </c>
      <c r="I38">
        <f t="shared" si="4"/>
        <v>0.14281250000000001</v>
      </c>
      <c r="J38">
        <f>26.293+30.716+35.655+23.198</f>
        <v>115.86199999999999</v>
      </c>
      <c r="K38">
        <f t="shared" si="6"/>
        <v>28.965499999999999</v>
      </c>
      <c r="L38">
        <f t="shared" si="5"/>
        <v>4.9304344824014782E-3</v>
      </c>
      <c r="M38">
        <f t="shared" si="9"/>
        <v>37.198799999999999</v>
      </c>
      <c r="N38">
        <f t="shared" si="1"/>
        <v>2.8965499999999999E-3</v>
      </c>
      <c r="O38">
        <f t="shared" si="2"/>
        <v>49.304344824014784</v>
      </c>
    </row>
    <row r="39" spans="1:15" x14ac:dyDescent="0.2">
      <c r="A39" t="s">
        <v>42</v>
      </c>
      <c r="B39">
        <v>8</v>
      </c>
      <c r="C39" t="s">
        <v>50</v>
      </c>
      <c r="D39">
        <v>43.3</v>
      </c>
      <c r="E39">
        <v>44.7</v>
      </c>
      <c r="F39">
        <f t="shared" si="3"/>
        <v>44</v>
      </c>
      <c r="G39">
        <v>9</v>
      </c>
      <c r="H39">
        <v>3.2589999999999999</v>
      </c>
      <c r="I39">
        <f t="shared" si="4"/>
        <v>0.20368749999999999</v>
      </c>
      <c r="J39">
        <f>47.519+36.428+49.722+65.108</f>
        <v>198.77700000000002</v>
      </c>
      <c r="K39">
        <f t="shared" si="6"/>
        <v>49.694250000000004</v>
      </c>
      <c r="L39">
        <f t="shared" si="5"/>
        <v>4.098814249133451E-3</v>
      </c>
      <c r="M39">
        <f t="shared" si="9"/>
        <v>74.286000000000001</v>
      </c>
      <c r="N39">
        <f t="shared" si="1"/>
        <v>4.9694250000000004E-3</v>
      </c>
      <c r="O39">
        <f t="shared" si="2"/>
        <v>40.988142491334507</v>
      </c>
    </row>
    <row r="40" spans="1:15" x14ac:dyDescent="0.2">
      <c r="A40" t="s">
        <v>42</v>
      </c>
      <c r="B40">
        <v>9</v>
      </c>
      <c r="C40" t="s">
        <v>51</v>
      </c>
      <c r="D40">
        <v>9.5</v>
      </c>
      <c r="E40">
        <v>9.1999999999999993</v>
      </c>
      <c r="F40">
        <f t="shared" si="3"/>
        <v>9.35</v>
      </c>
      <c r="G40">
        <v>8</v>
      </c>
      <c r="H40">
        <v>2.7360000000000002</v>
      </c>
      <c r="I40">
        <f t="shared" si="4"/>
        <v>0.17100000000000001</v>
      </c>
      <c r="J40">
        <f>45.252+34.126+41.6+29.104</f>
        <v>150.08199999999999</v>
      </c>
      <c r="K40">
        <f t="shared" si="6"/>
        <v>37.520499999999998</v>
      </c>
      <c r="L40">
        <f t="shared" si="5"/>
        <v>4.5575085619861148E-3</v>
      </c>
      <c r="M40">
        <f t="shared" si="9"/>
        <v>42.789149999999999</v>
      </c>
      <c r="N40">
        <f t="shared" si="1"/>
        <v>3.7520499999999998E-3</v>
      </c>
      <c r="O40">
        <f t="shared" si="2"/>
        <v>45.575085619861149</v>
      </c>
    </row>
    <row r="41" spans="1:15" x14ac:dyDescent="0.2">
      <c r="A41" t="s">
        <v>42</v>
      </c>
      <c r="B41">
        <v>10</v>
      </c>
      <c r="C41" t="s">
        <v>52</v>
      </c>
      <c r="D41">
        <v>80.900000000000006</v>
      </c>
      <c r="E41">
        <v>79.400000000000006</v>
      </c>
      <c r="F41">
        <f t="shared" si="3"/>
        <v>80.150000000000006</v>
      </c>
      <c r="G41">
        <v>10</v>
      </c>
      <c r="H41">
        <v>3.8889999999999998</v>
      </c>
      <c r="I41">
        <f t="shared" si="4"/>
        <v>0.24306249999999999</v>
      </c>
      <c r="J41">
        <f>57.325+36.171+56.969+70.392</f>
        <v>220.857</v>
      </c>
      <c r="K41">
        <f t="shared" si="6"/>
        <v>55.21425</v>
      </c>
      <c r="L41">
        <f t="shared" si="5"/>
        <v>4.4021697297346243E-3</v>
      </c>
      <c r="M41">
        <f t="shared" si="9"/>
        <v>107.14635000000001</v>
      </c>
      <c r="N41">
        <f t="shared" si="1"/>
        <v>5.5214249999999999E-3</v>
      </c>
      <c r="O41">
        <f t="shared" si="2"/>
        <v>44.021697297346243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MANCEK PALI Zoja</dc:creator>
  <cp:keywords/>
  <dc:description/>
  <cp:lastModifiedBy>MANCEK PALI Zoja</cp:lastModifiedBy>
  <cp:revision/>
  <dcterms:created xsi:type="dcterms:W3CDTF">2022-09-07T18:25:48Z</dcterms:created>
  <dcterms:modified xsi:type="dcterms:W3CDTF">2022-10-25T14:36:22Z</dcterms:modified>
  <cp:category/>
  <cp:contentStatus/>
</cp:coreProperties>
</file>