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oint72-my.sharepoint.com/personal/zach_mariani_point72_com/Documents/Stoinks/KDP/"/>
    </mc:Choice>
  </mc:AlternateContent>
  <xr:revisionPtr revIDLastSave="0" documentId="8_{72861651-F677-4080-893D-18AB619A0E4A}" xr6:coauthVersionLast="47" xr6:coauthVersionMax="47" xr10:uidLastSave="{00000000-0000-0000-0000-000000000000}"/>
  <bookViews>
    <workbookView xWindow="-90" yWindow="-90" windowWidth="19380" windowHeight="11580" activeTab="4" xr2:uid="{57322192-E897-4493-B391-5D95179CF2DC}"/>
  </bookViews>
  <sheets>
    <sheet name="Cover" sheetId="1" r:id="rId1"/>
    <sheet name="Tower" sheetId="2" r:id="rId2"/>
    <sheet name="Comps" sheetId="5" r:id="rId3"/>
    <sheet name="Figures" sheetId="4" r:id="rId4"/>
    <sheet name="Coffee Market TAM" sheetId="3" r:id="rId5"/>
  </sheets>
  <definedNames>
    <definedName name="bbg_ticker">Cover!$C$3</definedName>
    <definedName name="text_ticker">Cover!$C$5</definedName>
    <definedName name="va_ticker">Cover!$C$4</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2" l="1" a="1"/>
  <c r="U4" i="2"/>
  <c r="T4" i="2" a="1"/>
  <c r="T4" i="2"/>
  <c r="Z4" i="2" a="1"/>
  <c r="Z4" i="2"/>
  <c r="Y4" i="2" a="1"/>
  <c r="Y4" i="2"/>
  <c r="G4" i="2" a="1"/>
  <c r="G4" i="2"/>
  <c r="AF4" i="2" a="1"/>
  <c r="AF4" i="2"/>
  <c r="AA4" i="2" a="1"/>
  <c r="AA4" i="2"/>
  <c r="S4" i="2" a="1"/>
  <c r="S4" i="2"/>
  <c r="P4" i="2" a="1"/>
  <c r="P4" i="2"/>
  <c r="O4" i="2" a="1"/>
  <c r="O4" i="2"/>
  <c r="AL4" i="2" a="1"/>
  <c r="AL4" i="2"/>
  <c r="K4" i="2" a="1"/>
  <c r="K4" i="2"/>
  <c r="J4" i="2" a="1"/>
  <c r="J4" i="2"/>
  <c r="AC4" i="2" a="1"/>
  <c r="AC4" i="2"/>
  <c r="V4" i="2" a="1"/>
  <c r="V4" i="2"/>
  <c r="R4" i="2" a="1"/>
  <c r="R4" i="2"/>
  <c r="Q4" i="2" a="1"/>
  <c r="Q4" i="2"/>
  <c r="L4" i="2" a="1"/>
  <c r="L4" i="2"/>
  <c r="W4" i="2" a="1"/>
  <c r="W4" i="2"/>
  <c r="X4" i="2" a="1"/>
  <c r="X4" i="2"/>
  <c r="D4" i="2" a="1"/>
  <c r="D4" i="2"/>
  <c r="N4" i="2" a="1"/>
  <c r="N4" i="2"/>
  <c r="AH4" i="2" a="1"/>
  <c r="AH4" i="2"/>
  <c r="E4" i="2" a="1"/>
  <c r="E4" i="2"/>
  <c r="AK4" i="2" a="1"/>
  <c r="AK4" i="2"/>
  <c r="AJ4" i="2" a="1"/>
  <c r="AJ4" i="2"/>
  <c r="AI4" i="2" a="1"/>
  <c r="AI4" i="2"/>
  <c r="I4" i="2" a="1"/>
  <c r="I4" i="2"/>
  <c r="M4" i="2" a="1"/>
  <c r="M4" i="2"/>
  <c r="F4" i="2" a="1"/>
  <c r="F4" i="2"/>
  <c r="H4" i="2" a="1"/>
  <c r="H4" i="2"/>
  <c r="AB4" i="2" a="1"/>
  <c r="AB4" i="2"/>
  <c r="AE4" i="2" a="1"/>
  <c r="AE4" i="2"/>
  <c r="AD4" i="2" a="1"/>
  <c r="AD4" i="2"/>
  <c r="AG4" i="2" a="1"/>
  <c r="AG4" i="2"/>
  <c r="O95" i="3"/>
  <c r="P95" i="3" s="1"/>
  <c r="Q95" i="3" s="1"/>
  <c r="R95" i="3" s="1"/>
  <c r="S95" i="3" s="1"/>
  <c r="T95" i="3" s="1"/>
  <c r="U95" i="3" s="1"/>
  <c r="V95" i="3" s="1"/>
  <c r="W95" i="3" s="1"/>
  <c r="N95" i="3"/>
  <c r="L98" i="3"/>
  <c r="L99" i="3" s="1"/>
  <c r="L100" i="3" s="1"/>
  <c r="L101" i="3" s="1"/>
  <c r="L102" i="3" s="1"/>
  <c r="L103" i="3" s="1"/>
  <c r="L104" i="3" s="1"/>
  <c r="L105" i="3" s="1"/>
  <c r="L106" i="3" s="1"/>
  <c r="L107" i="3" s="1"/>
  <c r="L97" i="3"/>
  <c r="I113" i="3"/>
  <c r="F113" i="3" s="1"/>
  <c r="D113" i="3"/>
  <c r="D112" i="3"/>
  <c r="F112" i="3"/>
  <c r="F108" i="3"/>
  <c r="D108" i="3"/>
  <c r="F105" i="3"/>
  <c r="D105" i="3"/>
  <c r="F104" i="3"/>
  <c r="D104" i="3"/>
  <c r="F103" i="3"/>
  <c r="D103" i="3"/>
  <c r="D102" i="3"/>
  <c r="F102" i="3"/>
  <c r="E103" i="3"/>
  <c r="F111" i="3"/>
  <c r="E111" i="3"/>
  <c r="D111" i="3"/>
  <c r="D110" i="3"/>
  <c r="F110" i="3"/>
  <c r="E110" i="3"/>
  <c r="E102" i="3"/>
  <c r="E104" i="3" s="1"/>
  <c r="F99" i="3"/>
  <c r="E99" i="3"/>
  <c r="D99" i="3"/>
  <c r="D98" i="3"/>
  <c r="F98" i="3"/>
  <c r="E98" i="3"/>
  <c r="E85" i="3"/>
  <c r="O75" i="3"/>
  <c r="P75" i="3" s="1"/>
  <c r="Q75" i="3" s="1"/>
  <c r="R75" i="3" s="1"/>
  <c r="S75" i="3" s="1"/>
  <c r="T75" i="3" s="1"/>
  <c r="U75" i="3" s="1"/>
  <c r="V75" i="3" s="1"/>
  <c r="W75" i="3" s="1"/>
  <c r="N75" i="3"/>
  <c r="L78" i="3"/>
  <c r="L79" i="3"/>
  <c r="L80" i="3" s="1"/>
  <c r="L81" i="3" s="1"/>
  <c r="L82" i="3" s="1"/>
  <c r="L83" i="3" s="1"/>
  <c r="L84" i="3" s="1"/>
  <c r="L85" i="3" s="1"/>
  <c r="L86" i="3" s="1"/>
  <c r="L87" i="3" s="1"/>
  <c r="L88" i="3" s="1"/>
  <c r="L77" i="3"/>
  <c r="E68" i="3"/>
  <c r="P56" i="3"/>
  <c r="Q56" i="3" s="1"/>
  <c r="R56" i="3" s="1"/>
  <c r="S56" i="3" s="1"/>
  <c r="T56" i="3" s="1"/>
  <c r="U56" i="3" s="1"/>
  <c r="V56" i="3" s="1"/>
  <c r="W56" i="3" s="1"/>
  <c r="O56" i="3"/>
  <c r="N56" i="3"/>
  <c r="L59" i="3"/>
  <c r="L60" i="3" s="1"/>
  <c r="L61" i="3" s="1"/>
  <c r="L62" i="3" s="1"/>
  <c r="L63" i="3" s="1"/>
  <c r="L64" i="3" s="1"/>
  <c r="L65" i="3" s="1"/>
  <c r="L66" i="3" s="1"/>
  <c r="L58" i="3"/>
  <c r="E39" i="3"/>
  <c r="O28" i="3"/>
  <c r="P28" i="3" s="1"/>
  <c r="Q28" i="3" s="1"/>
  <c r="R28" i="3" s="1"/>
  <c r="S28" i="3" s="1"/>
  <c r="T28" i="3" s="1"/>
  <c r="U28" i="3" s="1"/>
  <c r="V28" i="3" s="1"/>
  <c r="W28" i="3" s="1"/>
  <c r="N28" i="3"/>
  <c r="L37" i="3"/>
  <c r="L38" i="3" s="1"/>
  <c r="L39" i="3" s="1"/>
  <c r="L40" i="3" s="1"/>
  <c r="L41" i="3" s="1"/>
  <c r="L42" i="3" s="1"/>
  <c r="L31" i="3"/>
  <c r="L32" i="3" s="1"/>
  <c r="L33" i="3" s="1"/>
  <c r="L34" i="3" s="1"/>
  <c r="L35" i="3" s="1"/>
  <c r="L36" i="3" s="1"/>
  <c r="L30" i="3"/>
  <c r="P6" i="3"/>
  <c r="Q6" i="3" s="1"/>
  <c r="R6" i="3" s="1"/>
  <c r="S6" i="3" s="1"/>
  <c r="T6" i="3" s="1"/>
  <c r="U6" i="3" s="1"/>
  <c r="V6" i="3" s="1"/>
  <c r="W6" i="3" s="1"/>
  <c r="O6" i="3"/>
  <c r="I88" i="3"/>
  <c r="F88" i="3"/>
  <c r="D88" i="3"/>
  <c r="F70" i="3"/>
  <c r="D70" i="3"/>
  <c r="F24" i="3"/>
  <c r="D24" i="3"/>
  <c r="D39" i="3"/>
  <c r="F39" i="3"/>
  <c r="E16" i="3"/>
  <c r="E15" i="3"/>
  <c r="E108" i="3" l="1"/>
  <c r="E112" i="3" s="1"/>
  <c r="L95" i="3" s="1"/>
  <c r="E105" i="3"/>
  <c r="E113" i="3" l="1"/>
  <c r="D86" i="3" l="1"/>
  <c r="F86" i="3"/>
  <c r="D85" i="3"/>
  <c r="F85" i="3"/>
  <c r="D77" i="3"/>
  <c r="D81" i="3" s="1"/>
  <c r="D83" i="3" s="1"/>
  <c r="F77" i="3"/>
  <c r="E77" i="3"/>
  <c r="D61" i="3"/>
  <c r="D62" i="3" s="1"/>
  <c r="F61" i="3"/>
  <c r="F62" i="3" s="1"/>
  <c r="F57" i="3"/>
  <c r="F60" i="3" s="1"/>
  <c r="F64" i="3" s="1"/>
  <c r="D57" i="3"/>
  <c r="D60" i="3" s="1"/>
  <c r="D64" i="3" s="1"/>
  <c r="D79" i="3" s="1"/>
  <c r="F31" i="3"/>
  <c r="F34" i="3" s="1"/>
  <c r="F38" i="3" s="1"/>
  <c r="D31" i="3"/>
  <c r="D34" i="3" s="1"/>
  <c r="D38" i="3" s="1"/>
  <c r="F22" i="3"/>
  <c r="F68" i="3" s="1"/>
  <c r="D22" i="3"/>
  <c r="D68" i="3" s="1"/>
  <c r="D67" i="3"/>
  <c r="F67" i="3"/>
  <c r="F16" i="3"/>
  <c r="D16" i="3"/>
  <c r="F12" i="3"/>
  <c r="D12" i="3"/>
  <c r="F8" i="3"/>
  <c r="E8" i="3"/>
  <c r="D8" i="3"/>
  <c r="AE4" i="5"/>
  <c r="A1" i="5"/>
  <c r="E5" i="5"/>
  <c r="Y61" i="2"/>
  <c r="Y60" i="2"/>
  <c r="AI61" i="2"/>
  <c r="AI60" i="2"/>
  <c r="C11" i="4"/>
  <c r="E86" i="3"/>
  <c r="C9" i="4"/>
  <c r="C8" i="4"/>
  <c r="E67" i="3"/>
  <c r="E61" i="3"/>
  <c r="E62" i="3" s="1"/>
  <c r="E31" i="3"/>
  <c r="AP15" i="5" a="1"/>
  <c r="AO15" i="5" a="1"/>
  <c r="AN15" i="5" a="1"/>
  <c r="AM15" i="5" a="1"/>
  <c r="AL15" i="5" a="1"/>
  <c r="AK15" i="5" a="1"/>
  <c r="AP14" i="5" a="1"/>
  <c r="AO14" i="5" a="1"/>
  <c r="AN14" i="5" a="1"/>
  <c r="AM14" i="5" a="1"/>
  <c r="AL14" i="5" a="1"/>
  <c r="AK14" i="5" a="1"/>
  <c r="AP13" i="5" a="1"/>
  <c r="AO13" i="5" a="1"/>
  <c r="AN13" i="5" a="1"/>
  <c r="AM13" i="5" a="1"/>
  <c r="AL13" i="5" a="1"/>
  <c r="AK13" i="5" a="1"/>
  <c r="AP12" i="5" a="1"/>
  <c r="AO12" i="5" a="1"/>
  <c r="AN12" i="5" a="1"/>
  <c r="AM12" i="5" a="1"/>
  <c r="AL12" i="5" a="1"/>
  <c r="AK12" i="5" a="1"/>
  <c r="AP11" i="5" a="1"/>
  <c r="AO11" i="5" a="1"/>
  <c r="AN11" i="5" a="1"/>
  <c r="AM11" i="5" a="1"/>
  <c r="AK11" i="5" a="1"/>
  <c r="AL11" i="5" a="1"/>
  <c r="AP9" i="5" a="1"/>
  <c r="AO9" i="5" a="1"/>
  <c r="AN9" i="5" a="1"/>
  <c r="AM9" i="5" a="1"/>
  <c r="AL9" i="5" a="1"/>
  <c r="AK9" i="5" a="1"/>
  <c r="AP8" i="5" a="1"/>
  <c r="AO8" i="5" a="1"/>
  <c r="AN8" i="5" a="1"/>
  <c r="AM8" i="5" a="1"/>
  <c r="AK8" i="5" a="1"/>
  <c r="AL8" i="5" a="1"/>
  <c r="AP7" i="5" a="1"/>
  <c r="AO7" i="5" a="1"/>
  <c r="AN7" i="5" a="1"/>
  <c r="AM7" i="5" a="1"/>
  <c r="AK7" i="5" a="1"/>
  <c r="AL7" i="5" a="1"/>
  <c r="DO15" i="5"/>
  <c r="CI14" i="5"/>
  <c r="DK12" i="5"/>
  <c r="E11" i="5" a="1"/>
  <c r="CG14" i="5"/>
  <c r="CU13" i="5"/>
  <c r="DK14" i="5"/>
  <c r="E13" i="5" a="1"/>
  <c r="BY11" i="5"/>
  <c r="DK15" i="5"/>
  <c r="E14" i="5" a="1"/>
  <c r="BY12" i="5"/>
  <c r="DQ7" i="5"/>
  <c r="BY15" i="5"/>
  <c r="DQ13" i="5"/>
  <c r="BD12" i="5"/>
  <c r="CE7" i="5"/>
  <c r="DM12" i="5"/>
  <c r="BW12" i="5"/>
  <c r="CG7" i="5"/>
  <c r="CA15" i="5"/>
  <c r="BD13" i="5"/>
  <c r="BY14" i="5"/>
  <c r="CI13" i="5"/>
  <c r="CQ14" i="5"/>
  <c r="BF14" i="5"/>
  <c r="DS13" i="5"/>
  <c r="CM15" i="5"/>
  <c r="BS7" i="5"/>
  <c r="CG12" i="5"/>
  <c r="Q5" i="2" a="1"/>
  <c r="H5" i="2" a="1"/>
  <c r="I5" i="2" a="1"/>
  <c r="Z5" i="2" a="1"/>
  <c r="DQ15" i="5"/>
  <c r="BS14" i="5"/>
  <c r="CU12" i="5"/>
  <c r="DG7" i="5"/>
  <c r="DK13" i="5"/>
  <c r="BO13" i="5"/>
  <c r="CU14" i="5"/>
  <c r="DG12" i="5"/>
  <c r="BJ11" i="5"/>
  <c r="CU15" i="5"/>
  <c r="DG13" i="5"/>
  <c r="BJ12" i="5"/>
  <c r="DA7" i="5"/>
  <c r="BJ15" i="5"/>
  <c r="CK13" i="5"/>
  <c r="DM11" i="5"/>
  <c r="BO7" i="5"/>
  <c r="CC12" i="5"/>
  <c r="DQ11" i="5"/>
  <c r="BH15" i="5"/>
  <c r="BC12" i="5"/>
  <c r="DC12" i="5"/>
  <c r="CM13" i="5"/>
  <c r="CW12" i="5"/>
  <c r="DE13" i="5"/>
  <c r="CK12" i="5"/>
  <c r="BY13" i="5"/>
  <c r="DA14" i="5"/>
  <c r="AS15" i="5" a="1"/>
  <c r="BO11" i="5"/>
  <c r="M5" i="2" a="1"/>
  <c r="AF5" i="2" a="1"/>
  <c r="AI5" i="2" a="1"/>
  <c r="V5" i="2" a="1"/>
  <c r="CK11" i="5"/>
  <c r="DI7" i="5"/>
  <c r="DS15" i="5"/>
  <c r="DS12" i="5"/>
  <c r="AB5" i="2" a="1"/>
  <c r="O5" i="2" a="1"/>
  <c r="BU15" i="5"/>
  <c r="CY15" i="5"/>
  <c r="BS15" i="5"/>
  <c r="DI13" i="5"/>
  <c r="CM7" i="5"/>
  <c r="BL13" i="5"/>
  <c r="BF7" i="5"/>
  <c r="BQ11" i="5"/>
  <c r="BL11" i="5"/>
  <c r="AS13" i="5" a="1"/>
  <c r="CC7" i="5"/>
  <c r="CU11" i="5"/>
  <c r="BS11" i="5"/>
  <c r="AA5" i="2" a="1"/>
  <c r="E5" i="2" a="1"/>
  <c r="BF15" i="5"/>
  <c r="CW14" i="5"/>
  <c r="CS13" i="5"/>
  <c r="DU12" i="5"/>
  <c r="DU15" i="5"/>
  <c r="CY12" i="5"/>
  <c r="DU7" i="5"/>
  <c r="BU12" i="5"/>
  <c r="BC7" i="5"/>
  <c r="CM12" i="5"/>
  <c r="S5" i="2" a="1"/>
  <c r="DA15" i="5"/>
  <c r="BD14" i="5"/>
  <c r="CE12" i="5"/>
  <c r="CQ7" i="5"/>
  <c r="CE13" i="5"/>
  <c r="DI12" i="5"/>
  <c r="CE14" i="5"/>
  <c r="CQ12" i="5"/>
  <c r="DS7" i="5"/>
  <c r="CE15" i="5"/>
  <c r="CQ13" i="5"/>
  <c r="DS11" i="5"/>
  <c r="CK7" i="5"/>
  <c r="DS14" i="5"/>
  <c r="BU13" i="5"/>
  <c r="CW11" i="5"/>
  <c r="DI15" i="5"/>
  <c r="E12" i="5" a="1"/>
  <c r="DO7" i="5"/>
  <c r="DG14" i="5"/>
  <c r="BM7" i="5"/>
  <c r="AS12" i="5" a="1"/>
  <c r="DA12" i="5"/>
  <c r="DK11" i="5"/>
  <c r="BF12" i="5"/>
  <c r="E7" i="5" a="1"/>
  <c r="CS12" i="5"/>
  <c r="BJ14" i="5"/>
  <c r="BS13" i="5"/>
  <c r="CS7" i="5"/>
  <c r="AJ5" i="2" a="1"/>
  <c r="D5" i="2" a="1"/>
  <c r="W5" i="2" a="1"/>
  <c r="R5" i="2" a="1"/>
  <c r="DM15" i="5"/>
  <c r="BO14" i="5"/>
  <c r="CA12" i="5"/>
  <c r="DC7" i="5"/>
  <c r="BO15" i="5"/>
  <c r="CA13" i="5"/>
  <c r="DC11" i="5"/>
  <c r="BU7" i="5"/>
  <c r="BF13" i="5"/>
  <c r="CG11" i="5"/>
  <c r="BW15" i="5"/>
  <c r="BD7" i="5"/>
  <c r="DU13" i="5"/>
  <c r="CI11" i="5"/>
  <c r="CY11" i="5"/>
  <c r="BM12" i="5"/>
  <c r="U5" i="2" a="1"/>
  <c r="J5" i="2" a="1"/>
  <c r="DI11" i="5"/>
  <c r="CW15" i="5"/>
  <c r="BL12" i="5"/>
  <c r="CM11" i="5"/>
  <c r="DO12" i="5"/>
  <c r="DQ14" i="5"/>
  <c r="DM7" i="5"/>
  <c r="DG11" i="5"/>
  <c r="X5" i="2" a="1"/>
  <c r="CG13" i="5"/>
  <c r="CG15" i="5"/>
  <c r="DU11" i="5"/>
  <c r="BW11" i="5"/>
  <c r="CK14" i="5"/>
  <c r="BQ12" i="5"/>
  <c r="DA11" i="5"/>
  <c r="CW7" i="5"/>
  <c r="F5" i="2" a="1"/>
  <c r="CK15" i="5"/>
  <c r="DM13" i="5"/>
  <c r="BO12" i="5"/>
  <c r="CA7" i="5"/>
  <c r="DC14" i="5"/>
  <c r="CQ11" i="5"/>
  <c r="DG15" i="5"/>
  <c r="DO13" i="5"/>
  <c r="AE5" i="2" a="1"/>
  <c r="CW13" i="5"/>
  <c r="DI14" i="5"/>
  <c r="E15" i="5" a="1"/>
  <c r="BF11" i="5"/>
  <c r="BW13" i="5"/>
  <c r="G5" i="2" a="1"/>
  <c r="CS11" i="5"/>
  <c r="BW7" i="5"/>
  <c r="BC11" i="5"/>
  <c r="CI7" i="5"/>
  <c r="CQ15" i="5"/>
  <c r="T5" i="2" a="1"/>
  <c r="BL7" i="5"/>
  <c r="DO14" i="5"/>
  <c r="BQ13" i="5"/>
  <c r="CC11" i="5"/>
  <c r="BD15" i="5"/>
  <c r="BQ14" i="5"/>
  <c r="BQ15" i="5"/>
  <c r="CC13" i="5"/>
  <c r="DE11" i="5"/>
  <c r="BH7" i="5"/>
  <c r="CC14" i="5"/>
  <c r="DE12" i="5"/>
  <c r="BH11" i="5"/>
  <c r="DE15" i="5"/>
  <c r="BH14" i="5"/>
  <c r="CI12" i="5"/>
  <c r="DK7" i="5"/>
  <c r="CY13" i="5"/>
  <c r="CO7" i="5"/>
  <c r="DO11" i="5"/>
  <c r="CE11" i="5"/>
  <c r="CA14" i="5"/>
  <c r="DC15" i="5"/>
  <c r="CS15" i="5"/>
  <c r="CY7" i="5"/>
  <c r="DQ12" i="5"/>
  <c r="DE14" i="5"/>
  <c r="DE7" i="5"/>
  <c r="BH12" i="5"/>
  <c r="CO14" i="5"/>
  <c r="AC5" i="2" a="1"/>
  <c r="P5" i="2" a="1"/>
  <c r="K5" i="2" a="1"/>
  <c r="AH5" i="2" a="1"/>
  <c r="CO13" i="5"/>
  <c r="BL15" i="5"/>
  <c r="BU14" i="5"/>
  <c r="DA13" i="5"/>
  <c r="CY14" i="5"/>
  <c r="BC13" i="5"/>
  <c r="BM11" i="5"/>
  <c r="DM14" i="5"/>
  <c r="BC14" i="5"/>
  <c r="BC15" i="5"/>
  <c r="BM13" i="5"/>
  <c r="CO11" i="5"/>
  <c r="AS7" i="5" a="1"/>
  <c r="BM14" i="5"/>
  <c r="CO12" i="5"/>
  <c r="AS11" i="5" a="1"/>
  <c r="CO15" i="5"/>
  <c r="AS14" i="5" a="1"/>
  <c r="BS12" i="5"/>
  <c r="CU7" i="5"/>
  <c r="BH13" i="5"/>
  <c r="BJ7" i="5"/>
  <c r="BD11" i="5"/>
  <c r="CC15" i="5"/>
  <c r="BL14" i="5"/>
  <c r="BY7" i="5"/>
  <c r="BU11" i="5"/>
  <c r="BJ13" i="5"/>
  <c r="Y5" i="2" a="1"/>
  <c r="L5" i="2" a="1"/>
  <c r="N5" i="2" a="1"/>
  <c r="AD5" i="2" a="1"/>
  <c r="CM14" i="5"/>
  <c r="BM15" i="5"/>
  <c r="BQ7" i="5"/>
  <c r="AK5" i="2" a="1"/>
  <c r="CI15" i="5"/>
  <c r="CS14" i="5"/>
  <c r="BW14" i="5"/>
  <c r="DU14" i="5"/>
  <c r="CA11" i="5"/>
  <c r="AG5" i="2" a="1"/>
  <c r="AL5" i="2" a="1"/>
  <c r="DC13" i="5"/>
  <c r="BA11" i="5"/>
  <c r="D87" i="3" l="1"/>
  <c r="F65" i="3"/>
  <c r="F69" i="3" s="1"/>
  <c r="D65" i="3"/>
  <c r="D69" i="3" s="1"/>
  <c r="D90" i="3" s="1"/>
  <c r="F79" i="3"/>
  <c r="F81" i="3" s="1"/>
  <c r="F83" i="3" s="1"/>
  <c r="F87" i="3" s="1"/>
  <c r="F40" i="3"/>
  <c r="F44" i="3" s="1"/>
  <c r="F46" i="3" s="1"/>
  <c r="F47" i="3" s="1"/>
  <c r="D40" i="3"/>
  <c r="D44" i="3" s="1"/>
  <c r="D46" i="3" s="1"/>
  <c r="D47" i="3" s="1"/>
  <c r="F18" i="3"/>
  <c r="F23" i="3" s="1"/>
  <c r="D18" i="3"/>
  <c r="D23" i="3" s="1"/>
  <c r="AP15" i="5"/>
  <c r="AO15" i="5"/>
  <c r="AN15" i="5"/>
  <c r="AM15" i="5"/>
  <c r="AL15" i="5"/>
  <c r="AK15" i="5"/>
  <c r="AP14" i="5"/>
  <c r="AO14" i="5"/>
  <c r="AN14" i="5"/>
  <c r="AM14" i="5"/>
  <c r="AL14" i="5"/>
  <c r="AK14" i="5"/>
  <c r="AP13" i="5"/>
  <c r="AO13" i="5"/>
  <c r="AN13" i="5"/>
  <c r="AM13" i="5"/>
  <c r="AL13" i="5"/>
  <c r="AK13" i="5"/>
  <c r="AP12" i="5"/>
  <c r="AO12" i="5"/>
  <c r="AN12" i="5"/>
  <c r="AM12" i="5"/>
  <c r="AL12" i="5"/>
  <c r="AK12" i="5"/>
  <c r="AP11" i="5"/>
  <c r="AO11" i="5"/>
  <c r="AN11" i="5"/>
  <c r="AM11" i="5"/>
  <c r="AK11" i="5"/>
  <c r="AL11" i="5"/>
  <c r="AP9" i="5"/>
  <c r="AO9" i="5"/>
  <c r="AN9" i="5"/>
  <c r="AM9" i="5"/>
  <c r="AL9" i="5"/>
  <c r="AK9" i="5"/>
  <c r="AP8" i="5"/>
  <c r="AO8" i="5"/>
  <c r="AN8" i="5"/>
  <c r="AM8" i="5"/>
  <c r="AK8" i="5"/>
  <c r="AL8" i="5"/>
  <c r="AP7" i="5"/>
  <c r="AO7" i="5"/>
  <c r="AN7" i="5"/>
  <c r="AM7" i="5"/>
  <c r="AK7" i="5"/>
  <c r="AL7" i="5"/>
  <c r="AI12" i="5"/>
  <c r="AI13" i="5"/>
  <c r="AI15" i="5"/>
  <c r="AE13" i="5"/>
  <c r="AE15" i="5"/>
  <c r="AE12" i="5"/>
  <c r="AE14" i="5"/>
  <c r="AI14" i="5"/>
  <c r="AE11" i="5"/>
  <c r="AI11" i="5"/>
  <c r="AE7" i="5"/>
  <c r="AI7" i="5"/>
  <c r="Y12" i="5"/>
  <c r="AU14" i="5"/>
  <c r="AA14" i="5"/>
  <c r="AC7" i="5"/>
  <c r="AS15" i="5"/>
  <c r="E7" i="5"/>
  <c r="S7" i="5" s="1"/>
  <c r="AW14" i="5"/>
  <c r="AW12" i="5"/>
  <c r="AG11" i="5"/>
  <c r="AC12" i="5"/>
  <c r="AW11" i="5"/>
  <c r="AS12" i="5"/>
  <c r="AU13" i="5"/>
  <c r="AA13" i="5"/>
  <c r="AS13" i="5"/>
  <c r="Y7" i="5"/>
  <c r="AU7" i="5"/>
  <c r="AA7" i="5"/>
  <c r="E12" i="5"/>
  <c r="E15" i="5"/>
  <c r="AG7" i="5"/>
  <c r="Y11" i="5"/>
  <c r="AC11" i="5"/>
  <c r="AW13" i="5"/>
  <c r="AS14" i="5"/>
  <c r="AA15" i="5"/>
  <c r="AU15" i="5"/>
  <c r="AW7" i="5"/>
  <c r="AS11" i="5"/>
  <c r="AU12" i="5"/>
  <c r="AA12" i="5"/>
  <c r="E14" i="5"/>
  <c r="AG15" i="5"/>
  <c r="AS7" i="5"/>
  <c r="AU11" i="5"/>
  <c r="AA11" i="5"/>
  <c r="E13" i="5"/>
  <c r="AG14" i="5"/>
  <c r="Y15" i="5"/>
  <c r="AC15" i="5"/>
  <c r="AC14" i="5"/>
  <c r="AG13" i="5"/>
  <c r="Y14" i="5"/>
  <c r="E11" i="5"/>
  <c r="AG12" i="5"/>
  <c r="Y13" i="5"/>
  <c r="AC13" i="5"/>
  <c r="AW15" i="5"/>
  <c r="E5" i="2"/>
  <c r="J5" i="2"/>
  <c r="R5" i="2"/>
  <c r="V5" i="2"/>
  <c r="Z5" i="2"/>
  <c r="AD5" i="2"/>
  <c r="AH5" i="2"/>
  <c r="F5" i="2"/>
  <c r="G5" i="2"/>
  <c r="O5" i="2"/>
  <c r="W5" i="2"/>
  <c r="AI5" i="2"/>
  <c r="I5" i="2"/>
  <c r="N5" i="2"/>
  <c r="K5" i="2"/>
  <c r="S5" i="2"/>
  <c r="AA5" i="2"/>
  <c r="AE5" i="2"/>
  <c r="D5" i="2"/>
  <c r="AF5" i="2"/>
  <c r="H5" i="2"/>
  <c r="L5" i="2"/>
  <c r="P5" i="2"/>
  <c r="T5" i="2"/>
  <c r="X5" i="2"/>
  <c r="AB5" i="2"/>
  <c r="AJ5" i="2"/>
  <c r="M5" i="2"/>
  <c r="Q5" i="2"/>
  <c r="Y5" i="2"/>
  <c r="AC5" i="2"/>
  <c r="AG5" i="2"/>
  <c r="AK5" i="2"/>
  <c r="U5" i="2"/>
  <c r="AL5" i="2"/>
  <c r="BA13" i="5"/>
  <c r="BA12" i="5"/>
  <c r="BA7" i="5"/>
  <c r="BA14" i="5"/>
  <c r="BA15" i="5"/>
  <c r="F90" i="3" l="1"/>
  <c r="D49" i="3"/>
  <c r="F49" i="3"/>
  <c r="AP20" i="5"/>
  <c r="AP23" i="5" s="1"/>
  <c r="AE20" i="5"/>
  <c r="AE21" i="5"/>
  <c r="AK21" i="5"/>
  <c r="AK20" i="5"/>
  <c r="AK23" i="5" s="1"/>
  <c r="AC20" i="5"/>
  <c r="AC21" i="5"/>
  <c r="I12" i="5"/>
  <c r="K12" i="5" s="1"/>
  <c r="M12" i="5" s="1"/>
  <c r="G12" i="5"/>
  <c r="S12" i="5"/>
  <c r="Y21" i="5"/>
  <c r="Y20" i="5"/>
  <c r="AN20" i="5"/>
  <c r="AN25" i="5" s="1"/>
  <c r="AN21" i="5"/>
  <c r="I7" i="5"/>
  <c r="K7" i="5" s="1"/>
  <c r="M7" i="5" s="1"/>
  <c r="G7" i="5"/>
  <c r="AA20" i="5"/>
  <c r="AA21" i="5"/>
  <c r="AL21" i="5"/>
  <c r="AL20" i="5"/>
  <c r="AL23" i="5" s="1"/>
  <c r="AI20" i="5"/>
  <c r="AI21" i="5"/>
  <c r="G13" i="5"/>
  <c r="S13" i="5"/>
  <c r="I13" i="5"/>
  <c r="K13" i="5" s="1"/>
  <c r="M13" i="5" s="1"/>
  <c r="I14" i="5"/>
  <c r="K14" i="5" s="1"/>
  <c r="M14" i="5" s="1"/>
  <c r="G14" i="5"/>
  <c r="S14" i="5"/>
  <c r="AP21" i="5"/>
  <c r="AU20" i="5"/>
  <c r="AU21" i="5"/>
  <c r="AG20" i="5"/>
  <c r="AG21" i="5"/>
  <c r="AO20" i="5"/>
  <c r="AO24" i="5" s="1"/>
  <c r="AO21" i="5"/>
  <c r="AS20" i="5"/>
  <c r="AS21" i="5"/>
  <c r="S11" i="5"/>
  <c r="G11" i="5"/>
  <c r="I11" i="5"/>
  <c r="K11" i="5" s="1"/>
  <c r="M11" i="5" s="1"/>
  <c r="AM21" i="5"/>
  <c r="AM20" i="5"/>
  <c r="AM24" i="5" s="1"/>
  <c r="I15" i="5"/>
  <c r="K15" i="5" s="1"/>
  <c r="M15" i="5" s="1"/>
  <c r="G15" i="5"/>
  <c r="S15" i="5"/>
  <c r="AW21" i="5"/>
  <c r="AW20" i="5"/>
  <c r="AP25" i="5" l="1"/>
  <c r="AN23" i="5"/>
  <c r="AN24" i="5"/>
  <c r="AK24" i="5"/>
  <c r="AK25" i="5"/>
  <c r="AO25" i="5"/>
  <c r="AP24" i="5"/>
  <c r="W15" i="5"/>
  <c r="U15" i="5"/>
  <c r="Q7" i="5"/>
  <c r="O7" i="5"/>
  <c r="U12" i="5"/>
  <c r="W12" i="5"/>
  <c r="U7" i="5"/>
  <c r="W7" i="5"/>
  <c r="AL25" i="5"/>
  <c r="AM23" i="5"/>
  <c r="O15" i="5"/>
  <c r="Q15" i="5"/>
  <c r="Q14" i="5"/>
  <c r="O14" i="5"/>
  <c r="Q12" i="5"/>
  <c r="O12" i="5"/>
  <c r="S20" i="5"/>
  <c r="S21" i="5"/>
  <c r="W11" i="5"/>
  <c r="U11" i="5"/>
  <c r="Q13" i="5"/>
  <c r="O13" i="5"/>
  <c r="O11" i="5"/>
  <c r="M20" i="5"/>
  <c r="M21" i="5"/>
  <c r="Q11" i="5"/>
  <c r="W13" i="5"/>
  <c r="U13" i="5"/>
  <c r="AO23" i="5"/>
  <c r="AL24" i="5"/>
  <c r="W14" i="5"/>
  <c r="U14" i="5"/>
  <c r="AM25" i="5"/>
  <c r="U21" i="5" l="1"/>
  <c r="U20" i="5"/>
  <c r="W21" i="5"/>
  <c r="W20" i="5"/>
  <c r="Q20" i="5"/>
  <c r="Q21" i="5"/>
  <c r="O20" i="5"/>
  <c r="O21" i="5"/>
  <c r="C6" i="4" l="1"/>
  <c r="C5" i="4"/>
  <c r="AI26" i="2"/>
  <c r="AI55" i="2" s="1"/>
  <c r="AL55" i="2"/>
  <c r="AK55" i="2"/>
  <c r="AH55" i="2"/>
  <c r="AG55" i="2"/>
  <c r="AF55" i="2"/>
  <c r="AC55" i="2"/>
  <c r="AB55" i="2"/>
  <c r="AA55" i="2"/>
  <c r="X55" i="2"/>
  <c r="W55" i="2"/>
  <c r="V55" i="2"/>
  <c r="S55" i="2"/>
  <c r="R55" i="2"/>
  <c r="Q55" i="2"/>
  <c r="N55" i="2"/>
  <c r="M55" i="2"/>
  <c r="L55" i="2"/>
  <c r="AJ55" i="2"/>
  <c r="AE55" i="2"/>
  <c r="Z55" i="2"/>
  <c r="U55" i="2"/>
  <c r="P55" i="2"/>
  <c r="O28" i="2"/>
  <c r="O27" i="2"/>
  <c r="O26" i="2"/>
  <c r="O55" i="2" s="1"/>
  <c r="D54" i="2"/>
  <c r="E54" i="2"/>
  <c r="F54" i="2"/>
  <c r="K54" i="2"/>
  <c r="P54" i="2"/>
  <c r="U54" i="2"/>
  <c r="P12" i="2" a="1"/>
  <c r="V5" i="4" l="1" a="1"/>
  <c r="V5" i="4" s="1"/>
  <c r="N5" i="4" a="1"/>
  <c r="N5" i="4" s="1"/>
  <c r="F5" i="4" a="1"/>
  <c r="F5" i="4" s="1"/>
  <c r="U5" i="4" a="1"/>
  <c r="U5" i="4" s="1"/>
  <c r="M5" i="4" a="1"/>
  <c r="M5" i="4" s="1"/>
  <c r="E5" i="4" a="1"/>
  <c r="E5" i="4" s="1"/>
  <c r="T5" i="4" a="1"/>
  <c r="T5" i="4" s="1"/>
  <c r="L5" i="4" a="1"/>
  <c r="L5" i="4" s="1"/>
  <c r="D5" i="4" a="1"/>
  <c r="D5" i="4" s="1"/>
  <c r="R5" i="4" a="1"/>
  <c r="R5" i="4" s="1"/>
  <c r="G5" i="4" a="1"/>
  <c r="G5" i="4" s="1"/>
  <c r="J5" i="4" a="1"/>
  <c r="J5" i="4" s="1"/>
  <c r="Y5" i="4" a="1"/>
  <c r="Y5" i="4" s="1"/>
  <c r="Q5" i="4" a="1"/>
  <c r="Q5" i="4" s="1"/>
  <c r="I5" i="4" a="1"/>
  <c r="I5" i="4" s="1"/>
  <c r="X5" i="4" a="1"/>
  <c r="X5" i="4" s="1"/>
  <c r="P5" i="4" a="1"/>
  <c r="P5" i="4" s="1"/>
  <c r="H5" i="4" a="1"/>
  <c r="H5" i="4" s="1"/>
  <c r="W5" i="4" a="1"/>
  <c r="W5" i="4" s="1"/>
  <c r="X6" i="4" a="1"/>
  <c r="X6" i="4" s="1"/>
  <c r="P6" i="4" a="1"/>
  <c r="P6" i="4" s="1"/>
  <c r="H6" i="4" a="1"/>
  <c r="H6" i="4" s="1"/>
  <c r="W6" i="4" a="1"/>
  <c r="W6" i="4" s="1"/>
  <c r="G6" i="4" a="1"/>
  <c r="G6" i="4" s="1"/>
  <c r="I6" i="4" a="1"/>
  <c r="I6" i="4" s="1"/>
  <c r="V6" i="4" a="1"/>
  <c r="V6" i="4" s="1"/>
  <c r="N6" i="4" a="1"/>
  <c r="N6" i="4" s="1"/>
  <c r="F6" i="4" a="1"/>
  <c r="F6" i="4" s="1"/>
  <c r="M6" i="4" a="1"/>
  <c r="M6" i="4" s="1"/>
  <c r="E6" i="4" a="1"/>
  <c r="E6" i="4" s="1"/>
  <c r="D6" i="4" a="1"/>
  <c r="D6" i="4" s="1"/>
  <c r="Q6" i="4" a="1"/>
  <c r="Q6" i="4" s="1"/>
  <c r="U6" i="4" a="1"/>
  <c r="U6" i="4" s="1"/>
  <c r="T6" i="4" a="1"/>
  <c r="T6" i="4" s="1"/>
  <c r="L6" i="4" a="1"/>
  <c r="L6" i="4" s="1"/>
  <c r="R6" i="4" a="1"/>
  <c r="R6" i="4" s="1"/>
  <c r="J6" i="4" a="1"/>
  <c r="J6" i="4" s="1"/>
  <c r="Y6" i="4" a="1"/>
  <c r="Y6" i="4" s="1"/>
  <c r="P12" i="2"/>
  <c r="P39" i="2"/>
  <c r="P38" i="2"/>
  <c r="P30" i="2"/>
  <c r="P24" i="2"/>
  <c r="P40" i="2" s="1"/>
  <c r="P23" i="2"/>
  <c r="P22" i="2"/>
  <c r="T32" i="2"/>
  <c r="T31" i="2"/>
  <c r="T28" i="2"/>
  <c r="T27" i="2"/>
  <c r="T26" i="2"/>
  <c r="T55" i="2" s="1"/>
  <c r="K6" i="4" s="1" a="1"/>
  <c r="K6" i="4" s="1"/>
  <c r="U30" i="2"/>
  <c r="U24" i="2"/>
  <c r="U23" i="2"/>
  <c r="U22" i="2"/>
  <c r="Y28" i="2"/>
  <c r="Y27" i="2"/>
  <c r="Y26" i="2"/>
  <c r="Y55" i="2" s="1"/>
  <c r="O6" i="4" s="1" a="1"/>
  <c r="O6" i="4" s="1"/>
  <c r="Y35" i="2"/>
  <c r="Y32" i="2"/>
  <c r="Y31" i="2"/>
  <c r="Z30" i="2"/>
  <c r="Z24" i="2"/>
  <c r="Z23" i="2"/>
  <c r="Z22" i="2"/>
  <c r="N9" i="2"/>
  <c r="N8" i="2" s="1"/>
  <c r="N30" i="2"/>
  <c r="N24" i="2"/>
  <c r="N23" i="2"/>
  <c r="N22" i="2"/>
  <c r="S30" i="2"/>
  <c r="S24" i="2"/>
  <c r="S23" i="2"/>
  <c r="S22" i="2"/>
  <c r="Q30" i="2"/>
  <c r="Q24" i="2"/>
  <c r="Q23" i="2"/>
  <c r="Q22" i="2"/>
  <c r="V30" i="2"/>
  <c r="V24" i="2"/>
  <c r="V23" i="2"/>
  <c r="V22" i="2"/>
  <c r="R30" i="2"/>
  <c r="R24" i="2"/>
  <c r="R23" i="2"/>
  <c r="R22" i="2"/>
  <c r="W30" i="2"/>
  <c r="W24" i="2"/>
  <c r="W23" i="2"/>
  <c r="W22" i="2"/>
  <c r="AD35" i="2"/>
  <c r="AD32" i="2"/>
  <c r="AD31" i="2"/>
  <c r="AD28" i="2"/>
  <c r="AD27" i="2"/>
  <c r="AD26" i="2"/>
  <c r="AD55" i="2" s="1"/>
  <c r="S6" i="4" s="1" a="1"/>
  <c r="S6" i="4" s="1"/>
  <c r="AE30" i="2"/>
  <c r="AE24" i="2"/>
  <c r="AE23" i="2"/>
  <c r="AE22" i="2"/>
  <c r="AH30" i="2"/>
  <c r="AI28" i="2"/>
  <c r="AI27" i="2"/>
  <c r="AJ30" i="2"/>
  <c r="AJ24" i="2"/>
  <c r="AJ23" i="2"/>
  <c r="AJ22" i="2"/>
  <c r="P8" i="2" a="1"/>
  <c r="M8" i="2" a="1"/>
  <c r="P49" i="2" l="1"/>
  <c r="O5" i="4" a="1"/>
  <c r="O5" i="4" s="1"/>
  <c r="U21" i="2"/>
  <c r="K5" i="4" a="1"/>
  <c r="K5" i="4" s="1"/>
  <c r="S5" i="4" a="1"/>
  <c r="S5" i="4" s="1"/>
  <c r="N21" i="2"/>
  <c r="AJ21" i="2"/>
  <c r="W21" i="2"/>
  <c r="AI30" i="2"/>
  <c r="Z21" i="2"/>
  <c r="T23" i="2"/>
  <c r="Q21" i="2"/>
  <c r="AE21" i="2"/>
  <c r="T24" i="2"/>
  <c r="T30" i="2"/>
  <c r="V21" i="2"/>
  <c r="S21" i="2"/>
  <c r="T22" i="2"/>
  <c r="R21" i="2"/>
  <c r="P8" i="2"/>
  <c r="P21" i="2"/>
  <c r="P37" i="2" s="1"/>
  <c r="P41" i="2" s="1"/>
  <c r="M8" i="2"/>
  <c r="T21" i="2" l="1"/>
  <c r="P42" i="2"/>
  <c r="AL162" i="2" a="1"/>
  <c r="AL162" i="2" l="1"/>
  <c r="AK162" i="2" a="1"/>
  <c r="AK162" i="2" l="1"/>
  <c r="AJ162" i="2" a="1"/>
  <c r="AJ162" i="2" l="1"/>
  <c r="AI162" i="2" a="1"/>
  <c r="AI162" i="2" l="1"/>
  <c r="AH162" i="2" a="1"/>
  <c r="AH162" i="2" l="1"/>
  <c r="AG162" i="2" a="1"/>
  <c r="AG162" i="2" l="1"/>
  <c r="AF162" i="2" a="1"/>
  <c r="AF162" i="2" l="1"/>
  <c r="AE162" i="2" a="1"/>
  <c r="AE162" i="2" l="1"/>
  <c r="AD162" i="2" a="1"/>
  <c r="AD162" i="2" l="1"/>
  <c r="AC162" i="2" a="1"/>
  <c r="AC162" i="2" l="1"/>
  <c r="AB162" i="2" a="1"/>
  <c r="AB162" i="2" l="1"/>
  <c r="AA162" i="2" a="1"/>
  <c r="AA162" i="2" l="1"/>
  <c r="Z162" i="2" a="1"/>
  <c r="Z162" i="2" l="1"/>
  <c r="Y162" i="2" a="1"/>
  <c r="Y162" i="2" l="1"/>
  <c r="X162" i="2" a="1"/>
  <c r="X162" i="2" l="1"/>
  <c r="W162" i="2" a="1"/>
  <c r="W162" i="2" l="1"/>
  <c r="V162" i="2" a="1"/>
  <c r="V162" i="2" l="1"/>
  <c r="U162" i="2" a="1"/>
  <c r="U162" i="2" l="1"/>
  <c r="T162" i="2" a="1"/>
  <c r="T162" i="2" l="1"/>
  <c r="S162" i="2" a="1"/>
  <c r="S162" i="2" l="1"/>
  <c r="R162" i="2" a="1"/>
  <c r="R162" i="2" l="1"/>
  <c r="Q162" i="2" a="1"/>
  <c r="Q162" i="2" l="1"/>
  <c r="P162" i="2" a="1"/>
  <c r="P162" i="2" l="1"/>
  <c r="O162" i="2" a="1"/>
  <c r="O162" i="2" l="1"/>
  <c r="N162" i="2" a="1"/>
  <c r="N162" i="2" l="1"/>
  <c r="M162" i="2" a="1"/>
  <c r="M162" i="2" l="1"/>
  <c r="L162" i="2" a="1"/>
  <c r="L162" i="2" l="1"/>
  <c r="K162" i="2" a="1"/>
  <c r="K162" i="2" l="1"/>
  <c r="J162" i="2" a="1"/>
  <c r="J162" i="2" l="1"/>
  <c r="I162" i="2" a="1"/>
  <c r="I162" i="2" l="1"/>
  <c r="H162" i="2" a="1"/>
  <c r="H162" i="2" l="1"/>
  <c r="G162" i="2" a="1"/>
  <c r="G162" i="2" l="1"/>
  <c r="F162" i="2" a="1"/>
  <c r="F162" i="2" l="1"/>
  <c r="E162" i="2" a="1"/>
  <c r="E162" i="2" l="1"/>
  <c r="D162" i="2" a="1"/>
  <c r="D162" i="2" l="1"/>
  <c r="AL160" i="2" a="1"/>
  <c r="AL160" i="2" l="1"/>
  <c r="AK160" i="2" a="1"/>
  <c r="AK160" i="2" l="1"/>
  <c r="AJ160" i="2" a="1"/>
  <c r="AJ160" i="2" l="1"/>
  <c r="AI160" i="2" a="1"/>
  <c r="AI160" i="2" l="1"/>
  <c r="AH160" i="2" a="1"/>
  <c r="AH160" i="2" l="1"/>
  <c r="AG160" i="2" a="1"/>
  <c r="AG160" i="2" l="1"/>
  <c r="AF160" i="2" a="1"/>
  <c r="AF160" i="2" l="1"/>
  <c r="AE160" i="2" a="1"/>
  <c r="AE160" i="2" l="1"/>
  <c r="AD160" i="2" a="1"/>
  <c r="AD160" i="2" l="1"/>
  <c r="AC160" i="2" a="1"/>
  <c r="AC160" i="2" l="1"/>
  <c r="AB160" i="2" a="1"/>
  <c r="AB160" i="2" l="1"/>
  <c r="AA160" i="2" a="1"/>
  <c r="AA160" i="2" l="1"/>
  <c r="Z160" i="2" a="1"/>
  <c r="Z160" i="2" l="1"/>
  <c r="Y160" i="2" a="1"/>
  <c r="Y160" i="2" l="1"/>
  <c r="X160" i="2" a="1"/>
  <c r="X160" i="2" l="1"/>
  <c r="W160" i="2" a="1"/>
  <c r="W160" i="2" l="1"/>
  <c r="V160" i="2" a="1"/>
  <c r="V160" i="2" l="1"/>
  <c r="U160" i="2" a="1"/>
  <c r="U160" i="2" l="1"/>
  <c r="T160" i="2" a="1"/>
  <c r="T160" i="2" l="1"/>
  <c r="S160" i="2" a="1"/>
  <c r="S160" i="2" l="1"/>
  <c r="R160" i="2" a="1"/>
  <c r="R160" i="2" l="1"/>
  <c r="Q160" i="2" a="1"/>
  <c r="Q160" i="2" l="1"/>
  <c r="P160" i="2" a="1"/>
  <c r="P160" i="2" l="1"/>
  <c r="O160" i="2" a="1"/>
  <c r="O160" i="2" l="1"/>
  <c r="N160" i="2" a="1"/>
  <c r="N160" i="2" l="1"/>
  <c r="M160" i="2" a="1"/>
  <c r="M160" i="2" l="1"/>
  <c r="L160" i="2" a="1"/>
  <c r="L160" i="2" l="1"/>
  <c r="K160" i="2" a="1"/>
  <c r="K160" i="2" l="1"/>
  <c r="J160" i="2" a="1"/>
  <c r="J160" i="2" l="1"/>
  <c r="I160" i="2" a="1"/>
  <c r="I160" i="2" l="1"/>
  <c r="H160" i="2" a="1"/>
  <c r="H160" i="2" l="1"/>
  <c r="G160" i="2" a="1"/>
  <c r="G160" i="2" l="1"/>
  <c r="F160" i="2" a="1"/>
  <c r="F160" i="2" l="1"/>
  <c r="E160" i="2" a="1"/>
  <c r="E160" i="2" l="1"/>
  <c r="D160" i="2" a="1"/>
  <c r="D160" i="2" l="1"/>
  <c r="AL158" i="2" a="1"/>
  <c r="AL158" i="2" l="1"/>
  <c r="AK158" i="2" a="1"/>
  <c r="AK158" i="2" l="1"/>
  <c r="AJ158" i="2" a="1"/>
  <c r="AJ158" i="2" l="1"/>
  <c r="AI158" i="2" a="1"/>
  <c r="AI158" i="2" l="1"/>
  <c r="AH158" i="2" a="1"/>
  <c r="AH158" i="2" l="1"/>
  <c r="AG158" i="2" a="1"/>
  <c r="AG158" i="2" l="1"/>
  <c r="AF158" i="2" a="1"/>
  <c r="AF158" i="2" l="1"/>
  <c r="AE158" i="2" a="1"/>
  <c r="AE158" i="2" l="1"/>
  <c r="AD158" i="2" a="1"/>
  <c r="AD158" i="2" l="1"/>
  <c r="AC158" i="2" a="1"/>
  <c r="AC158" i="2" l="1"/>
  <c r="AB158" i="2" a="1"/>
  <c r="AB158" i="2" l="1"/>
  <c r="AA158" i="2" a="1"/>
  <c r="AA158" i="2" l="1"/>
  <c r="Z158" i="2" a="1"/>
  <c r="Z158" i="2" l="1"/>
  <c r="Y158" i="2" a="1"/>
  <c r="Y158" i="2" l="1"/>
  <c r="X158" i="2" a="1"/>
  <c r="X158" i="2" l="1"/>
  <c r="W158" i="2" a="1"/>
  <c r="W158" i="2" l="1"/>
  <c r="V158" i="2" a="1"/>
  <c r="V158" i="2" l="1"/>
  <c r="U158" i="2" a="1"/>
  <c r="U158" i="2" l="1"/>
  <c r="T158" i="2" a="1"/>
  <c r="T158" i="2" l="1"/>
  <c r="S158" i="2" a="1"/>
  <c r="S158" i="2" l="1"/>
  <c r="R158" i="2" a="1"/>
  <c r="R158" i="2" l="1"/>
  <c r="Q158" i="2" a="1"/>
  <c r="Q158" i="2" l="1"/>
  <c r="P158" i="2" a="1"/>
  <c r="P158" i="2" l="1"/>
  <c r="O158" i="2" a="1"/>
  <c r="O158" i="2" l="1"/>
  <c r="N158" i="2" a="1"/>
  <c r="N158" i="2" l="1"/>
  <c r="M158" i="2" a="1"/>
  <c r="M158" i="2" l="1"/>
  <c r="L158" i="2" a="1"/>
  <c r="L158" i="2" l="1"/>
  <c r="K158" i="2" a="1"/>
  <c r="K158" i="2" l="1"/>
  <c r="J158" i="2" a="1"/>
  <c r="J158" i="2" l="1"/>
  <c r="I158" i="2" a="1"/>
  <c r="I158" i="2" l="1"/>
  <c r="H158" i="2" a="1"/>
  <c r="H158" i="2" l="1"/>
  <c r="G158" i="2" a="1"/>
  <c r="G158" i="2" l="1"/>
  <c r="F158" i="2" a="1"/>
  <c r="F158" i="2" l="1"/>
  <c r="E158" i="2" a="1"/>
  <c r="E158" i="2" l="1"/>
  <c r="D158" i="2" a="1"/>
  <c r="D158" i="2" l="1"/>
  <c r="AL157" i="2" a="1"/>
  <c r="AL157" i="2" l="1"/>
  <c r="AK157" i="2" a="1"/>
  <c r="AK157" i="2" l="1"/>
  <c r="AJ157" i="2" a="1"/>
  <c r="AJ157" i="2" l="1"/>
  <c r="AI157" i="2" a="1"/>
  <c r="AI157" i="2" l="1"/>
  <c r="AH157" i="2" a="1"/>
  <c r="AH157" i="2" l="1"/>
  <c r="AG157" i="2" a="1"/>
  <c r="AG157" i="2" l="1"/>
  <c r="AF157" i="2" a="1"/>
  <c r="AF157" i="2" l="1"/>
  <c r="AE157" i="2" a="1"/>
  <c r="AE157" i="2" l="1"/>
  <c r="AD157" i="2" a="1"/>
  <c r="AD157" i="2" l="1"/>
  <c r="AC157" i="2" a="1"/>
  <c r="AC157" i="2" l="1"/>
  <c r="AB157" i="2" a="1"/>
  <c r="AB157" i="2" l="1"/>
  <c r="AA157" i="2" a="1"/>
  <c r="AA157" i="2" l="1"/>
  <c r="Z157" i="2" a="1"/>
  <c r="Z157" i="2" l="1"/>
  <c r="Y157" i="2" a="1"/>
  <c r="Y157" i="2" l="1"/>
  <c r="X157" i="2" a="1"/>
  <c r="X157" i="2" l="1"/>
  <c r="W157" i="2" a="1"/>
  <c r="W157" i="2" l="1"/>
  <c r="V157" i="2" a="1"/>
  <c r="V157" i="2" l="1"/>
  <c r="U157" i="2" a="1"/>
  <c r="U157" i="2" l="1"/>
  <c r="T157" i="2" a="1"/>
  <c r="T157" i="2" l="1"/>
  <c r="S157" i="2" a="1"/>
  <c r="S157" i="2" l="1"/>
  <c r="R157" i="2" a="1"/>
  <c r="R157" i="2" l="1"/>
  <c r="Q157" i="2" a="1"/>
  <c r="Q157" i="2" l="1"/>
  <c r="P157" i="2" a="1"/>
  <c r="P157" i="2" l="1"/>
  <c r="O157" i="2" a="1"/>
  <c r="O157" i="2" l="1"/>
  <c r="N157" i="2" a="1"/>
  <c r="N157" i="2" l="1"/>
  <c r="M157" i="2" a="1"/>
  <c r="M157" i="2" l="1"/>
  <c r="L157" i="2" a="1"/>
  <c r="L157" i="2" l="1"/>
  <c r="K157" i="2" a="1"/>
  <c r="K157" i="2" l="1"/>
  <c r="J157" i="2" a="1"/>
  <c r="J157" i="2" l="1"/>
  <c r="I157" i="2" a="1"/>
  <c r="I157" i="2" l="1"/>
  <c r="H157" i="2" a="1"/>
  <c r="H157" i="2" l="1"/>
  <c r="G157" i="2" a="1"/>
  <c r="G157" i="2" l="1"/>
  <c r="F157" i="2" a="1"/>
  <c r="F157" i="2" l="1"/>
  <c r="E157" i="2" a="1"/>
  <c r="E157" i="2" l="1"/>
  <c r="D157" i="2" a="1"/>
  <c r="D157" i="2" l="1"/>
  <c r="AL156" i="2" a="1"/>
  <c r="AL156" i="2" l="1"/>
  <c r="AK156" i="2" a="1"/>
  <c r="AK156" i="2" l="1"/>
  <c r="AJ156" i="2" a="1"/>
  <c r="AJ156" i="2" l="1"/>
  <c r="AI156" i="2" a="1"/>
  <c r="AI156" i="2" l="1"/>
  <c r="AH156" i="2" a="1"/>
  <c r="AH156" i="2" l="1"/>
  <c r="AG156" i="2" a="1"/>
  <c r="AG156" i="2" l="1"/>
  <c r="AF156" i="2" a="1"/>
  <c r="AF156" i="2" l="1"/>
  <c r="AE156" i="2" a="1"/>
  <c r="AE156" i="2" l="1"/>
  <c r="AD156" i="2" a="1"/>
  <c r="AD156" i="2" l="1"/>
  <c r="AC156" i="2" a="1"/>
  <c r="AC156" i="2" l="1"/>
  <c r="AB156" i="2" a="1"/>
  <c r="AB156" i="2" l="1"/>
  <c r="AA156" i="2" a="1"/>
  <c r="AA156" i="2" l="1"/>
  <c r="Z156" i="2" a="1"/>
  <c r="Z156" i="2" l="1"/>
  <c r="Y156" i="2" a="1"/>
  <c r="Y156" i="2" l="1"/>
  <c r="X156" i="2" a="1"/>
  <c r="X156" i="2" l="1"/>
  <c r="W156" i="2" a="1"/>
  <c r="W156" i="2" l="1"/>
  <c r="V156" i="2" a="1"/>
  <c r="V156" i="2" l="1"/>
  <c r="U156" i="2" a="1"/>
  <c r="U156" i="2" l="1"/>
  <c r="T156" i="2" a="1"/>
  <c r="T156" i="2" l="1"/>
  <c r="S156" i="2" a="1"/>
  <c r="S156" i="2" l="1"/>
  <c r="R156" i="2" a="1"/>
  <c r="R156" i="2" l="1"/>
  <c r="Q156" i="2" a="1"/>
  <c r="Q156" i="2" l="1"/>
  <c r="P156" i="2" a="1"/>
  <c r="P156" i="2" l="1"/>
  <c r="O156" i="2" a="1"/>
  <c r="O156" i="2" l="1"/>
  <c r="N156" i="2" a="1"/>
  <c r="N156" i="2" l="1"/>
  <c r="M156" i="2" a="1"/>
  <c r="M156" i="2" l="1"/>
  <c r="L156" i="2" a="1"/>
  <c r="L156" i="2" l="1"/>
  <c r="K156" i="2" a="1"/>
  <c r="K156" i="2" l="1"/>
  <c r="J156" i="2" a="1"/>
  <c r="J156" i="2" l="1"/>
  <c r="I156" i="2" a="1"/>
  <c r="I156" i="2" l="1"/>
  <c r="H156" i="2" a="1"/>
  <c r="H156" i="2" l="1"/>
  <c r="G156" i="2" a="1"/>
  <c r="G156" i="2" l="1"/>
  <c r="F156" i="2" a="1"/>
  <c r="F156" i="2" l="1"/>
  <c r="E156" i="2" a="1"/>
  <c r="E156" i="2" l="1"/>
  <c r="D156" i="2" a="1"/>
  <c r="D156" i="2" l="1"/>
  <c r="AL155" i="2" a="1"/>
  <c r="AL155" i="2" l="1"/>
  <c r="AK155" i="2" a="1"/>
  <c r="AK155" i="2" l="1"/>
  <c r="AJ155" i="2" a="1"/>
  <c r="AJ155" i="2" l="1"/>
  <c r="AI155" i="2" a="1"/>
  <c r="AI155" i="2" l="1"/>
  <c r="AH155" i="2" a="1"/>
  <c r="AH155" i="2" l="1"/>
  <c r="AG155" i="2" a="1"/>
  <c r="AG155" i="2" l="1"/>
  <c r="AF155" i="2" a="1"/>
  <c r="AF155" i="2" l="1"/>
  <c r="AE155" i="2" a="1"/>
  <c r="AE155" i="2" l="1"/>
  <c r="AD155" i="2" a="1"/>
  <c r="AD155" i="2" l="1"/>
  <c r="AC155" i="2" a="1"/>
  <c r="AC155" i="2" l="1"/>
  <c r="AB155" i="2" a="1"/>
  <c r="AB155" i="2" l="1"/>
  <c r="AA155" i="2" a="1"/>
  <c r="AA155" i="2" l="1"/>
  <c r="Z155" i="2" a="1"/>
  <c r="Z155" i="2" l="1"/>
  <c r="Y155" i="2" a="1"/>
  <c r="Y155" i="2" l="1"/>
  <c r="X155" i="2" a="1"/>
  <c r="X155" i="2" l="1"/>
  <c r="W155" i="2" a="1"/>
  <c r="W155" i="2" l="1"/>
  <c r="V155" i="2" a="1"/>
  <c r="V155" i="2" l="1"/>
  <c r="U155" i="2" a="1"/>
  <c r="U155" i="2" l="1"/>
  <c r="T155" i="2" a="1"/>
  <c r="T155" i="2" l="1"/>
  <c r="S155" i="2" a="1"/>
  <c r="S155" i="2" l="1"/>
  <c r="R155" i="2" a="1"/>
  <c r="R155" i="2" l="1"/>
  <c r="Q155" i="2" a="1"/>
  <c r="Q155" i="2" l="1"/>
  <c r="P155" i="2" a="1"/>
  <c r="P155" i="2" l="1"/>
  <c r="O155" i="2" a="1"/>
  <c r="O155" i="2" l="1"/>
  <c r="N155" i="2" a="1"/>
  <c r="N155" i="2" l="1"/>
  <c r="M155" i="2" a="1"/>
  <c r="M155" i="2" l="1"/>
  <c r="L155" i="2" a="1"/>
  <c r="L155" i="2" l="1"/>
  <c r="K155" i="2" a="1"/>
  <c r="K155" i="2" l="1"/>
  <c r="J155" i="2" a="1"/>
  <c r="J155" i="2" l="1"/>
  <c r="I155" i="2" a="1"/>
  <c r="I155" i="2" l="1"/>
  <c r="H155" i="2" a="1"/>
  <c r="H155" i="2" l="1"/>
  <c r="G155" i="2" a="1"/>
  <c r="G155" i="2" l="1"/>
  <c r="F155" i="2" a="1"/>
  <c r="F155" i="2" l="1"/>
  <c r="E155" i="2" a="1"/>
  <c r="E155" i="2" l="1"/>
  <c r="D155" i="2" a="1"/>
  <c r="D155" i="2" l="1"/>
  <c r="AL154" i="2" a="1"/>
  <c r="AL154" i="2" l="1"/>
  <c r="AK154" i="2" a="1"/>
  <c r="AK154" i="2" l="1"/>
  <c r="AJ154" i="2" a="1"/>
  <c r="AJ154" i="2" l="1"/>
  <c r="AI154" i="2" a="1"/>
  <c r="AI154" i="2" l="1"/>
  <c r="AH154" i="2" a="1"/>
  <c r="AH154" i="2" l="1"/>
  <c r="AG154" i="2" a="1"/>
  <c r="AG154" i="2" l="1"/>
  <c r="AF154" i="2" a="1"/>
  <c r="AF154" i="2" l="1"/>
  <c r="AE154" i="2" a="1"/>
  <c r="AE154" i="2" l="1"/>
  <c r="AD154" i="2" a="1"/>
  <c r="AD154" i="2" l="1"/>
  <c r="AC154" i="2" a="1"/>
  <c r="AC154" i="2" l="1"/>
  <c r="AB154" i="2" a="1"/>
  <c r="AB154" i="2" l="1"/>
  <c r="AA154" i="2" a="1"/>
  <c r="AA154" i="2" l="1"/>
  <c r="Z154" i="2" a="1"/>
  <c r="Z154" i="2" l="1"/>
  <c r="Y154" i="2" a="1"/>
  <c r="Y154" i="2" l="1"/>
  <c r="X154" i="2" a="1"/>
  <c r="X154" i="2" l="1"/>
  <c r="W154" i="2" a="1"/>
  <c r="W154" i="2" l="1"/>
  <c r="V154" i="2" a="1"/>
  <c r="V154" i="2" l="1"/>
  <c r="U154" i="2" a="1"/>
  <c r="U154" i="2" l="1"/>
  <c r="T154" i="2" a="1"/>
  <c r="T154" i="2" l="1"/>
  <c r="S154" i="2" a="1"/>
  <c r="S154" i="2" l="1"/>
  <c r="R154" i="2" a="1"/>
  <c r="R154" i="2" l="1"/>
  <c r="Q154" i="2" a="1"/>
  <c r="Q154" i="2" l="1"/>
  <c r="P154" i="2" a="1"/>
  <c r="P154" i="2" l="1"/>
  <c r="O154" i="2" a="1"/>
  <c r="O154" i="2" l="1"/>
  <c r="N154" i="2" a="1"/>
  <c r="N154" i="2" l="1"/>
  <c r="M154" i="2" a="1"/>
  <c r="M154" i="2" l="1"/>
  <c r="L154" i="2" a="1"/>
  <c r="L154" i="2" l="1"/>
  <c r="K154" i="2" a="1"/>
  <c r="K154" i="2" l="1"/>
  <c r="J154" i="2" a="1"/>
  <c r="J154" i="2" l="1"/>
  <c r="I154" i="2" a="1"/>
  <c r="I154" i="2" l="1"/>
  <c r="H154" i="2" a="1"/>
  <c r="H154" i="2" l="1"/>
  <c r="G154" i="2" a="1"/>
  <c r="G154" i="2" l="1"/>
  <c r="F154" i="2" a="1"/>
  <c r="F154" i="2" l="1"/>
  <c r="E154" i="2" a="1"/>
  <c r="E154" i="2" l="1"/>
  <c r="D154" i="2" a="1"/>
  <c r="D154" i="2" l="1"/>
  <c r="AL151" i="2" a="1"/>
  <c r="AL151" i="2" l="1"/>
  <c r="AK151" i="2" a="1"/>
  <c r="AK151" i="2" l="1"/>
  <c r="AJ151" i="2" a="1"/>
  <c r="AJ151" i="2" l="1"/>
  <c r="AI151" i="2" a="1"/>
  <c r="AI151" i="2" l="1"/>
  <c r="AH151" i="2" a="1"/>
  <c r="AH151" i="2" l="1"/>
  <c r="AG151" i="2" a="1"/>
  <c r="AG151" i="2" l="1"/>
  <c r="AF151" i="2" a="1"/>
  <c r="AF151" i="2" l="1"/>
  <c r="AE151" i="2" a="1"/>
  <c r="AE151" i="2" l="1"/>
  <c r="AD151" i="2" a="1"/>
  <c r="AD151" i="2" l="1"/>
  <c r="AC151" i="2" a="1"/>
  <c r="AC151" i="2" l="1"/>
  <c r="AB151" i="2" a="1"/>
  <c r="AB151" i="2" l="1"/>
  <c r="AA151" i="2" a="1"/>
  <c r="AA151" i="2" l="1"/>
  <c r="Z151" i="2" a="1"/>
  <c r="Z151" i="2" l="1"/>
  <c r="Y151" i="2" a="1"/>
  <c r="Y151" i="2" l="1"/>
  <c r="X151" i="2" a="1"/>
  <c r="X151" i="2" l="1"/>
  <c r="W151" i="2" a="1"/>
  <c r="W151" i="2" l="1"/>
  <c r="V151" i="2" a="1"/>
  <c r="V151" i="2" l="1"/>
  <c r="U151" i="2" a="1"/>
  <c r="U151" i="2" l="1"/>
  <c r="T151" i="2" a="1"/>
  <c r="T151" i="2" l="1"/>
  <c r="S151" i="2" a="1"/>
  <c r="S151" i="2" l="1"/>
  <c r="R151" i="2" a="1"/>
  <c r="R151" i="2" l="1"/>
  <c r="Q151" i="2" a="1"/>
  <c r="Q151" i="2" l="1"/>
  <c r="P151" i="2" a="1"/>
  <c r="P151" i="2" l="1"/>
  <c r="O151" i="2" a="1"/>
  <c r="O151" i="2" l="1"/>
  <c r="N151" i="2" a="1"/>
  <c r="N151" i="2" l="1"/>
  <c r="M151" i="2" a="1"/>
  <c r="M151" i="2" l="1"/>
  <c r="L151" i="2" a="1"/>
  <c r="L151" i="2" l="1"/>
  <c r="K151" i="2" a="1"/>
  <c r="K151" i="2" l="1"/>
  <c r="J151" i="2" a="1"/>
  <c r="J151" i="2" l="1"/>
  <c r="I151" i="2" a="1"/>
  <c r="I151" i="2" l="1"/>
  <c r="H151" i="2" a="1"/>
  <c r="H151" i="2" l="1"/>
  <c r="G151" i="2" a="1"/>
  <c r="G151" i="2" l="1"/>
  <c r="F151" i="2" a="1"/>
  <c r="F151" i="2" l="1"/>
  <c r="E151" i="2" a="1"/>
  <c r="E151" i="2" l="1"/>
  <c r="D151" i="2" a="1"/>
  <c r="D151" i="2" l="1"/>
  <c r="AL150" i="2" a="1"/>
  <c r="AL150" i="2" l="1"/>
  <c r="AK150" i="2" a="1"/>
  <c r="AK150" i="2" l="1"/>
  <c r="AJ150" i="2" a="1"/>
  <c r="AJ150" i="2" l="1"/>
  <c r="AI150" i="2" a="1"/>
  <c r="AI150" i="2" l="1"/>
  <c r="AH150" i="2" a="1"/>
  <c r="AH150" i="2" l="1"/>
  <c r="AG150" i="2" a="1"/>
  <c r="AG150" i="2" l="1"/>
  <c r="AF150" i="2" a="1"/>
  <c r="AF150" i="2" l="1"/>
  <c r="AE150" i="2" a="1"/>
  <c r="AE150" i="2" l="1"/>
  <c r="AD150" i="2" a="1"/>
  <c r="AD150" i="2" l="1"/>
  <c r="AC150" i="2" a="1"/>
  <c r="AC150" i="2" l="1"/>
  <c r="AB150" i="2" a="1"/>
  <c r="AB150" i="2" l="1"/>
  <c r="AA150" i="2" a="1"/>
  <c r="AA150" i="2" l="1"/>
  <c r="Z150" i="2" a="1"/>
  <c r="Z150" i="2" l="1"/>
  <c r="Y150" i="2" a="1"/>
  <c r="Y150" i="2" l="1"/>
  <c r="X150" i="2" a="1"/>
  <c r="X150" i="2" l="1"/>
  <c r="W150" i="2" a="1"/>
  <c r="W150" i="2" l="1"/>
  <c r="V150" i="2" a="1"/>
  <c r="V150" i="2" l="1"/>
  <c r="U150" i="2" a="1"/>
  <c r="U150" i="2" l="1"/>
  <c r="T150" i="2" a="1"/>
  <c r="T150" i="2" l="1"/>
  <c r="S150" i="2" a="1"/>
  <c r="S150" i="2" l="1"/>
  <c r="R150" i="2" a="1"/>
  <c r="R150" i="2" l="1"/>
  <c r="Q150" i="2" a="1"/>
  <c r="Q150" i="2" l="1"/>
  <c r="P150" i="2" a="1"/>
  <c r="P150" i="2" l="1"/>
  <c r="O150" i="2" a="1"/>
  <c r="O150" i="2" l="1"/>
  <c r="N150" i="2" a="1"/>
  <c r="N150" i="2" l="1"/>
  <c r="M150" i="2" a="1"/>
  <c r="M150" i="2" l="1"/>
  <c r="L150" i="2" a="1"/>
  <c r="L150" i="2" l="1"/>
  <c r="K150" i="2" a="1"/>
  <c r="K150" i="2" l="1"/>
  <c r="J150" i="2" a="1"/>
  <c r="J150" i="2" l="1"/>
  <c r="I150" i="2" a="1"/>
  <c r="I150" i="2" l="1"/>
  <c r="H150" i="2" a="1"/>
  <c r="H150" i="2" l="1"/>
  <c r="G150" i="2" a="1"/>
  <c r="G150" i="2" l="1"/>
  <c r="F150" i="2" a="1"/>
  <c r="F150" i="2" l="1"/>
  <c r="E150" i="2" a="1"/>
  <c r="E150" i="2" l="1"/>
  <c r="D150" i="2" a="1"/>
  <c r="D150" i="2" l="1"/>
  <c r="AL149" i="2" a="1"/>
  <c r="AL149" i="2" l="1"/>
  <c r="AK149" i="2" a="1"/>
  <c r="AK149" i="2" l="1"/>
  <c r="AJ149" i="2" a="1"/>
  <c r="AJ149" i="2" l="1"/>
  <c r="AI149" i="2" a="1"/>
  <c r="AI149" i="2" l="1"/>
  <c r="AH149" i="2" a="1"/>
  <c r="AH149" i="2" l="1"/>
  <c r="AG149" i="2" a="1"/>
  <c r="AG149" i="2" l="1"/>
  <c r="AF149" i="2" a="1"/>
  <c r="AF149" i="2" l="1"/>
  <c r="AE149" i="2" a="1"/>
  <c r="AE149" i="2" l="1"/>
  <c r="AD149" i="2" a="1"/>
  <c r="AD149" i="2" l="1"/>
  <c r="AC149" i="2" a="1"/>
  <c r="AC149" i="2" l="1"/>
  <c r="AB149" i="2" a="1"/>
  <c r="AB149" i="2" l="1"/>
  <c r="AA149" i="2" a="1"/>
  <c r="AA149" i="2" l="1"/>
  <c r="Z149" i="2" a="1"/>
  <c r="Z149" i="2" l="1"/>
  <c r="Y149" i="2" a="1"/>
  <c r="Y149" i="2" l="1"/>
  <c r="X149" i="2" a="1"/>
  <c r="X149" i="2" l="1"/>
  <c r="W149" i="2" a="1"/>
  <c r="W149" i="2" l="1"/>
  <c r="V149" i="2" a="1"/>
  <c r="V149" i="2" l="1"/>
  <c r="U149" i="2" a="1"/>
  <c r="U149" i="2" l="1"/>
  <c r="T149" i="2" a="1"/>
  <c r="T149" i="2" l="1"/>
  <c r="S149" i="2" a="1"/>
  <c r="S149" i="2" l="1"/>
  <c r="R149" i="2" a="1"/>
  <c r="R149" i="2" l="1"/>
  <c r="Q149" i="2" a="1"/>
  <c r="Q149" i="2" l="1"/>
  <c r="P149" i="2" a="1"/>
  <c r="P149" i="2" l="1"/>
  <c r="O149" i="2" a="1"/>
  <c r="O149" i="2" l="1"/>
  <c r="N149" i="2" a="1"/>
  <c r="N149" i="2" l="1"/>
  <c r="M149" i="2" a="1"/>
  <c r="M149" i="2" l="1"/>
  <c r="L149" i="2" a="1"/>
  <c r="L149" i="2" l="1"/>
  <c r="K149" i="2" a="1"/>
  <c r="K149" i="2" l="1"/>
  <c r="J149" i="2" a="1"/>
  <c r="J149" i="2" l="1"/>
  <c r="I149" i="2" a="1"/>
  <c r="I149" i="2" l="1"/>
  <c r="H149" i="2" a="1"/>
  <c r="H149" i="2" l="1"/>
  <c r="G149" i="2" a="1"/>
  <c r="G149" i="2" l="1"/>
  <c r="F149" i="2" a="1"/>
  <c r="F149" i="2" l="1"/>
  <c r="E149" i="2" a="1"/>
  <c r="E149" i="2" l="1"/>
  <c r="D149" i="2" a="1"/>
  <c r="D149" i="2" l="1"/>
  <c r="AL148" i="2" a="1"/>
  <c r="AL148" i="2" l="1"/>
  <c r="AK148" i="2" a="1"/>
  <c r="AK148" i="2" l="1"/>
  <c r="AJ148" i="2" a="1"/>
  <c r="AJ148" i="2" l="1"/>
  <c r="AI148" i="2" a="1"/>
  <c r="AI148" i="2" l="1"/>
  <c r="AH148" i="2" a="1"/>
  <c r="AH148" i="2" l="1"/>
  <c r="AG148" i="2" a="1"/>
  <c r="AG148" i="2" l="1"/>
  <c r="AF148" i="2" a="1"/>
  <c r="AF148" i="2" l="1"/>
  <c r="AE148" i="2" a="1"/>
  <c r="AE148" i="2" l="1"/>
  <c r="AD148" i="2" a="1"/>
  <c r="AD148" i="2" l="1"/>
  <c r="AC148" i="2" a="1"/>
  <c r="AC148" i="2" l="1"/>
  <c r="AB148" i="2" a="1"/>
  <c r="AB148" i="2" l="1"/>
  <c r="AA148" i="2" a="1"/>
  <c r="AA148" i="2" l="1"/>
  <c r="Z148" i="2" a="1"/>
  <c r="Z148" i="2" l="1"/>
  <c r="Y148" i="2" a="1"/>
  <c r="Y148" i="2" l="1"/>
  <c r="X148" i="2" a="1"/>
  <c r="X148" i="2" l="1"/>
  <c r="W148" i="2" a="1"/>
  <c r="W148" i="2" l="1"/>
  <c r="V148" i="2" a="1"/>
  <c r="V148" i="2" l="1"/>
  <c r="U148" i="2" a="1"/>
  <c r="U148" i="2" l="1"/>
  <c r="T148" i="2" a="1"/>
  <c r="T148" i="2" l="1"/>
  <c r="S148" i="2" a="1"/>
  <c r="S148" i="2" l="1"/>
  <c r="R148" i="2" a="1"/>
  <c r="R148" i="2" l="1"/>
  <c r="Q148" i="2" a="1"/>
  <c r="Q148" i="2" l="1"/>
  <c r="P148" i="2" a="1"/>
  <c r="P148" i="2" l="1"/>
  <c r="O148" i="2" a="1"/>
  <c r="O148" i="2" l="1"/>
  <c r="N148" i="2" a="1"/>
  <c r="N148" i="2" l="1"/>
  <c r="M148" i="2" a="1"/>
  <c r="M148" i="2" l="1"/>
  <c r="L148" i="2" a="1"/>
  <c r="L148" i="2" l="1"/>
  <c r="K148" i="2" a="1"/>
  <c r="K148" i="2" l="1"/>
  <c r="J148" i="2" a="1"/>
  <c r="J148" i="2" l="1"/>
  <c r="I148" i="2" a="1"/>
  <c r="I148" i="2" l="1"/>
  <c r="H148" i="2" a="1"/>
  <c r="H148" i="2" l="1"/>
  <c r="G148" i="2" a="1"/>
  <c r="G148" i="2" l="1"/>
  <c r="F148" i="2" a="1"/>
  <c r="F148" i="2" l="1"/>
  <c r="E148" i="2" a="1"/>
  <c r="E148" i="2" l="1"/>
  <c r="D148" i="2" a="1"/>
  <c r="D148" i="2" l="1"/>
  <c r="AL145" i="2" a="1"/>
  <c r="AL145" i="2" l="1"/>
  <c r="AL163" i="2" s="1"/>
  <c r="AL164" i="2" s="1"/>
  <c r="AK145" i="2" a="1"/>
  <c r="AK145" i="2" l="1"/>
  <c r="AK163" i="2" s="1"/>
  <c r="AK164" i="2" s="1"/>
  <c r="AJ145" i="2" a="1"/>
  <c r="AJ145" i="2" l="1"/>
  <c r="AJ163" i="2" s="1"/>
  <c r="AJ164" i="2" s="1"/>
  <c r="AI145" i="2" a="1"/>
  <c r="AI145" i="2" l="1"/>
  <c r="AI163" i="2" s="1"/>
  <c r="AI164" i="2" s="1"/>
  <c r="AH145" i="2" a="1"/>
  <c r="AH145" i="2" l="1"/>
  <c r="AH163" i="2" s="1"/>
  <c r="AH164" i="2" s="1"/>
  <c r="AG145" i="2" a="1"/>
  <c r="AG145" i="2" l="1"/>
  <c r="AG163" i="2" s="1"/>
  <c r="AG164" i="2" s="1"/>
  <c r="AF145" i="2" a="1"/>
  <c r="AF145" i="2" l="1"/>
  <c r="AF163" i="2" s="1"/>
  <c r="AF164" i="2" s="1"/>
  <c r="AE145" i="2" a="1"/>
  <c r="AE145" i="2" l="1"/>
  <c r="AE163" i="2" s="1"/>
  <c r="AE164" i="2" s="1"/>
  <c r="AD145" i="2" a="1"/>
  <c r="AD145" i="2" l="1"/>
  <c r="AD163" i="2" s="1"/>
  <c r="AD164" i="2" s="1"/>
  <c r="AC145" i="2" a="1"/>
  <c r="AC145" i="2" l="1"/>
  <c r="AC163" i="2" s="1"/>
  <c r="AC164" i="2" s="1"/>
  <c r="AB145" i="2" a="1"/>
  <c r="AB145" i="2" l="1"/>
  <c r="AB163" i="2" s="1"/>
  <c r="AB164" i="2" s="1"/>
  <c r="AA145" i="2" a="1"/>
  <c r="AA145" i="2" l="1"/>
  <c r="AA163" i="2" s="1"/>
  <c r="AA164" i="2" s="1"/>
  <c r="Z145" i="2" a="1"/>
  <c r="Z145" i="2" l="1"/>
  <c r="Z163" i="2" s="1"/>
  <c r="Z164" i="2" s="1"/>
  <c r="Y145" i="2" a="1"/>
  <c r="Y145" i="2" l="1"/>
  <c r="Y163" i="2" s="1"/>
  <c r="Y164" i="2" s="1"/>
  <c r="X145" i="2" a="1"/>
  <c r="X145" i="2" l="1"/>
  <c r="X163" i="2" s="1"/>
  <c r="X164" i="2" s="1"/>
  <c r="W145" i="2" a="1"/>
  <c r="W145" i="2" l="1"/>
  <c r="W163" i="2" s="1"/>
  <c r="W164" i="2" s="1"/>
  <c r="V145" i="2" a="1"/>
  <c r="V145" i="2" l="1"/>
  <c r="V163" i="2" s="1"/>
  <c r="V164" i="2" s="1"/>
  <c r="U145" i="2" a="1"/>
  <c r="U145" i="2" l="1"/>
  <c r="U163" i="2" s="1"/>
  <c r="U164" i="2" s="1"/>
  <c r="T145" i="2" a="1"/>
  <c r="T145" i="2" l="1"/>
  <c r="T163" i="2" s="1"/>
  <c r="T164" i="2" s="1"/>
  <c r="S145" i="2" a="1"/>
  <c r="S145" i="2" l="1"/>
  <c r="S163" i="2" s="1"/>
  <c r="S164" i="2" s="1"/>
  <c r="R145" i="2" a="1"/>
  <c r="R145" i="2" l="1"/>
  <c r="R163" i="2" s="1"/>
  <c r="R164" i="2" s="1"/>
  <c r="Q145" i="2" a="1"/>
  <c r="Q145" i="2" l="1"/>
  <c r="Q163" i="2" s="1"/>
  <c r="Q164" i="2" s="1"/>
  <c r="P145" i="2" a="1"/>
  <c r="P145" i="2" l="1"/>
  <c r="P163" i="2" s="1"/>
  <c r="P164" i="2" s="1"/>
  <c r="O145" i="2" a="1"/>
  <c r="O145" i="2" l="1"/>
  <c r="O163" i="2" s="1"/>
  <c r="O164" i="2" s="1"/>
  <c r="N145" i="2" a="1"/>
  <c r="N145" i="2" l="1"/>
  <c r="N163" i="2" s="1"/>
  <c r="N164" i="2" s="1"/>
  <c r="M145" i="2" a="1"/>
  <c r="M145" i="2" l="1"/>
  <c r="M163" i="2" s="1"/>
  <c r="M164" i="2" s="1"/>
  <c r="L145" i="2" a="1"/>
  <c r="L145" i="2" l="1"/>
  <c r="L163" i="2" s="1"/>
  <c r="L164" i="2" s="1"/>
  <c r="K145" i="2" a="1"/>
  <c r="K145" i="2" l="1"/>
  <c r="K163" i="2" s="1"/>
  <c r="K164" i="2" s="1"/>
  <c r="J145" i="2" a="1"/>
  <c r="J145" i="2" l="1"/>
  <c r="J163" i="2" s="1"/>
  <c r="J164" i="2" s="1"/>
  <c r="I145" i="2" a="1"/>
  <c r="I145" i="2" l="1"/>
  <c r="I163" i="2" s="1"/>
  <c r="I164" i="2" s="1"/>
  <c r="H145" i="2" a="1"/>
  <c r="H145" i="2" l="1"/>
  <c r="H163" i="2" s="1"/>
  <c r="H164" i="2" s="1"/>
  <c r="G145" i="2" a="1"/>
  <c r="G145" i="2" l="1"/>
  <c r="G163" i="2" s="1"/>
  <c r="G164" i="2" s="1"/>
  <c r="F145" i="2" a="1"/>
  <c r="F145" i="2" l="1"/>
  <c r="F163" i="2" s="1"/>
  <c r="F164" i="2" s="1"/>
  <c r="E145" i="2" a="1"/>
  <c r="E145" i="2" l="1"/>
  <c r="E163" i="2" s="1"/>
  <c r="E164" i="2" s="1"/>
  <c r="D145" i="2" a="1"/>
  <c r="D145" i="2" l="1"/>
  <c r="D163" i="2" s="1"/>
  <c r="D164" i="2" s="1"/>
  <c r="AL144" i="2" a="1"/>
  <c r="AL144" i="2" l="1"/>
  <c r="AK144" i="2" a="1"/>
  <c r="AK144" i="2" l="1"/>
  <c r="AJ144" i="2" a="1"/>
  <c r="AJ144" i="2" l="1"/>
  <c r="AI144" i="2" a="1"/>
  <c r="AI144" i="2" l="1"/>
  <c r="AH144" i="2" a="1"/>
  <c r="AH144" i="2" l="1"/>
  <c r="AG144" i="2" a="1"/>
  <c r="AG144" i="2" l="1"/>
  <c r="AF144" i="2" a="1"/>
  <c r="AF144" i="2" l="1"/>
  <c r="AE144" i="2" a="1"/>
  <c r="AE144" i="2" l="1"/>
  <c r="AD144" i="2" a="1"/>
  <c r="AD144" i="2" l="1"/>
  <c r="AC144" i="2" a="1"/>
  <c r="AC144" i="2" l="1"/>
  <c r="AB144" i="2" a="1"/>
  <c r="AB144" i="2" l="1"/>
  <c r="AA144" i="2" a="1"/>
  <c r="AA144" i="2" l="1"/>
  <c r="Z144" i="2" a="1"/>
  <c r="Z144" i="2" l="1"/>
  <c r="Y144" i="2" a="1"/>
  <c r="Y144" i="2" l="1"/>
  <c r="X144" i="2" a="1"/>
  <c r="X144" i="2" l="1"/>
  <c r="W144" i="2" a="1"/>
  <c r="W144" i="2" l="1"/>
  <c r="V144" i="2" a="1"/>
  <c r="V144" i="2" l="1"/>
  <c r="U144" i="2" a="1"/>
  <c r="U144" i="2" l="1"/>
  <c r="T144" i="2" a="1"/>
  <c r="T144" i="2" l="1"/>
  <c r="S144" i="2" a="1"/>
  <c r="S144" i="2" l="1"/>
  <c r="R144" i="2" a="1"/>
  <c r="R144" i="2" l="1"/>
  <c r="Q144" i="2" a="1"/>
  <c r="Q144" i="2" l="1"/>
  <c r="P144" i="2" a="1"/>
  <c r="P144" i="2" l="1"/>
  <c r="O144" i="2" a="1"/>
  <c r="O144" i="2" l="1"/>
  <c r="N144" i="2" a="1"/>
  <c r="N144" i="2" l="1"/>
  <c r="M144" i="2" a="1"/>
  <c r="M144" i="2" l="1"/>
  <c r="L144" i="2" a="1"/>
  <c r="L144" i="2" l="1"/>
  <c r="K144" i="2" a="1"/>
  <c r="K144" i="2" l="1"/>
  <c r="J144" i="2" a="1"/>
  <c r="J144" i="2" l="1"/>
  <c r="I144" i="2" a="1"/>
  <c r="I144" i="2" l="1"/>
  <c r="H144" i="2" a="1"/>
  <c r="H144" i="2" l="1"/>
  <c r="G144" i="2" a="1"/>
  <c r="G144" i="2" l="1"/>
  <c r="F144" i="2" a="1"/>
  <c r="F144" i="2" l="1"/>
  <c r="E144" i="2" a="1"/>
  <c r="E144" i="2" l="1"/>
  <c r="D144" i="2" a="1"/>
  <c r="D144" i="2" l="1"/>
  <c r="AL143" i="2" a="1"/>
  <c r="AL143" i="2" l="1"/>
  <c r="AK143" i="2" a="1"/>
  <c r="AK143" i="2" l="1"/>
  <c r="AJ143" i="2" a="1"/>
  <c r="AJ143" i="2" l="1"/>
  <c r="AI143" i="2" a="1"/>
  <c r="AI143" i="2" l="1"/>
  <c r="AH143" i="2" a="1"/>
  <c r="AH143" i="2" l="1"/>
  <c r="AG143" i="2" a="1"/>
  <c r="AG143" i="2" l="1"/>
  <c r="AF143" i="2" a="1"/>
  <c r="AF143" i="2" l="1"/>
  <c r="AE143" i="2" a="1"/>
  <c r="AE143" i="2" l="1"/>
  <c r="AD143" i="2" a="1"/>
  <c r="AD143" i="2" l="1"/>
  <c r="AC143" i="2" a="1"/>
  <c r="AC143" i="2" l="1"/>
  <c r="AB143" i="2" a="1"/>
  <c r="AB143" i="2" l="1"/>
  <c r="AA143" i="2" a="1"/>
  <c r="AA143" i="2" l="1"/>
  <c r="Z143" i="2" a="1"/>
  <c r="Z143" i="2" l="1"/>
  <c r="Y143" i="2" a="1"/>
  <c r="Y143" i="2" l="1"/>
  <c r="X143" i="2" a="1"/>
  <c r="X143" i="2" l="1"/>
  <c r="W143" i="2" a="1"/>
  <c r="W143" i="2" l="1"/>
  <c r="V143" i="2" a="1"/>
  <c r="V143" i="2" l="1"/>
  <c r="U143" i="2" a="1"/>
  <c r="U143" i="2" l="1"/>
  <c r="T143" i="2" a="1"/>
  <c r="T143" i="2" l="1"/>
  <c r="S143" i="2" a="1"/>
  <c r="S143" i="2" l="1"/>
  <c r="R143" i="2" a="1"/>
  <c r="R143" i="2" l="1"/>
  <c r="Q143" i="2" a="1"/>
  <c r="Q143" i="2" l="1"/>
  <c r="P143" i="2" a="1"/>
  <c r="P143" i="2" l="1"/>
  <c r="O143" i="2" a="1"/>
  <c r="O143" i="2" l="1"/>
  <c r="N143" i="2" a="1"/>
  <c r="N143" i="2" l="1"/>
  <c r="M143" i="2" a="1"/>
  <c r="M143" i="2" l="1"/>
  <c r="L143" i="2" a="1"/>
  <c r="L143" i="2" l="1"/>
  <c r="K143" i="2" a="1"/>
  <c r="K143" i="2" l="1"/>
  <c r="J143" i="2" a="1"/>
  <c r="J143" i="2" l="1"/>
  <c r="I143" i="2" a="1"/>
  <c r="I143" i="2" l="1"/>
  <c r="H143" i="2" a="1"/>
  <c r="H143" i="2" l="1"/>
  <c r="G143" i="2" a="1"/>
  <c r="G143" i="2" l="1"/>
  <c r="F143" i="2" a="1"/>
  <c r="F143" i="2" l="1"/>
  <c r="E143" i="2" a="1"/>
  <c r="E143" i="2" l="1"/>
  <c r="D143" i="2" a="1"/>
  <c r="D143" i="2" l="1"/>
  <c r="AL142" i="2" a="1"/>
  <c r="AL142" i="2" l="1"/>
  <c r="AK142" i="2" a="1"/>
  <c r="AK142" i="2" l="1"/>
  <c r="AJ142" i="2" a="1"/>
  <c r="AJ142" i="2" l="1"/>
  <c r="AI142" i="2" a="1"/>
  <c r="AI142" i="2" l="1"/>
  <c r="AH142" i="2" a="1"/>
  <c r="AH142" i="2" l="1"/>
  <c r="AG142" i="2" a="1"/>
  <c r="AG142" i="2" l="1"/>
  <c r="AF142" i="2" a="1"/>
  <c r="AF142" i="2" l="1"/>
  <c r="AE142" i="2" a="1"/>
  <c r="AE142" i="2" l="1"/>
  <c r="AD142" i="2" a="1"/>
  <c r="AD142" i="2" l="1"/>
  <c r="AC142" i="2" a="1"/>
  <c r="AC142" i="2" l="1"/>
  <c r="AB142" i="2" a="1"/>
  <c r="AB142" i="2" l="1"/>
  <c r="AA142" i="2" a="1"/>
  <c r="AA142" i="2" l="1"/>
  <c r="Z142" i="2" a="1"/>
  <c r="Z142" i="2" l="1"/>
  <c r="Y142" i="2" a="1"/>
  <c r="Y142" i="2" l="1"/>
  <c r="X142" i="2" a="1"/>
  <c r="X142" i="2" l="1"/>
  <c r="W142" i="2" a="1"/>
  <c r="W142" i="2" l="1"/>
  <c r="V142" i="2" a="1"/>
  <c r="V142" i="2" l="1"/>
  <c r="U142" i="2" a="1"/>
  <c r="U142" i="2" l="1"/>
  <c r="T142" i="2" a="1"/>
  <c r="T142" i="2" l="1"/>
  <c r="S142" i="2" a="1"/>
  <c r="S142" i="2" l="1"/>
  <c r="R142" i="2" a="1"/>
  <c r="R142" i="2" l="1"/>
  <c r="Q142" i="2" a="1"/>
  <c r="Q142" i="2" l="1"/>
  <c r="P142" i="2" a="1"/>
  <c r="P142" i="2" l="1"/>
  <c r="O142" i="2" a="1"/>
  <c r="O142" i="2" l="1"/>
  <c r="N142" i="2" a="1"/>
  <c r="N142" i="2" l="1"/>
  <c r="M142" i="2" a="1"/>
  <c r="M142" i="2" l="1"/>
  <c r="L142" i="2" a="1"/>
  <c r="L142" i="2" l="1"/>
  <c r="K142" i="2" a="1"/>
  <c r="K142" i="2" l="1"/>
  <c r="J142" i="2" a="1"/>
  <c r="J142" i="2" l="1"/>
  <c r="I142" i="2" a="1"/>
  <c r="I142" i="2" l="1"/>
  <c r="H142" i="2" a="1"/>
  <c r="H142" i="2" l="1"/>
  <c r="G142" i="2" a="1"/>
  <c r="G142" i="2" l="1"/>
  <c r="F142" i="2" a="1"/>
  <c r="F142" i="2" l="1"/>
  <c r="E142" i="2" a="1"/>
  <c r="E142" i="2" l="1"/>
  <c r="D142" i="2" a="1"/>
  <c r="D142" i="2" l="1"/>
  <c r="AL141" i="2" a="1"/>
  <c r="AL141" i="2" l="1"/>
  <c r="AK141" i="2" a="1"/>
  <c r="AK141" i="2" l="1"/>
  <c r="AJ141" i="2" a="1"/>
  <c r="AJ141" i="2" l="1"/>
  <c r="AI141" i="2" a="1"/>
  <c r="AI141" i="2" l="1"/>
  <c r="AH141" i="2" a="1"/>
  <c r="AH141" i="2" l="1"/>
  <c r="AG141" i="2" a="1"/>
  <c r="AG141" i="2" l="1"/>
  <c r="AF141" i="2" a="1"/>
  <c r="AF141" i="2" l="1"/>
  <c r="AE141" i="2" a="1"/>
  <c r="AE141" i="2" l="1"/>
  <c r="AD141" i="2" a="1"/>
  <c r="AD141" i="2" l="1"/>
  <c r="AC141" i="2" a="1"/>
  <c r="AC141" i="2" l="1"/>
  <c r="AB141" i="2" a="1"/>
  <c r="AB141" i="2" l="1"/>
  <c r="AA141" i="2" a="1"/>
  <c r="AA141" i="2" l="1"/>
  <c r="Z141" i="2" a="1"/>
  <c r="Z141" i="2" l="1"/>
  <c r="Y141" i="2" a="1"/>
  <c r="Y141" i="2" l="1"/>
  <c r="X141" i="2" a="1"/>
  <c r="X141" i="2" l="1"/>
  <c r="W141" i="2" a="1"/>
  <c r="W141" i="2" l="1"/>
  <c r="V141" i="2" a="1"/>
  <c r="V141" i="2" l="1"/>
  <c r="U141" i="2" a="1"/>
  <c r="U141" i="2" l="1"/>
  <c r="T141" i="2" a="1"/>
  <c r="T141" i="2" l="1"/>
  <c r="S141" i="2" a="1"/>
  <c r="S141" i="2" l="1"/>
  <c r="R141" i="2" a="1"/>
  <c r="R141" i="2" l="1"/>
  <c r="Q141" i="2" a="1"/>
  <c r="Q141" i="2" l="1"/>
  <c r="P141" i="2" a="1"/>
  <c r="P141" i="2" l="1"/>
  <c r="O141" i="2" a="1"/>
  <c r="O141" i="2" l="1"/>
  <c r="N141" i="2" a="1"/>
  <c r="N141" i="2" l="1"/>
  <c r="M141" i="2" a="1"/>
  <c r="M141" i="2" l="1"/>
  <c r="L141" i="2" a="1"/>
  <c r="L141" i="2" l="1"/>
  <c r="K141" i="2" a="1"/>
  <c r="K141" i="2" l="1"/>
  <c r="J141" i="2" a="1"/>
  <c r="J141" i="2" l="1"/>
  <c r="I141" i="2" a="1"/>
  <c r="I141" i="2" l="1"/>
  <c r="H141" i="2" a="1"/>
  <c r="H141" i="2" l="1"/>
  <c r="G141" i="2" a="1"/>
  <c r="G141" i="2" l="1"/>
  <c r="F141" i="2" a="1"/>
  <c r="F141" i="2" l="1"/>
  <c r="E141" i="2" a="1"/>
  <c r="E141" i="2" l="1"/>
  <c r="D141" i="2" a="1"/>
  <c r="D141" i="2" l="1"/>
  <c r="AL139" i="2" a="1"/>
  <c r="AL139" i="2" l="1"/>
  <c r="AK139" i="2" a="1"/>
  <c r="AK139" i="2" l="1"/>
  <c r="AJ139" i="2" a="1"/>
  <c r="AJ139" i="2" l="1"/>
  <c r="AI139" i="2" a="1"/>
  <c r="AI139" i="2" l="1"/>
  <c r="AH139" i="2" a="1"/>
  <c r="AH139" i="2" l="1"/>
  <c r="AG139" i="2" a="1"/>
  <c r="AG139" i="2" l="1"/>
  <c r="AF139" i="2" a="1"/>
  <c r="AF139" i="2" l="1"/>
  <c r="AE139" i="2" a="1"/>
  <c r="AE139" i="2" l="1"/>
  <c r="AD139" i="2" a="1"/>
  <c r="AD139" i="2" l="1"/>
  <c r="AC139" i="2" a="1"/>
  <c r="AC139" i="2" l="1"/>
  <c r="AB139" i="2" a="1"/>
  <c r="AB139" i="2" l="1"/>
  <c r="AA139" i="2" a="1"/>
  <c r="AA139" i="2" l="1"/>
  <c r="Z139" i="2" a="1"/>
  <c r="Z139" i="2" l="1"/>
  <c r="Y139" i="2" a="1"/>
  <c r="Y139" i="2" l="1"/>
  <c r="X139" i="2" a="1"/>
  <c r="X139" i="2" l="1"/>
  <c r="W139" i="2" a="1"/>
  <c r="W139" i="2" l="1"/>
  <c r="V139" i="2" a="1"/>
  <c r="V139" i="2" l="1"/>
  <c r="U139" i="2" a="1"/>
  <c r="U139" i="2" l="1"/>
  <c r="T139" i="2" a="1"/>
  <c r="T139" i="2" l="1"/>
  <c r="S139" i="2" a="1"/>
  <c r="S139" i="2" l="1"/>
  <c r="R139" i="2" a="1"/>
  <c r="R139" i="2" l="1"/>
  <c r="Q139" i="2" a="1"/>
  <c r="Q139" i="2" l="1"/>
  <c r="P139" i="2" a="1"/>
  <c r="P139" i="2" l="1"/>
  <c r="O139" i="2" a="1"/>
  <c r="O139" i="2" l="1"/>
  <c r="N139" i="2" a="1"/>
  <c r="N139" i="2" l="1"/>
  <c r="M139" i="2" a="1"/>
  <c r="M139" i="2" l="1"/>
  <c r="L139" i="2" a="1"/>
  <c r="L139" i="2" l="1"/>
  <c r="K139" i="2" a="1"/>
  <c r="K139" i="2" l="1"/>
  <c r="J139" i="2" a="1"/>
  <c r="J139" i="2" l="1"/>
  <c r="I139" i="2" a="1"/>
  <c r="I139" i="2" l="1"/>
  <c r="H139" i="2" a="1"/>
  <c r="H139" i="2" l="1"/>
  <c r="G139" i="2" a="1"/>
  <c r="G139" i="2" l="1"/>
  <c r="F139" i="2" a="1"/>
  <c r="F139" i="2" l="1"/>
  <c r="E139" i="2" a="1"/>
  <c r="E139" i="2" l="1"/>
  <c r="D139" i="2" a="1"/>
  <c r="D139" i="2" l="1"/>
  <c r="AL138" i="2" a="1"/>
  <c r="AL138" i="2" l="1"/>
  <c r="AK138" i="2" a="1"/>
  <c r="AK138" i="2" l="1"/>
  <c r="AJ138" i="2" a="1"/>
  <c r="AJ138" i="2" l="1"/>
  <c r="AI138" i="2" a="1"/>
  <c r="AI138" i="2" l="1"/>
  <c r="AH138" i="2" a="1"/>
  <c r="AH138" i="2" l="1"/>
  <c r="AG138" i="2" a="1"/>
  <c r="AG138" i="2" l="1"/>
  <c r="AF138" i="2" a="1"/>
  <c r="AF138" i="2" l="1"/>
  <c r="AE138" i="2" a="1"/>
  <c r="AE138" i="2" l="1"/>
  <c r="AD138" i="2" a="1"/>
  <c r="AD138" i="2" l="1"/>
  <c r="AC138" i="2" a="1"/>
  <c r="AC138" i="2" l="1"/>
  <c r="AB138" i="2" a="1"/>
  <c r="AB138" i="2" l="1"/>
  <c r="AA138" i="2" a="1"/>
  <c r="AA138" i="2" l="1"/>
  <c r="Z138" i="2" a="1"/>
  <c r="Z138" i="2" l="1"/>
  <c r="Y138" i="2" a="1"/>
  <c r="Y138" i="2" l="1"/>
  <c r="X138" i="2" a="1"/>
  <c r="X138" i="2" l="1"/>
  <c r="W138" i="2" a="1"/>
  <c r="W138" i="2" l="1"/>
  <c r="V138" i="2" a="1"/>
  <c r="V138" i="2" l="1"/>
  <c r="U138" i="2" a="1"/>
  <c r="U138" i="2" l="1"/>
  <c r="T138" i="2" a="1"/>
  <c r="T138" i="2" l="1"/>
  <c r="S138" i="2" a="1"/>
  <c r="S138" i="2" l="1"/>
  <c r="R138" i="2" a="1"/>
  <c r="R138" i="2" l="1"/>
  <c r="Q138" i="2" a="1"/>
  <c r="Q138" i="2" l="1"/>
  <c r="P138" i="2" a="1"/>
  <c r="P138" i="2" l="1"/>
  <c r="O138" i="2" a="1"/>
  <c r="O138" i="2" l="1"/>
  <c r="N138" i="2" a="1"/>
  <c r="N138" i="2" l="1"/>
  <c r="M138" i="2" a="1"/>
  <c r="M138" i="2" l="1"/>
  <c r="L138" i="2" a="1"/>
  <c r="L138" i="2" l="1"/>
  <c r="K138" i="2" a="1"/>
  <c r="K138" i="2" l="1"/>
  <c r="J138" i="2" a="1"/>
  <c r="J138" i="2" l="1"/>
  <c r="I138" i="2" a="1"/>
  <c r="I138" i="2" l="1"/>
  <c r="H138" i="2" a="1"/>
  <c r="H138" i="2" l="1"/>
  <c r="G138" i="2" a="1"/>
  <c r="G138" i="2" l="1"/>
  <c r="F138" i="2" a="1"/>
  <c r="F138" i="2" l="1"/>
  <c r="E138" i="2" a="1"/>
  <c r="E138" i="2" l="1"/>
  <c r="D138" i="2" a="1"/>
  <c r="D138" i="2" l="1"/>
  <c r="AL137" i="2" a="1"/>
  <c r="AL137" i="2" l="1"/>
  <c r="AK137" i="2" a="1"/>
  <c r="AK137" i="2" l="1"/>
  <c r="AJ137" i="2" a="1"/>
  <c r="AJ137" i="2" l="1"/>
  <c r="AI137" i="2" a="1"/>
  <c r="AI137" i="2" l="1"/>
  <c r="AH137" i="2" a="1"/>
  <c r="AH137" i="2" l="1"/>
  <c r="AG137" i="2" a="1"/>
  <c r="AG137" i="2" l="1"/>
  <c r="AF137" i="2" a="1"/>
  <c r="AF137" i="2" l="1"/>
  <c r="AE137" i="2" a="1"/>
  <c r="AE137" i="2" l="1"/>
  <c r="AD137" i="2" a="1"/>
  <c r="AD137" i="2" l="1"/>
  <c r="AC137" i="2" a="1"/>
  <c r="AC137" i="2" l="1"/>
  <c r="AB137" i="2" a="1"/>
  <c r="AB137" i="2" l="1"/>
  <c r="AA137" i="2" a="1"/>
  <c r="AA137" i="2" l="1"/>
  <c r="Z137" i="2" a="1"/>
  <c r="Z137" i="2" l="1"/>
  <c r="Y137" i="2" a="1"/>
  <c r="Y137" i="2" l="1"/>
  <c r="X137" i="2" a="1"/>
  <c r="X137" i="2" l="1"/>
  <c r="W137" i="2" a="1"/>
  <c r="W137" i="2" l="1"/>
  <c r="V137" i="2" a="1"/>
  <c r="V137" i="2" l="1"/>
  <c r="U137" i="2" a="1"/>
  <c r="U137" i="2" l="1"/>
  <c r="T137" i="2" a="1"/>
  <c r="T137" i="2" l="1"/>
  <c r="S137" i="2" a="1"/>
  <c r="S137" i="2" l="1"/>
  <c r="R137" i="2" a="1"/>
  <c r="R137" i="2" l="1"/>
  <c r="Q137" i="2" a="1"/>
  <c r="Q137" i="2" l="1"/>
  <c r="P137" i="2" a="1"/>
  <c r="P137" i="2" l="1"/>
  <c r="O137" i="2" a="1"/>
  <c r="O137" i="2" l="1"/>
  <c r="N137" i="2" a="1"/>
  <c r="N137" i="2" l="1"/>
  <c r="M137" i="2" a="1"/>
  <c r="M137" i="2" l="1"/>
  <c r="L137" i="2" a="1"/>
  <c r="L137" i="2" l="1"/>
  <c r="K137" i="2" a="1"/>
  <c r="K137" i="2" l="1"/>
  <c r="J137" i="2" a="1"/>
  <c r="J137" i="2" l="1"/>
  <c r="I137" i="2" a="1"/>
  <c r="I137" i="2" l="1"/>
  <c r="H137" i="2" a="1"/>
  <c r="H137" i="2" l="1"/>
  <c r="G137" i="2" a="1"/>
  <c r="G137" i="2" l="1"/>
  <c r="F137" i="2" a="1"/>
  <c r="F137" i="2" l="1"/>
  <c r="E137" i="2" a="1"/>
  <c r="E137" i="2" l="1"/>
  <c r="D137" i="2" a="1"/>
  <c r="D137" i="2" l="1"/>
  <c r="AL131" i="2" a="1"/>
  <c r="AL131" i="2" l="1"/>
  <c r="AK131" i="2" a="1"/>
  <c r="AK131" i="2" l="1"/>
  <c r="AJ131" i="2" a="1"/>
  <c r="AJ131" i="2" l="1"/>
  <c r="AI131" i="2" a="1"/>
  <c r="AI131" i="2" l="1"/>
  <c r="AH131" i="2" a="1"/>
  <c r="AH131" i="2" l="1"/>
  <c r="AG131" i="2" a="1"/>
  <c r="AG131" i="2" l="1"/>
  <c r="AF131" i="2" a="1"/>
  <c r="AF131" i="2" l="1"/>
  <c r="AE131" i="2" a="1"/>
  <c r="AE131" i="2" l="1"/>
  <c r="AD131" i="2" a="1"/>
  <c r="AD131" i="2" l="1"/>
  <c r="AC131" i="2" a="1"/>
  <c r="AC131" i="2" l="1"/>
  <c r="AB131" i="2" a="1"/>
  <c r="AB131" i="2" l="1"/>
  <c r="AA131" i="2" a="1"/>
  <c r="AA131" i="2" l="1"/>
  <c r="Z131" i="2" a="1"/>
  <c r="Z131" i="2" l="1"/>
  <c r="Y131" i="2" a="1"/>
  <c r="Y131" i="2" l="1"/>
  <c r="X131" i="2" a="1"/>
  <c r="X131" i="2" l="1"/>
  <c r="W131" i="2" a="1"/>
  <c r="W131" i="2" l="1"/>
  <c r="V131" i="2" a="1"/>
  <c r="V131" i="2" l="1"/>
  <c r="U131" i="2" a="1"/>
  <c r="U131" i="2" l="1"/>
  <c r="T131" i="2" a="1"/>
  <c r="T131" i="2" l="1"/>
  <c r="S131" i="2" a="1"/>
  <c r="S131" i="2" l="1"/>
  <c r="R131" i="2" a="1"/>
  <c r="R131" i="2" l="1"/>
  <c r="Q131" i="2" a="1"/>
  <c r="Q131" i="2" l="1"/>
  <c r="P131" i="2" a="1"/>
  <c r="P131" i="2" l="1"/>
  <c r="O131" i="2" a="1"/>
  <c r="O131" i="2" l="1"/>
  <c r="N131" i="2" a="1"/>
  <c r="N131" i="2" l="1"/>
  <c r="M131" i="2" a="1"/>
  <c r="M131" i="2" l="1"/>
  <c r="L131" i="2" a="1"/>
  <c r="L131" i="2" l="1"/>
  <c r="K131" i="2" a="1"/>
  <c r="K131" i="2" l="1"/>
  <c r="J131" i="2" a="1"/>
  <c r="J131" i="2" l="1"/>
  <c r="I131" i="2" a="1"/>
  <c r="I131" i="2" l="1"/>
  <c r="H131" i="2" a="1"/>
  <c r="H131" i="2" l="1"/>
  <c r="G131" i="2" a="1"/>
  <c r="G131" i="2" l="1"/>
  <c r="F131" i="2" a="1"/>
  <c r="F131" i="2" l="1"/>
  <c r="E131" i="2" a="1"/>
  <c r="E131" i="2" l="1"/>
  <c r="D131" i="2" a="1"/>
  <c r="D131" i="2" l="1"/>
  <c r="AL128" i="2" a="1"/>
  <c r="AL128" i="2" l="1"/>
  <c r="AK128" i="2" a="1"/>
  <c r="AK128" i="2" l="1"/>
  <c r="AJ128" i="2" a="1"/>
  <c r="AJ128" i="2" l="1"/>
  <c r="AI128" i="2" a="1"/>
  <c r="AI128" i="2" l="1"/>
  <c r="AH128" i="2" a="1"/>
  <c r="AH128" i="2" l="1"/>
  <c r="AG128" i="2" a="1"/>
  <c r="AG128" i="2" l="1"/>
  <c r="AF128" i="2" a="1"/>
  <c r="AF128" i="2" l="1"/>
  <c r="AE128" i="2" a="1"/>
  <c r="AE128" i="2" l="1"/>
  <c r="AD128" i="2" a="1"/>
  <c r="AD128" i="2" l="1"/>
  <c r="AC128" i="2" a="1"/>
  <c r="AC128" i="2" l="1"/>
  <c r="AB128" i="2" a="1"/>
  <c r="AB128" i="2" l="1"/>
  <c r="AA128" i="2" a="1"/>
  <c r="AA128" i="2" l="1"/>
  <c r="Z128" i="2" a="1"/>
  <c r="Z128" i="2" l="1"/>
  <c r="Y128" i="2" a="1"/>
  <c r="Y128" i="2" l="1"/>
  <c r="X128" i="2" a="1"/>
  <c r="X128" i="2" l="1"/>
  <c r="W128" i="2" a="1"/>
  <c r="W128" i="2" l="1"/>
  <c r="V128" i="2" a="1"/>
  <c r="V128" i="2" l="1"/>
  <c r="U128" i="2" a="1"/>
  <c r="U128" i="2" l="1"/>
  <c r="T128" i="2" a="1"/>
  <c r="T128" i="2" l="1"/>
  <c r="S128" i="2" a="1"/>
  <c r="S128" i="2" l="1"/>
  <c r="R128" i="2" a="1"/>
  <c r="R128" i="2" l="1"/>
  <c r="Q128" i="2" a="1"/>
  <c r="Q128" i="2" l="1"/>
  <c r="P128" i="2" a="1"/>
  <c r="P128" i="2" l="1"/>
  <c r="O128" i="2" a="1"/>
  <c r="O128" i="2" l="1"/>
  <c r="N128" i="2" a="1"/>
  <c r="N128" i="2" l="1"/>
  <c r="M128" i="2" a="1"/>
  <c r="M128" i="2" l="1"/>
  <c r="L128" i="2" a="1"/>
  <c r="L128" i="2" l="1"/>
  <c r="K128" i="2" a="1"/>
  <c r="K128" i="2" l="1"/>
  <c r="J128" i="2" a="1"/>
  <c r="J128" i="2" l="1"/>
  <c r="I128" i="2" a="1"/>
  <c r="I128" i="2" l="1"/>
  <c r="H128" i="2" a="1"/>
  <c r="H128" i="2" l="1"/>
  <c r="G128" i="2" a="1"/>
  <c r="G128" i="2" l="1"/>
  <c r="F128" i="2" a="1"/>
  <c r="F128" i="2" l="1"/>
  <c r="E128" i="2" a="1"/>
  <c r="E128" i="2" l="1"/>
  <c r="D128" i="2" a="1"/>
  <c r="D128" i="2" l="1"/>
  <c r="AL127" i="2" a="1"/>
  <c r="AL127" i="2" l="1"/>
  <c r="AL129" i="2" s="1"/>
  <c r="AK127" i="2" a="1"/>
  <c r="AK127" i="2" l="1"/>
  <c r="AK129" i="2" s="1"/>
  <c r="AJ127" i="2" a="1"/>
  <c r="AJ127" i="2" l="1"/>
  <c r="AJ129" i="2" s="1"/>
  <c r="AI127" i="2" a="1"/>
  <c r="AI127" i="2" l="1"/>
  <c r="AI129" i="2" s="1"/>
  <c r="AH127" i="2" a="1"/>
  <c r="AH127" i="2" l="1"/>
  <c r="AH129" i="2" s="1"/>
  <c r="AG127" i="2" a="1"/>
  <c r="AG127" i="2" l="1"/>
  <c r="AG129" i="2" s="1"/>
  <c r="AF127" i="2" a="1"/>
  <c r="AF127" i="2" l="1"/>
  <c r="AF129" i="2" s="1"/>
  <c r="AE127" i="2" a="1"/>
  <c r="AE127" i="2" l="1"/>
  <c r="AE129" i="2" s="1"/>
  <c r="AD127" i="2" a="1"/>
  <c r="AD127" i="2" l="1"/>
  <c r="AD129" i="2" s="1"/>
  <c r="AC127" i="2" a="1"/>
  <c r="AC127" i="2" l="1"/>
  <c r="AC129" i="2" s="1"/>
  <c r="AB127" i="2" a="1"/>
  <c r="AB127" i="2" l="1"/>
  <c r="AB129" i="2" s="1"/>
  <c r="AA127" i="2" a="1"/>
  <c r="AA127" i="2" l="1"/>
  <c r="AA129" i="2" s="1"/>
  <c r="Z127" i="2" a="1"/>
  <c r="Z127" i="2" l="1"/>
  <c r="Z129" i="2" s="1"/>
  <c r="Y127" i="2" a="1"/>
  <c r="Y127" i="2" l="1"/>
  <c r="Y129" i="2" s="1"/>
  <c r="X127" i="2" a="1"/>
  <c r="X127" i="2" l="1"/>
  <c r="X129" i="2" s="1"/>
  <c r="W127" i="2" a="1"/>
  <c r="W127" i="2" l="1"/>
  <c r="W129" i="2" s="1"/>
  <c r="V127" i="2" a="1"/>
  <c r="V127" i="2" l="1"/>
  <c r="V129" i="2" s="1"/>
  <c r="U127" i="2" a="1"/>
  <c r="U127" i="2" l="1"/>
  <c r="U129" i="2" s="1"/>
  <c r="T127" i="2" a="1"/>
  <c r="T127" i="2" l="1"/>
  <c r="T129" i="2" s="1"/>
  <c r="S127" i="2" a="1"/>
  <c r="S127" i="2" l="1"/>
  <c r="S129" i="2" s="1"/>
  <c r="R127" i="2" a="1"/>
  <c r="R127" i="2" l="1"/>
  <c r="R129" i="2" s="1"/>
  <c r="Q127" i="2" a="1"/>
  <c r="Q127" i="2" l="1"/>
  <c r="Q129" i="2" s="1"/>
  <c r="P127" i="2" a="1"/>
  <c r="P127" i="2" l="1"/>
  <c r="P129" i="2" s="1"/>
  <c r="O127" i="2" a="1"/>
  <c r="O127" i="2" l="1"/>
  <c r="O129" i="2" s="1"/>
  <c r="N127" i="2" a="1"/>
  <c r="N127" i="2" l="1"/>
  <c r="N129" i="2" s="1"/>
  <c r="M127" i="2" a="1"/>
  <c r="M127" i="2" l="1"/>
  <c r="M129" i="2" s="1"/>
  <c r="L127" i="2" a="1"/>
  <c r="L127" i="2" l="1"/>
  <c r="L129" i="2" s="1"/>
  <c r="K127" i="2" a="1"/>
  <c r="K127" i="2" l="1"/>
  <c r="K129" i="2" s="1"/>
  <c r="J127" i="2" a="1"/>
  <c r="J127" i="2" l="1"/>
  <c r="J129" i="2" s="1"/>
  <c r="I127" i="2" a="1"/>
  <c r="I127" i="2" l="1"/>
  <c r="I129" i="2" s="1"/>
  <c r="H127" i="2" a="1"/>
  <c r="H127" i="2" l="1"/>
  <c r="H129" i="2" s="1"/>
  <c r="G127" i="2" a="1"/>
  <c r="G127" i="2" l="1"/>
  <c r="G129" i="2" s="1"/>
  <c r="F127" i="2" a="1"/>
  <c r="F127" i="2" l="1"/>
  <c r="F129" i="2" s="1"/>
  <c r="E127" i="2" a="1"/>
  <c r="E127" i="2" l="1"/>
  <c r="E129" i="2" s="1"/>
  <c r="D127" i="2" a="1"/>
  <c r="D127" i="2" l="1"/>
  <c r="D129" i="2" s="1"/>
  <c r="AL126" i="2" a="1"/>
  <c r="AL126" i="2" l="1"/>
  <c r="AK126" i="2" a="1"/>
  <c r="AK126" i="2" l="1"/>
  <c r="AJ126" i="2" a="1"/>
  <c r="AJ126" i="2" l="1"/>
  <c r="AI126" i="2" a="1"/>
  <c r="AI126" i="2" l="1"/>
  <c r="AH126" i="2" a="1"/>
  <c r="AH126" i="2" l="1"/>
  <c r="AG126" i="2" a="1"/>
  <c r="AG126" i="2" l="1"/>
  <c r="AF126" i="2" a="1"/>
  <c r="AF126" i="2" l="1"/>
  <c r="AE126" i="2" a="1"/>
  <c r="AE126" i="2" l="1"/>
  <c r="AD126" i="2" a="1"/>
  <c r="AD126" i="2" l="1"/>
  <c r="AC126" i="2" a="1"/>
  <c r="AC126" i="2" l="1"/>
  <c r="AB126" i="2" a="1"/>
  <c r="AB126" i="2" l="1"/>
  <c r="AA126" i="2" a="1"/>
  <c r="AA126" i="2" l="1"/>
  <c r="Z126" i="2" a="1"/>
  <c r="Z126" i="2" l="1"/>
  <c r="Y126" i="2" a="1"/>
  <c r="Y126" i="2" l="1"/>
  <c r="X126" i="2" a="1"/>
  <c r="X126" i="2" l="1"/>
  <c r="W126" i="2" a="1"/>
  <c r="W126" i="2" l="1"/>
  <c r="V126" i="2" a="1"/>
  <c r="V126" i="2" l="1"/>
  <c r="U126" i="2" a="1"/>
  <c r="U126" i="2" l="1"/>
  <c r="T126" i="2" a="1"/>
  <c r="T126" i="2" l="1"/>
  <c r="S126" i="2" a="1"/>
  <c r="S126" i="2" l="1"/>
  <c r="R126" i="2" a="1"/>
  <c r="R126" i="2" l="1"/>
  <c r="Q126" i="2" a="1"/>
  <c r="Q126" i="2" l="1"/>
  <c r="P126" i="2" a="1"/>
  <c r="P126" i="2" l="1"/>
  <c r="O126" i="2" a="1"/>
  <c r="O126" i="2" l="1"/>
  <c r="N126" i="2" a="1"/>
  <c r="N126" i="2" l="1"/>
  <c r="M126" i="2" a="1"/>
  <c r="M126" i="2" l="1"/>
  <c r="L126" i="2" a="1"/>
  <c r="L126" i="2" l="1"/>
  <c r="K126" i="2" a="1"/>
  <c r="K126" i="2" l="1"/>
  <c r="J126" i="2" a="1"/>
  <c r="J126" i="2" l="1"/>
  <c r="I126" i="2" a="1"/>
  <c r="I126" i="2" l="1"/>
  <c r="H126" i="2" a="1"/>
  <c r="H126" i="2" l="1"/>
  <c r="G126" i="2" a="1"/>
  <c r="G126" i="2" l="1"/>
  <c r="F126" i="2" a="1"/>
  <c r="F126" i="2" l="1"/>
  <c r="E126" i="2" a="1"/>
  <c r="E126" i="2" l="1"/>
  <c r="D126" i="2" a="1"/>
  <c r="D126" i="2" l="1"/>
  <c r="AL125" i="2" a="1"/>
  <c r="AL125" i="2" l="1"/>
  <c r="AK125" i="2" a="1"/>
  <c r="AK125" i="2" l="1"/>
  <c r="AJ125" i="2" a="1"/>
  <c r="AJ125" i="2" l="1"/>
  <c r="AI125" i="2" a="1"/>
  <c r="AI125" i="2" l="1"/>
  <c r="AH125" i="2" a="1"/>
  <c r="AH125" i="2" l="1"/>
  <c r="AG125" i="2" a="1"/>
  <c r="AG125" i="2" l="1"/>
  <c r="AF125" i="2" a="1"/>
  <c r="AF125" i="2" l="1"/>
  <c r="AE125" i="2" a="1"/>
  <c r="AE125" i="2" l="1"/>
  <c r="AD125" i="2" a="1"/>
  <c r="AD125" i="2" l="1"/>
  <c r="AC125" i="2" a="1"/>
  <c r="AC125" i="2" l="1"/>
  <c r="AB125" i="2" a="1"/>
  <c r="AB125" i="2" l="1"/>
  <c r="AA125" i="2" a="1"/>
  <c r="AA125" i="2" l="1"/>
  <c r="Z125" i="2" a="1"/>
  <c r="Z125" i="2" l="1"/>
  <c r="Y125" i="2" a="1"/>
  <c r="Y125" i="2" l="1"/>
  <c r="X125" i="2" a="1"/>
  <c r="X125" i="2" l="1"/>
  <c r="W125" i="2" a="1"/>
  <c r="W125" i="2" l="1"/>
  <c r="V125" i="2" a="1"/>
  <c r="V125" i="2" l="1"/>
  <c r="U125" i="2" a="1"/>
  <c r="U125" i="2" l="1"/>
  <c r="T125" i="2" a="1"/>
  <c r="T125" i="2" l="1"/>
  <c r="S125" i="2" a="1"/>
  <c r="S125" i="2" l="1"/>
  <c r="R125" i="2" a="1"/>
  <c r="R125" i="2" l="1"/>
  <c r="Q125" i="2" a="1"/>
  <c r="Q125" i="2" l="1"/>
  <c r="P125" i="2" a="1"/>
  <c r="P125" i="2" l="1"/>
  <c r="O125" i="2" a="1"/>
  <c r="O125" i="2" l="1"/>
  <c r="N125" i="2" a="1"/>
  <c r="N125" i="2" l="1"/>
  <c r="M125" i="2" a="1"/>
  <c r="M125" i="2" l="1"/>
  <c r="L125" i="2" a="1"/>
  <c r="L125" i="2" l="1"/>
  <c r="K125" i="2" a="1"/>
  <c r="K125" i="2" l="1"/>
  <c r="J125" i="2" a="1"/>
  <c r="J125" i="2" l="1"/>
  <c r="I125" i="2" a="1"/>
  <c r="I125" i="2" l="1"/>
  <c r="H125" i="2" a="1"/>
  <c r="H125" i="2" l="1"/>
  <c r="G125" i="2" a="1"/>
  <c r="G125" i="2" l="1"/>
  <c r="F125" i="2" a="1"/>
  <c r="F125" i="2" l="1"/>
  <c r="E125" i="2" a="1"/>
  <c r="E125" i="2" l="1"/>
  <c r="D125" i="2" a="1"/>
  <c r="D125" i="2" l="1"/>
  <c r="AL124" i="2" a="1"/>
  <c r="AL124" i="2" l="1"/>
  <c r="AK124" i="2" a="1"/>
  <c r="AK124" i="2" l="1"/>
  <c r="AJ124" i="2" a="1"/>
  <c r="AJ124" i="2" l="1"/>
  <c r="AI124" i="2" a="1"/>
  <c r="AI124" i="2" l="1"/>
  <c r="AH124" i="2" a="1"/>
  <c r="AH124" i="2" l="1"/>
  <c r="AG124" i="2" a="1"/>
  <c r="AG124" i="2" l="1"/>
  <c r="AF124" i="2" a="1"/>
  <c r="AF124" i="2" l="1"/>
  <c r="AE124" i="2" a="1"/>
  <c r="AE124" i="2" l="1"/>
  <c r="AD124" i="2" a="1"/>
  <c r="AD124" i="2" l="1"/>
  <c r="AC124" i="2" a="1"/>
  <c r="AC124" i="2" l="1"/>
  <c r="AB124" i="2" a="1"/>
  <c r="AB124" i="2" l="1"/>
  <c r="AA124" i="2" a="1"/>
  <c r="AA124" i="2" l="1"/>
  <c r="Z124" i="2" a="1"/>
  <c r="Z124" i="2" l="1"/>
  <c r="Y124" i="2" a="1"/>
  <c r="Y124" i="2" l="1"/>
  <c r="X124" i="2" a="1"/>
  <c r="X124" i="2" l="1"/>
  <c r="W124" i="2" a="1"/>
  <c r="W124" i="2" l="1"/>
  <c r="V124" i="2" a="1"/>
  <c r="V124" i="2" l="1"/>
  <c r="U124" i="2" a="1"/>
  <c r="U124" i="2" l="1"/>
  <c r="T124" i="2" a="1"/>
  <c r="T124" i="2" l="1"/>
  <c r="S124" i="2" a="1"/>
  <c r="S124" i="2" l="1"/>
  <c r="R124" i="2" a="1"/>
  <c r="R124" i="2" l="1"/>
  <c r="Q124" i="2" a="1"/>
  <c r="Q124" i="2" l="1"/>
  <c r="P124" i="2" a="1"/>
  <c r="P124" i="2" l="1"/>
  <c r="O124" i="2" a="1"/>
  <c r="O124" i="2" l="1"/>
  <c r="N124" i="2" a="1"/>
  <c r="N124" i="2" l="1"/>
  <c r="M124" i="2" a="1"/>
  <c r="M124" i="2" l="1"/>
  <c r="L124" i="2" a="1"/>
  <c r="L124" i="2" l="1"/>
  <c r="K124" i="2" a="1"/>
  <c r="K124" i="2" l="1"/>
  <c r="J124" i="2" a="1"/>
  <c r="J124" i="2" l="1"/>
  <c r="I124" i="2" a="1"/>
  <c r="I124" i="2" l="1"/>
  <c r="H124" i="2" a="1"/>
  <c r="H124" i="2" l="1"/>
  <c r="G124" i="2" a="1"/>
  <c r="G124" i="2" l="1"/>
  <c r="F124" i="2" a="1"/>
  <c r="F124" i="2" l="1"/>
  <c r="E124" i="2" a="1"/>
  <c r="E124" i="2" l="1"/>
  <c r="D124" i="2" a="1"/>
  <c r="D124" i="2" l="1"/>
  <c r="AL123" i="2" a="1"/>
  <c r="AL123" i="2" l="1"/>
  <c r="AK123" i="2" a="1"/>
  <c r="AK123" i="2" l="1"/>
  <c r="AJ123" i="2" a="1"/>
  <c r="AJ123" i="2" l="1"/>
  <c r="AI123" i="2" a="1"/>
  <c r="AI123" i="2" l="1"/>
  <c r="AH123" i="2" a="1"/>
  <c r="AH123" i="2" l="1"/>
  <c r="AG123" i="2" a="1"/>
  <c r="AG123" i="2" l="1"/>
  <c r="AF123" i="2" a="1"/>
  <c r="AF123" i="2" l="1"/>
  <c r="AE123" i="2" a="1"/>
  <c r="AE123" i="2" l="1"/>
  <c r="AD123" i="2" a="1"/>
  <c r="AD123" i="2" l="1"/>
  <c r="AC123" i="2" a="1"/>
  <c r="AC123" i="2" l="1"/>
  <c r="AB123" i="2" a="1"/>
  <c r="AB123" i="2" l="1"/>
  <c r="AA123" i="2" a="1"/>
  <c r="AA123" i="2" l="1"/>
  <c r="Z123" i="2" a="1"/>
  <c r="Z123" i="2" l="1"/>
  <c r="Y123" i="2" a="1"/>
  <c r="Y123" i="2" l="1"/>
  <c r="X123" i="2" a="1"/>
  <c r="X123" i="2" l="1"/>
  <c r="W123" i="2" a="1"/>
  <c r="W123" i="2" l="1"/>
  <c r="V123" i="2" a="1"/>
  <c r="V123" i="2" l="1"/>
  <c r="U123" i="2" a="1"/>
  <c r="U123" i="2" l="1"/>
  <c r="T123" i="2" a="1"/>
  <c r="T123" i="2" l="1"/>
  <c r="S123" i="2" a="1"/>
  <c r="S123" i="2" l="1"/>
  <c r="R123" i="2" a="1"/>
  <c r="R123" i="2" l="1"/>
  <c r="Q123" i="2" a="1"/>
  <c r="Q123" i="2" l="1"/>
  <c r="P123" i="2" a="1"/>
  <c r="P123" i="2" l="1"/>
  <c r="O123" i="2" a="1"/>
  <c r="O123" i="2" l="1"/>
  <c r="N123" i="2" a="1"/>
  <c r="N123" i="2" l="1"/>
  <c r="M123" i="2" a="1"/>
  <c r="M123" i="2" l="1"/>
  <c r="L123" i="2" a="1"/>
  <c r="L123" i="2" l="1"/>
  <c r="K123" i="2" a="1"/>
  <c r="K123" i="2" l="1"/>
  <c r="J123" i="2" a="1"/>
  <c r="J123" i="2" l="1"/>
  <c r="I123" i="2" a="1"/>
  <c r="I123" i="2" l="1"/>
  <c r="H123" i="2" a="1"/>
  <c r="H123" i="2" l="1"/>
  <c r="G123" i="2" a="1"/>
  <c r="G123" i="2" l="1"/>
  <c r="F123" i="2" a="1"/>
  <c r="F123" i="2" l="1"/>
  <c r="E123" i="2" a="1"/>
  <c r="E123" i="2" l="1"/>
  <c r="D123" i="2" a="1"/>
  <c r="D123" i="2" l="1"/>
  <c r="AL122" i="2" a="1"/>
  <c r="AL122" i="2" l="1"/>
  <c r="AK122" i="2" a="1"/>
  <c r="AK122" i="2" l="1"/>
  <c r="AJ122" i="2" a="1"/>
  <c r="AJ122" i="2" l="1"/>
  <c r="AI122" i="2" a="1"/>
  <c r="AI122" i="2" l="1"/>
  <c r="AH122" i="2" a="1"/>
  <c r="AH122" i="2" l="1"/>
  <c r="AG122" i="2" a="1"/>
  <c r="AG122" i="2" l="1"/>
  <c r="AF122" i="2" a="1"/>
  <c r="AF122" i="2" l="1"/>
  <c r="AE122" i="2" a="1"/>
  <c r="AE122" i="2" l="1"/>
  <c r="AD122" i="2" a="1"/>
  <c r="AD122" i="2" l="1"/>
  <c r="AC122" i="2" a="1"/>
  <c r="AC122" i="2" l="1"/>
  <c r="AB122" i="2" a="1"/>
  <c r="AB122" i="2" l="1"/>
  <c r="AA122" i="2" a="1"/>
  <c r="AA122" i="2" l="1"/>
  <c r="Z122" i="2" a="1"/>
  <c r="Z122" i="2" l="1"/>
  <c r="Y122" i="2" a="1"/>
  <c r="Y122" i="2" l="1"/>
  <c r="X122" i="2" a="1"/>
  <c r="X122" i="2" l="1"/>
  <c r="W122" i="2" a="1"/>
  <c r="W122" i="2" l="1"/>
  <c r="V122" i="2" a="1"/>
  <c r="V122" i="2" l="1"/>
  <c r="U122" i="2" a="1"/>
  <c r="U122" i="2" l="1"/>
  <c r="T122" i="2" a="1"/>
  <c r="T122" i="2" l="1"/>
  <c r="S122" i="2" a="1"/>
  <c r="S122" i="2" l="1"/>
  <c r="R122" i="2" a="1"/>
  <c r="R122" i="2" l="1"/>
  <c r="Q122" i="2" a="1"/>
  <c r="Q122" i="2" l="1"/>
  <c r="P122" i="2" a="1"/>
  <c r="P122" i="2" l="1"/>
  <c r="O122" i="2" a="1"/>
  <c r="O122" i="2" l="1"/>
  <c r="N122" i="2" a="1"/>
  <c r="N122" i="2" l="1"/>
  <c r="M122" i="2" a="1"/>
  <c r="M122" i="2" l="1"/>
  <c r="L122" i="2" a="1"/>
  <c r="L122" i="2" l="1"/>
  <c r="K122" i="2" a="1"/>
  <c r="K122" i="2" l="1"/>
  <c r="J122" i="2" a="1"/>
  <c r="J122" i="2" l="1"/>
  <c r="I122" i="2" a="1"/>
  <c r="I122" i="2" l="1"/>
  <c r="H122" i="2" a="1"/>
  <c r="H122" i="2" l="1"/>
  <c r="G122" i="2" a="1"/>
  <c r="G122" i="2" l="1"/>
  <c r="F122" i="2" a="1"/>
  <c r="F122" i="2" l="1"/>
  <c r="E122" i="2" a="1"/>
  <c r="E122" i="2" l="1"/>
  <c r="D122" i="2" a="1"/>
  <c r="D122" i="2" l="1"/>
  <c r="AL121" i="2" a="1"/>
  <c r="AL121" i="2" l="1"/>
  <c r="AK121" i="2" a="1"/>
  <c r="AK121" i="2" l="1"/>
  <c r="AJ121" i="2" a="1"/>
  <c r="AJ121" i="2" l="1"/>
  <c r="AI121" i="2" a="1"/>
  <c r="AI121" i="2" l="1"/>
  <c r="AH121" i="2" a="1"/>
  <c r="AH121" i="2" l="1"/>
  <c r="AG121" i="2" a="1"/>
  <c r="AG121" i="2" l="1"/>
  <c r="AF121" i="2" a="1"/>
  <c r="AF121" i="2" l="1"/>
  <c r="AE121" i="2" a="1"/>
  <c r="AE121" i="2" l="1"/>
  <c r="AD121" i="2" a="1"/>
  <c r="AD121" i="2" l="1"/>
  <c r="AC121" i="2" a="1"/>
  <c r="AC121" i="2" l="1"/>
  <c r="AB121" i="2" a="1"/>
  <c r="AB121" i="2" l="1"/>
  <c r="AA121" i="2" a="1"/>
  <c r="AA121" i="2" l="1"/>
  <c r="Z121" i="2" a="1"/>
  <c r="Z121" i="2" l="1"/>
  <c r="Y121" i="2" a="1"/>
  <c r="Y121" i="2" l="1"/>
  <c r="X121" i="2" a="1"/>
  <c r="X121" i="2" l="1"/>
  <c r="W121" i="2" a="1"/>
  <c r="W121" i="2" l="1"/>
  <c r="V121" i="2" a="1"/>
  <c r="V121" i="2" l="1"/>
  <c r="U121" i="2" a="1"/>
  <c r="U121" i="2" l="1"/>
  <c r="T121" i="2" a="1"/>
  <c r="T121" i="2" l="1"/>
  <c r="S121" i="2" a="1"/>
  <c r="S121" i="2" l="1"/>
  <c r="R121" i="2" a="1"/>
  <c r="R121" i="2" l="1"/>
  <c r="Q121" i="2" a="1"/>
  <c r="Q121" i="2" l="1"/>
  <c r="P121" i="2" a="1"/>
  <c r="P121" i="2" l="1"/>
  <c r="O121" i="2" a="1"/>
  <c r="O121" i="2" l="1"/>
  <c r="N121" i="2" a="1"/>
  <c r="N121" i="2" l="1"/>
  <c r="M121" i="2" a="1"/>
  <c r="M121" i="2" l="1"/>
  <c r="L121" i="2" a="1"/>
  <c r="L121" i="2" l="1"/>
  <c r="K121" i="2" a="1"/>
  <c r="K121" i="2" l="1"/>
  <c r="J121" i="2" a="1"/>
  <c r="J121" i="2" l="1"/>
  <c r="I121" i="2" a="1"/>
  <c r="I121" i="2" l="1"/>
  <c r="H121" i="2" a="1"/>
  <c r="H121" i="2" l="1"/>
  <c r="G121" i="2" a="1"/>
  <c r="G121" i="2" l="1"/>
  <c r="F121" i="2" a="1"/>
  <c r="F121" i="2" l="1"/>
  <c r="E121" i="2" a="1"/>
  <c r="E121" i="2" l="1"/>
  <c r="D121" i="2" a="1"/>
  <c r="D121" i="2" l="1"/>
  <c r="AL117" i="2" a="1"/>
  <c r="AL117" i="2" l="1"/>
  <c r="AK117" i="2" a="1"/>
  <c r="AK117" i="2" l="1"/>
  <c r="AJ117" i="2" a="1"/>
  <c r="AJ117" i="2" l="1"/>
  <c r="AI117" i="2" a="1"/>
  <c r="AI117" i="2" l="1"/>
  <c r="AH117" i="2" a="1"/>
  <c r="AH117" i="2" l="1"/>
  <c r="AG117" i="2" a="1"/>
  <c r="AG117" i="2" l="1"/>
  <c r="AF117" i="2" a="1"/>
  <c r="AF117" i="2" l="1"/>
  <c r="AE117" i="2" a="1"/>
  <c r="AE117" i="2" l="1"/>
  <c r="AD117" i="2" a="1"/>
  <c r="AD117" i="2" l="1"/>
  <c r="AC117" i="2" a="1"/>
  <c r="AC117" i="2" l="1"/>
  <c r="AB117" i="2" a="1"/>
  <c r="AB117" i="2" l="1"/>
  <c r="AA117" i="2" a="1"/>
  <c r="AA117" i="2" l="1"/>
  <c r="Z117" i="2" a="1"/>
  <c r="Z117" i="2" l="1"/>
  <c r="Y117" i="2" a="1"/>
  <c r="Y117" i="2" l="1"/>
  <c r="X117" i="2" a="1"/>
  <c r="X117" i="2" l="1"/>
  <c r="W117" i="2" a="1"/>
  <c r="W117" i="2" l="1"/>
  <c r="V117" i="2" a="1"/>
  <c r="V117" i="2" l="1"/>
  <c r="U117" i="2" a="1"/>
  <c r="U117" i="2" l="1"/>
  <c r="T117" i="2" a="1"/>
  <c r="T117" i="2" l="1"/>
  <c r="S117" i="2" a="1"/>
  <c r="S117" i="2" l="1"/>
  <c r="R117" i="2" a="1"/>
  <c r="R117" i="2" l="1"/>
  <c r="Q117" i="2" a="1"/>
  <c r="Q117" i="2" l="1"/>
  <c r="P117" i="2" a="1"/>
  <c r="P117" i="2" l="1"/>
  <c r="O117" i="2" a="1"/>
  <c r="O117" i="2" l="1"/>
  <c r="N117" i="2" a="1"/>
  <c r="N117" i="2" l="1"/>
  <c r="M117" i="2" a="1"/>
  <c r="M117" i="2" l="1"/>
  <c r="L117" i="2" a="1"/>
  <c r="L117" i="2" l="1"/>
  <c r="K117" i="2" a="1"/>
  <c r="K117" i="2" l="1"/>
  <c r="J117" i="2" a="1"/>
  <c r="J117" i="2" l="1"/>
  <c r="I117" i="2" a="1"/>
  <c r="I117" i="2" l="1"/>
  <c r="H117" i="2" a="1"/>
  <c r="H117" i="2" l="1"/>
  <c r="G117" i="2" a="1"/>
  <c r="G117" i="2" l="1"/>
  <c r="F117" i="2" a="1"/>
  <c r="F117" i="2" l="1"/>
  <c r="E117" i="2" a="1"/>
  <c r="E117" i="2" l="1"/>
  <c r="D117" i="2" a="1"/>
  <c r="D117" i="2" l="1"/>
  <c r="AL116" i="2" a="1"/>
  <c r="AL116" i="2" l="1"/>
  <c r="AK116" i="2" a="1"/>
  <c r="AK116" i="2" l="1"/>
  <c r="AJ116" i="2" a="1"/>
  <c r="AJ116" i="2" l="1"/>
  <c r="AI116" i="2" a="1"/>
  <c r="AI116" i="2" l="1"/>
  <c r="AH116" i="2" a="1"/>
  <c r="AH116" i="2" l="1"/>
  <c r="AG116" i="2" a="1"/>
  <c r="AG116" i="2" l="1"/>
  <c r="AF116" i="2" a="1"/>
  <c r="AF116" i="2" l="1"/>
  <c r="AE116" i="2" a="1"/>
  <c r="AE116" i="2" l="1"/>
  <c r="AD116" i="2" a="1"/>
  <c r="AD116" i="2" l="1"/>
  <c r="AC116" i="2" a="1"/>
  <c r="AC116" i="2" l="1"/>
  <c r="AB116" i="2" a="1"/>
  <c r="AB116" i="2" l="1"/>
  <c r="AA116" i="2" a="1"/>
  <c r="AA116" i="2" l="1"/>
  <c r="Z116" i="2" a="1"/>
  <c r="Z116" i="2" l="1"/>
  <c r="Y116" i="2" a="1"/>
  <c r="Y116" i="2" l="1"/>
  <c r="X116" i="2" a="1"/>
  <c r="X116" i="2" l="1"/>
  <c r="W116" i="2" a="1"/>
  <c r="W116" i="2" l="1"/>
  <c r="V116" i="2" a="1"/>
  <c r="V116" i="2" l="1"/>
  <c r="U116" i="2" a="1"/>
  <c r="U116" i="2" l="1"/>
  <c r="T116" i="2" a="1"/>
  <c r="T116" i="2" l="1"/>
  <c r="S116" i="2" a="1"/>
  <c r="S116" i="2" l="1"/>
  <c r="R116" i="2" a="1"/>
  <c r="R116" i="2" l="1"/>
  <c r="Q116" i="2" a="1"/>
  <c r="Q116" i="2" l="1"/>
  <c r="P116" i="2" a="1"/>
  <c r="P116" i="2" l="1"/>
  <c r="O116" i="2" a="1"/>
  <c r="O116" i="2" l="1"/>
  <c r="N116" i="2" a="1"/>
  <c r="N116" i="2" l="1"/>
  <c r="M116" i="2" a="1"/>
  <c r="M116" i="2" l="1"/>
  <c r="L116" i="2" a="1"/>
  <c r="L116" i="2" l="1"/>
  <c r="K116" i="2" a="1"/>
  <c r="K116" i="2" l="1"/>
  <c r="J116" i="2" a="1"/>
  <c r="J116" i="2" l="1"/>
  <c r="I116" i="2" a="1"/>
  <c r="I116" i="2" l="1"/>
  <c r="H116" i="2" a="1"/>
  <c r="H116" i="2" l="1"/>
  <c r="G116" i="2" a="1"/>
  <c r="G116" i="2" l="1"/>
  <c r="F116" i="2" a="1"/>
  <c r="F116" i="2" l="1"/>
  <c r="E116" i="2" a="1"/>
  <c r="E116" i="2" l="1"/>
  <c r="D116" i="2" a="1"/>
  <c r="D116" i="2" l="1"/>
  <c r="AL115" i="2" a="1"/>
  <c r="AL115" i="2" l="1"/>
  <c r="AK115" i="2" a="1"/>
  <c r="AK115" i="2" l="1"/>
  <c r="AJ115" i="2" a="1"/>
  <c r="AJ115" i="2" l="1"/>
  <c r="AI115" i="2" a="1"/>
  <c r="AI115" i="2" l="1"/>
  <c r="AH115" i="2" a="1"/>
  <c r="AH115" i="2" l="1"/>
  <c r="AG115" i="2" a="1"/>
  <c r="AG115" i="2" l="1"/>
  <c r="AF115" i="2" a="1"/>
  <c r="AF115" i="2" l="1"/>
  <c r="AE115" i="2" a="1"/>
  <c r="AE115" i="2" l="1"/>
  <c r="AD115" i="2" a="1"/>
  <c r="AD115" i="2" l="1"/>
  <c r="AC115" i="2" a="1"/>
  <c r="AC115" i="2" l="1"/>
  <c r="AB115" i="2" a="1"/>
  <c r="AB115" i="2" l="1"/>
  <c r="AA115" i="2" a="1"/>
  <c r="AA115" i="2" l="1"/>
  <c r="Z115" i="2" a="1"/>
  <c r="Z115" i="2" l="1"/>
  <c r="Y115" i="2" a="1"/>
  <c r="Y115" i="2" l="1"/>
  <c r="X115" i="2" a="1"/>
  <c r="X115" i="2" l="1"/>
  <c r="W115" i="2" a="1"/>
  <c r="W115" i="2" l="1"/>
  <c r="V115" i="2" a="1"/>
  <c r="V115" i="2" l="1"/>
  <c r="U115" i="2" a="1"/>
  <c r="U115" i="2" l="1"/>
  <c r="T115" i="2" a="1"/>
  <c r="T115" i="2" l="1"/>
  <c r="S115" i="2" a="1"/>
  <c r="S115" i="2" l="1"/>
  <c r="R115" i="2" a="1"/>
  <c r="R115" i="2" l="1"/>
  <c r="Q115" i="2" a="1"/>
  <c r="Q115" i="2" l="1"/>
  <c r="P115" i="2" a="1"/>
  <c r="P115" i="2" l="1"/>
  <c r="O115" i="2" a="1"/>
  <c r="O115" i="2" l="1"/>
  <c r="N115" i="2" a="1"/>
  <c r="N115" i="2" l="1"/>
  <c r="M115" i="2" a="1"/>
  <c r="M115" i="2" l="1"/>
  <c r="L115" i="2" a="1"/>
  <c r="L115" i="2" l="1"/>
  <c r="K115" i="2" a="1"/>
  <c r="K115" i="2" l="1"/>
  <c r="J115" i="2" a="1"/>
  <c r="J115" i="2" l="1"/>
  <c r="I115" i="2" a="1"/>
  <c r="I115" i="2" l="1"/>
  <c r="H115" i="2" a="1"/>
  <c r="H115" i="2" l="1"/>
  <c r="G115" i="2" a="1"/>
  <c r="G115" i="2" l="1"/>
  <c r="F115" i="2" a="1"/>
  <c r="F115" i="2" l="1"/>
  <c r="E115" i="2" a="1"/>
  <c r="E115" i="2" l="1"/>
  <c r="D115" i="2" a="1"/>
  <c r="D115" i="2" l="1"/>
  <c r="AL114" i="2" a="1"/>
  <c r="AL114" i="2" l="1"/>
  <c r="AK114" i="2" a="1"/>
  <c r="AK114" i="2" l="1"/>
  <c r="AJ114" i="2" a="1"/>
  <c r="AJ114" i="2" l="1"/>
  <c r="AI114" i="2" a="1"/>
  <c r="AI114" i="2" l="1"/>
  <c r="AH114" i="2" a="1"/>
  <c r="AH114" i="2" l="1"/>
  <c r="AG114" i="2" a="1"/>
  <c r="AG114" i="2" l="1"/>
  <c r="AF114" i="2" a="1"/>
  <c r="AF114" i="2" l="1"/>
  <c r="AE114" i="2" a="1"/>
  <c r="AE114" i="2" l="1"/>
  <c r="AD114" i="2" a="1"/>
  <c r="AD114" i="2" l="1"/>
  <c r="AC114" i="2" a="1"/>
  <c r="AC114" i="2" l="1"/>
  <c r="AB114" i="2" a="1"/>
  <c r="AB114" i="2" l="1"/>
  <c r="AA114" i="2" a="1"/>
  <c r="AA114" i="2" l="1"/>
  <c r="Z114" i="2" a="1"/>
  <c r="Z114" i="2" l="1"/>
  <c r="Y114" i="2" a="1"/>
  <c r="Y114" i="2" l="1"/>
  <c r="X114" i="2" a="1"/>
  <c r="X114" i="2" l="1"/>
  <c r="W114" i="2" a="1"/>
  <c r="W114" i="2" l="1"/>
  <c r="V114" i="2" a="1"/>
  <c r="V114" i="2" l="1"/>
  <c r="U114" i="2" a="1"/>
  <c r="U114" i="2" l="1"/>
  <c r="T114" i="2" a="1"/>
  <c r="T114" i="2" l="1"/>
  <c r="S114" i="2" a="1"/>
  <c r="S114" i="2" l="1"/>
  <c r="R114" i="2" a="1"/>
  <c r="R114" i="2" l="1"/>
  <c r="Q114" i="2" a="1"/>
  <c r="Q114" i="2" l="1"/>
  <c r="P114" i="2" a="1"/>
  <c r="P114" i="2" l="1"/>
  <c r="O114" i="2" a="1"/>
  <c r="O114" i="2" l="1"/>
  <c r="N114" i="2" a="1"/>
  <c r="N114" i="2" l="1"/>
  <c r="M114" i="2" a="1"/>
  <c r="M114" i="2" l="1"/>
  <c r="L114" i="2" a="1"/>
  <c r="L114" i="2" l="1"/>
  <c r="K114" i="2" a="1"/>
  <c r="K114" i="2" l="1"/>
  <c r="J114" i="2" a="1"/>
  <c r="J114" i="2" l="1"/>
  <c r="I114" i="2" a="1"/>
  <c r="I114" i="2" l="1"/>
  <c r="H114" i="2" a="1"/>
  <c r="H114" i="2" l="1"/>
  <c r="G114" i="2" a="1"/>
  <c r="G114" i="2" l="1"/>
  <c r="F114" i="2" a="1"/>
  <c r="F114" i="2" l="1"/>
  <c r="E114" i="2" a="1"/>
  <c r="E114" i="2" l="1"/>
  <c r="D114" i="2" a="1"/>
  <c r="D114" i="2" l="1"/>
  <c r="AL111" i="2" a="1"/>
  <c r="AL111" i="2" l="1"/>
  <c r="AK111" i="2" a="1"/>
  <c r="AK111" i="2" l="1"/>
  <c r="AJ111" i="2" a="1"/>
  <c r="AJ111" i="2" l="1"/>
  <c r="AI111" i="2" a="1"/>
  <c r="AI111" i="2" l="1"/>
  <c r="AH111" i="2" a="1"/>
  <c r="AH111" i="2" l="1"/>
  <c r="AG111" i="2" a="1"/>
  <c r="AG111" i="2" l="1"/>
  <c r="AF111" i="2" a="1"/>
  <c r="AF111" i="2" l="1"/>
  <c r="AE111" i="2" a="1"/>
  <c r="AE111" i="2" l="1"/>
  <c r="AD111" i="2" a="1"/>
  <c r="AD111" i="2" l="1"/>
  <c r="AC111" i="2" a="1"/>
  <c r="AC111" i="2" l="1"/>
  <c r="AB111" i="2" a="1"/>
  <c r="AB111" i="2" l="1"/>
  <c r="AA111" i="2" a="1"/>
  <c r="AA111" i="2" l="1"/>
  <c r="Z111" i="2" a="1"/>
  <c r="Z111" i="2" l="1"/>
  <c r="Y111" i="2" a="1"/>
  <c r="Y111" i="2" l="1"/>
  <c r="X111" i="2" a="1"/>
  <c r="X111" i="2" l="1"/>
  <c r="W111" i="2" a="1"/>
  <c r="W111" i="2" l="1"/>
  <c r="V111" i="2" a="1"/>
  <c r="V111" i="2" l="1"/>
  <c r="U111" i="2" a="1"/>
  <c r="U111" i="2" l="1"/>
  <c r="T111" i="2" a="1"/>
  <c r="T111" i="2" l="1"/>
  <c r="S111" i="2" a="1"/>
  <c r="S111" i="2" l="1"/>
  <c r="R111" i="2" a="1"/>
  <c r="R111" i="2" l="1"/>
  <c r="Q111" i="2" a="1"/>
  <c r="Q111" i="2" l="1"/>
  <c r="P111" i="2" a="1"/>
  <c r="P111" i="2" l="1"/>
  <c r="O111" i="2" a="1"/>
  <c r="O111" i="2" l="1"/>
  <c r="N111" i="2" a="1"/>
  <c r="N111" i="2" l="1"/>
  <c r="M111" i="2" a="1"/>
  <c r="M111" i="2" l="1"/>
  <c r="L111" i="2" a="1"/>
  <c r="L111" i="2" l="1"/>
  <c r="K111" i="2" a="1"/>
  <c r="K111" i="2" l="1"/>
  <c r="J111" i="2" a="1"/>
  <c r="J111" i="2" l="1"/>
  <c r="I111" i="2" a="1"/>
  <c r="I111" i="2" l="1"/>
  <c r="H111" i="2" a="1"/>
  <c r="H111" i="2" l="1"/>
  <c r="G111" i="2" a="1"/>
  <c r="G111" i="2" l="1"/>
  <c r="F111" i="2" a="1"/>
  <c r="F111" i="2" l="1"/>
  <c r="E111" i="2" a="1"/>
  <c r="E111" i="2" l="1"/>
  <c r="D111" i="2" a="1"/>
  <c r="D111" i="2" l="1"/>
  <c r="AL110" i="2" a="1"/>
  <c r="AL110" i="2" l="1"/>
  <c r="AK110" i="2" a="1"/>
  <c r="AK110" i="2" l="1"/>
  <c r="AJ110" i="2" a="1"/>
  <c r="AJ110" i="2" l="1"/>
  <c r="AI110" i="2" a="1"/>
  <c r="AI110" i="2" l="1"/>
  <c r="AH110" i="2" a="1"/>
  <c r="AH110" i="2" l="1"/>
  <c r="AG110" i="2" a="1"/>
  <c r="AG110" i="2" l="1"/>
  <c r="AF110" i="2" a="1"/>
  <c r="AF110" i="2" l="1"/>
  <c r="AE110" i="2" a="1"/>
  <c r="AE110" i="2" l="1"/>
  <c r="AD110" i="2" a="1"/>
  <c r="AD110" i="2" l="1"/>
  <c r="AC110" i="2" a="1"/>
  <c r="AC110" i="2" l="1"/>
  <c r="AB110" i="2" a="1"/>
  <c r="AB110" i="2" l="1"/>
  <c r="AA110" i="2" a="1"/>
  <c r="AA110" i="2" l="1"/>
  <c r="Z110" i="2" a="1"/>
  <c r="Z110" i="2" l="1"/>
  <c r="Y110" i="2" a="1"/>
  <c r="Y110" i="2" l="1"/>
  <c r="X110" i="2" a="1"/>
  <c r="X110" i="2" l="1"/>
  <c r="W110" i="2" a="1"/>
  <c r="W110" i="2" l="1"/>
  <c r="V110" i="2" a="1"/>
  <c r="V110" i="2" l="1"/>
  <c r="U110" i="2" a="1"/>
  <c r="U110" i="2" l="1"/>
  <c r="T110" i="2" a="1"/>
  <c r="T110" i="2" l="1"/>
  <c r="S110" i="2" a="1"/>
  <c r="S110" i="2" l="1"/>
  <c r="R110" i="2" a="1"/>
  <c r="R110" i="2" l="1"/>
  <c r="Q110" i="2" a="1"/>
  <c r="Q110" i="2" l="1"/>
  <c r="P110" i="2" a="1"/>
  <c r="P110" i="2" l="1"/>
  <c r="O110" i="2" a="1"/>
  <c r="O110" i="2" l="1"/>
  <c r="N110" i="2" a="1"/>
  <c r="N110" i="2" l="1"/>
  <c r="M110" i="2" a="1"/>
  <c r="M110" i="2" l="1"/>
  <c r="L110" i="2" a="1"/>
  <c r="L110" i="2" l="1"/>
  <c r="K110" i="2" a="1"/>
  <c r="K110" i="2" l="1"/>
  <c r="J110" i="2" a="1"/>
  <c r="J110" i="2" l="1"/>
  <c r="I110" i="2" a="1"/>
  <c r="I110" i="2" l="1"/>
  <c r="H110" i="2" a="1"/>
  <c r="H110" i="2" l="1"/>
  <c r="G110" i="2" a="1"/>
  <c r="G110" i="2" l="1"/>
  <c r="F110" i="2" a="1"/>
  <c r="F110" i="2" l="1"/>
  <c r="E110" i="2" a="1"/>
  <c r="E110" i="2" l="1"/>
  <c r="D110" i="2" a="1"/>
  <c r="D110" i="2" l="1"/>
  <c r="AL109" i="2" a="1"/>
  <c r="AL109" i="2" l="1"/>
  <c r="AK109" i="2" a="1"/>
  <c r="AK109" i="2" l="1"/>
  <c r="AJ109" i="2" a="1"/>
  <c r="AJ109" i="2" l="1"/>
  <c r="AI109" i="2" a="1"/>
  <c r="AI109" i="2" l="1"/>
  <c r="AH109" i="2" a="1"/>
  <c r="AH109" i="2" l="1"/>
  <c r="AG109" i="2" a="1"/>
  <c r="AG109" i="2" l="1"/>
  <c r="AF109" i="2" a="1"/>
  <c r="AF109" i="2" l="1"/>
  <c r="AE109" i="2" a="1"/>
  <c r="AE109" i="2" l="1"/>
  <c r="AD109" i="2" a="1"/>
  <c r="AD109" i="2" l="1"/>
  <c r="AC109" i="2" a="1"/>
  <c r="AC109" i="2" l="1"/>
  <c r="AB109" i="2" a="1"/>
  <c r="AB109" i="2" l="1"/>
  <c r="AA109" i="2" a="1"/>
  <c r="AA109" i="2" l="1"/>
  <c r="Z109" i="2" a="1"/>
  <c r="Z109" i="2" l="1"/>
  <c r="Y109" i="2" a="1"/>
  <c r="Y109" i="2" l="1"/>
  <c r="X109" i="2" a="1"/>
  <c r="X109" i="2" l="1"/>
  <c r="W109" i="2" a="1"/>
  <c r="W109" i="2" l="1"/>
  <c r="V109" i="2" a="1"/>
  <c r="V109" i="2" l="1"/>
  <c r="U109" i="2" a="1"/>
  <c r="U109" i="2" l="1"/>
  <c r="T109" i="2" a="1"/>
  <c r="T109" i="2" l="1"/>
  <c r="S109" i="2" a="1"/>
  <c r="S109" i="2" l="1"/>
  <c r="R109" i="2" a="1"/>
  <c r="R109" i="2" l="1"/>
  <c r="Q109" i="2" a="1"/>
  <c r="Q109" i="2" l="1"/>
  <c r="P109" i="2" a="1"/>
  <c r="P109" i="2" l="1"/>
  <c r="O109" i="2" a="1"/>
  <c r="O109" i="2" l="1"/>
  <c r="N109" i="2" a="1"/>
  <c r="N109" i="2" l="1"/>
  <c r="M109" i="2" a="1"/>
  <c r="M109" i="2" l="1"/>
  <c r="L109" i="2" a="1"/>
  <c r="L109" i="2" l="1"/>
  <c r="K109" i="2" a="1"/>
  <c r="K109" i="2" l="1"/>
  <c r="J109" i="2" a="1"/>
  <c r="J109" i="2" l="1"/>
  <c r="I109" i="2" a="1"/>
  <c r="I109" i="2" l="1"/>
  <c r="H109" i="2" a="1"/>
  <c r="H109" i="2" l="1"/>
  <c r="G109" i="2" a="1"/>
  <c r="G109" i="2" l="1"/>
  <c r="F109" i="2" a="1"/>
  <c r="F109" i="2" l="1"/>
  <c r="E109" i="2" a="1"/>
  <c r="E109" i="2" l="1"/>
  <c r="D109" i="2" a="1"/>
  <c r="D109" i="2" l="1"/>
  <c r="AL105" i="2" a="1"/>
  <c r="AL105" i="2" l="1"/>
  <c r="AL133" i="2" s="1"/>
  <c r="AK105" i="2" a="1"/>
  <c r="AK105" i="2" l="1"/>
  <c r="AK133" i="2" s="1"/>
  <c r="AJ105" i="2" a="1"/>
  <c r="AJ105" i="2" l="1"/>
  <c r="AJ133" i="2" s="1"/>
  <c r="AI105" i="2" a="1"/>
  <c r="AI105" i="2" l="1"/>
  <c r="AI133" i="2" s="1"/>
  <c r="AH105" i="2" a="1"/>
  <c r="AH105" i="2" l="1"/>
  <c r="AH133" i="2" s="1"/>
  <c r="AG105" i="2" a="1"/>
  <c r="AG105" i="2" l="1"/>
  <c r="AG133" i="2" s="1"/>
  <c r="AF105" i="2" a="1"/>
  <c r="AF105" i="2" l="1"/>
  <c r="AF133" i="2" s="1"/>
  <c r="AE105" i="2" a="1"/>
  <c r="AE105" i="2" l="1"/>
  <c r="AE133" i="2" s="1"/>
  <c r="AD105" i="2" a="1"/>
  <c r="AD105" i="2" l="1"/>
  <c r="AD133" i="2" s="1"/>
  <c r="AC105" i="2" a="1"/>
  <c r="AC105" i="2" l="1"/>
  <c r="AC133" i="2" s="1"/>
  <c r="AB105" i="2" a="1"/>
  <c r="AB105" i="2" l="1"/>
  <c r="AB133" i="2" s="1"/>
  <c r="AA105" i="2" a="1"/>
  <c r="AA105" i="2" l="1"/>
  <c r="AA133" i="2" s="1"/>
  <c r="Z105" i="2" a="1"/>
  <c r="Z105" i="2" l="1"/>
  <c r="Z133" i="2" s="1"/>
  <c r="Y105" i="2" a="1"/>
  <c r="Y105" i="2" l="1"/>
  <c r="Y133" i="2" s="1"/>
  <c r="X105" i="2" a="1"/>
  <c r="X105" i="2" l="1"/>
  <c r="X133" i="2" s="1"/>
  <c r="W105" i="2" a="1"/>
  <c r="W105" i="2" l="1"/>
  <c r="W133" i="2" s="1"/>
  <c r="V105" i="2" a="1"/>
  <c r="V105" i="2" l="1"/>
  <c r="V133" i="2" s="1"/>
  <c r="U105" i="2" a="1"/>
  <c r="U105" i="2" l="1"/>
  <c r="U133" i="2" s="1"/>
  <c r="T105" i="2" a="1"/>
  <c r="T105" i="2" l="1"/>
  <c r="T133" i="2" s="1"/>
  <c r="S105" i="2" a="1"/>
  <c r="S105" i="2" l="1"/>
  <c r="S133" i="2" s="1"/>
  <c r="R105" i="2" a="1"/>
  <c r="R105" i="2" l="1"/>
  <c r="R133" i="2" s="1"/>
  <c r="Q105" i="2" a="1"/>
  <c r="Q105" i="2" l="1"/>
  <c r="Q133" i="2" s="1"/>
  <c r="P105" i="2" a="1"/>
  <c r="P105" i="2" l="1"/>
  <c r="P133" i="2" s="1"/>
  <c r="O105" i="2" a="1"/>
  <c r="O105" i="2" l="1"/>
  <c r="O133" i="2" s="1"/>
  <c r="N105" i="2" a="1"/>
  <c r="N105" i="2" l="1"/>
  <c r="N133" i="2" s="1"/>
  <c r="M105" i="2" a="1"/>
  <c r="M105" i="2" l="1"/>
  <c r="M133" i="2" s="1"/>
  <c r="L105" i="2" a="1"/>
  <c r="L105" i="2" l="1"/>
  <c r="L133" i="2" s="1"/>
  <c r="K105" i="2" a="1"/>
  <c r="K105" i="2" l="1"/>
  <c r="K133" i="2" s="1"/>
  <c r="J105" i="2" a="1"/>
  <c r="J105" i="2" l="1"/>
  <c r="J133" i="2" s="1"/>
  <c r="I105" i="2" a="1"/>
  <c r="I105" i="2" l="1"/>
  <c r="I133" i="2" s="1"/>
  <c r="H105" i="2" a="1"/>
  <c r="H105" i="2" l="1"/>
  <c r="H133" i="2" s="1"/>
  <c r="G105" i="2" a="1"/>
  <c r="G105" i="2" l="1"/>
  <c r="G133" i="2" s="1"/>
  <c r="F105" i="2" a="1"/>
  <c r="F105" i="2" l="1"/>
  <c r="F133" i="2" s="1"/>
  <c r="E105" i="2" a="1"/>
  <c r="E105" i="2" l="1"/>
  <c r="E133" i="2" s="1"/>
  <c r="D105" i="2" a="1"/>
  <c r="D105" i="2" l="1"/>
  <c r="D133" i="2" s="1"/>
  <c r="AL104" i="2" a="1"/>
  <c r="AL104" i="2" l="1"/>
  <c r="AK104" i="2" a="1"/>
  <c r="AK104" i="2" l="1"/>
  <c r="AJ104" i="2" a="1"/>
  <c r="AJ104" i="2" l="1"/>
  <c r="AI104" i="2" a="1"/>
  <c r="AI104" i="2" l="1"/>
  <c r="AH104" i="2" a="1"/>
  <c r="AH104" i="2" l="1"/>
  <c r="AG104" i="2" a="1"/>
  <c r="AG104" i="2" l="1"/>
  <c r="AF104" i="2" a="1"/>
  <c r="AF104" i="2" l="1"/>
  <c r="AE104" i="2" a="1"/>
  <c r="AE104" i="2" l="1"/>
  <c r="AD104" i="2" a="1"/>
  <c r="AD104" i="2" l="1"/>
  <c r="AC104" i="2" a="1"/>
  <c r="AC104" i="2" l="1"/>
  <c r="AB104" i="2" a="1"/>
  <c r="AB104" i="2" l="1"/>
  <c r="AA104" i="2" a="1"/>
  <c r="AA104" i="2" l="1"/>
  <c r="Z104" i="2" a="1"/>
  <c r="Z104" i="2" l="1"/>
  <c r="Y104" i="2" a="1"/>
  <c r="Y104" i="2" l="1"/>
  <c r="X104" i="2" a="1"/>
  <c r="X104" i="2" l="1"/>
  <c r="W104" i="2" a="1"/>
  <c r="W104" i="2" l="1"/>
  <c r="V104" i="2" a="1"/>
  <c r="V104" i="2" l="1"/>
  <c r="U104" i="2" a="1"/>
  <c r="U104" i="2" l="1"/>
  <c r="T104" i="2" a="1"/>
  <c r="T104" i="2" l="1"/>
  <c r="S104" i="2" a="1"/>
  <c r="S104" i="2" l="1"/>
  <c r="R104" i="2" a="1"/>
  <c r="R104" i="2" l="1"/>
  <c r="Q104" i="2" a="1"/>
  <c r="Q104" i="2" l="1"/>
  <c r="P104" i="2" a="1"/>
  <c r="P104" i="2" l="1"/>
  <c r="O104" i="2" a="1"/>
  <c r="O104" i="2" l="1"/>
  <c r="N104" i="2" a="1"/>
  <c r="N104" i="2" l="1"/>
  <c r="M104" i="2" a="1"/>
  <c r="M104" i="2" l="1"/>
  <c r="L104" i="2" a="1"/>
  <c r="L104" i="2" l="1"/>
  <c r="K104" i="2" a="1"/>
  <c r="K104" i="2" l="1"/>
  <c r="J104" i="2" a="1"/>
  <c r="J104" i="2" l="1"/>
  <c r="I104" i="2" a="1"/>
  <c r="I104" i="2" l="1"/>
  <c r="H104" i="2" a="1"/>
  <c r="H104" i="2" l="1"/>
  <c r="G104" i="2" a="1"/>
  <c r="G104" i="2" l="1"/>
  <c r="F104" i="2" a="1"/>
  <c r="F104" i="2" l="1"/>
  <c r="E104" i="2" a="1"/>
  <c r="E104" i="2" l="1"/>
  <c r="D104" i="2" a="1"/>
  <c r="D104" i="2" l="1"/>
  <c r="AL103" i="2" a="1"/>
  <c r="AL103" i="2" l="1"/>
  <c r="AK103" i="2" a="1"/>
  <c r="AK103" i="2" l="1"/>
  <c r="AJ103" i="2" a="1"/>
  <c r="AJ103" i="2" l="1"/>
  <c r="AI103" i="2" a="1"/>
  <c r="AI103" i="2" l="1"/>
  <c r="AH103" i="2" a="1"/>
  <c r="AH103" i="2" l="1"/>
  <c r="AG103" i="2" a="1"/>
  <c r="AG103" i="2" l="1"/>
  <c r="AF103" i="2" a="1"/>
  <c r="AF103" i="2" l="1"/>
  <c r="AE103" i="2" a="1"/>
  <c r="AE103" i="2" l="1"/>
  <c r="AD103" i="2" a="1"/>
  <c r="AD103" i="2" l="1"/>
  <c r="AC103" i="2" a="1"/>
  <c r="AC103" i="2" l="1"/>
  <c r="AB103" i="2" a="1"/>
  <c r="AB103" i="2" l="1"/>
  <c r="AA103" i="2" a="1"/>
  <c r="AA103" i="2" l="1"/>
  <c r="Z103" i="2" a="1"/>
  <c r="Z103" i="2" l="1"/>
  <c r="Y103" i="2" a="1"/>
  <c r="Y103" i="2" l="1"/>
  <c r="X103" i="2" a="1"/>
  <c r="X103" i="2" l="1"/>
  <c r="W103" i="2" a="1"/>
  <c r="W103" i="2" l="1"/>
  <c r="V103" i="2" a="1"/>
  <c r="V103" i="2" l="1"/>
  <c r="U103" i="2" a="1"/>
  <c r="U103" i="2" l="1"/>
  <c r="T103" i="2" a="1"/>
  <c r="T103" i="2" l="1"/>
  <c r="S103" i="2" a="1"/>
  <c r="S103" i="2" l="1"/>
  <c r="R103" i="2" a="1"/>
  <c r="R103" i="2" l="1"/>
  <c r="Q103" i="2" a="1"/>
  <c r="Q103" i="2" l="1"/>
  <c r="P103" i="2" a="1"/>
  <c r="P103" i="2" l="1"/>
  <c r="O103" i="2" a="1"/>
  <c r="O103" i="2" l="1"/>
  <c r="N103" i="2" a="1"/>
  <c r="N103" i="2" l="1"/>
  <c r="M103" i="2" a="1"/>
  <c r="M103" i="2" l="1"/>
  <c r="L103" i="2" a="1"/>
  <c r="L103" i="2" l="1"/>
  <c r="K103" i="2" a="1"/>
  <c r="K103" i="2" l="1"/>
  <c r="J103" i="2" a="1"/>
  <c r="J103" i="2" l="1"/>
  <c r="I103" i="2" a="1"/>
  <c r="I103" i="2" l="1"/>
  <c r="H103" i="2" a="1"/>
  <c r="H103" i="2" l="1"/>
  <c r="G103" i="2" a="1"/>
  <c r="G103" i="2" l="1"/>
  <c r="F103" i="2" a="1"/>
  <c r="F103" i="2" l="1"/>
  <c r="E103" i="2" a="1"/>
  <c r="E103" i="2" l="1"/>
  <c r="D103" i="2" a="1"/>
  <c r="D103" i="2" l="1"/>
  <c r="AL102" i="2" a="1"/>
  <c r="AL102" i="2" l="1"/>
  <c r="AK102" i="2" a="1"/>
  <c r="AK102" i="2" l="1"/>
  <c r="AJ102" i="2" a="1"/>
  <c r="AJ102" i="2" l="1"/>
  <c r="AI102" i="2" a="1"/>
  <c r="AI102" i="2" l="1"/>
  <c r="AH102" i="2" a="1"/>
  <c r="AH102" i="2" l="1"/>
  <c r="AG102" i="2" a="1"/>
  <c r="AG102" i="2" l="1"/>
  <c r="AF102" i="2" a="1"/>
  <c r="AF102" i="2" l="1"/>
  <c r="AE102" i="2" a="1"/>
  <c r="AE102" i="2" l="1"/>
  <c r="AD102" i="2" a="1"/>
  <c r="AD102" i="2" l="1"/>
  <c r="AC102" i="2" a="1"/>
  <c r="AC102" i="2" l="1"/>
  <c r="AB102" i="2" a="1"/>
  <c r="AB102" i="2" l="1"/>
  <c r="AA102" i="2" a="1"/>
  <c r="AA102" i="2" l="1"/>
  <c r="Z102" i="2" a="1"/>
  <c r="Z102" i="2" l="1"/>
  <c r="Y102" i="2" a="1"/>
  <c r="Y102" i="2" l="1"/>
  <c r="X102" i="2" a="1"/>
  <c r="X102" i="2" l="1"/>
  <c r="W102" i="2" a="1"/>
  <c r="W102" i="2" l="1"/>
  <c r="V102" i="2" a="1"/>
  <c r="V102" i="2" l="1"/>
  <c r="U102" i="2" a="1"/>
  <c r="U102" i="2" l="1"/>
  <c r="T102" i="2" a="1"/>
  <c r="T102" i="2" l="1"/>
  <c r="S102" i="2" a="1"/>
  <c r="S102" i="2" l="1"/>
  <c r="R102" i="2" a="1"/>
  <c r="R102" i="2" l="1"/>
  <c r="Q102" i="2" a="1"/>
  <c r="Q102" i="2" l="1"/>
  <c r="P102" i="2" a="1"/>
  <c r="P102" i="2" l="1"/>
  <c r="O102" i="2" a="1"/>
  <c r="O102" i="2" l="1"/>
  <c r="N102" i="2" a="1"/>
  <c r="N102" i="2" l="1"/>
  <c r="M102" i="2" a="1"/>
  <c r="M102" i="2" l="1"/>
  <c r="L102" i="2" a="1"/>
  <c r="L102" i="2" l="1"/>
  <c r="K102" i="2" a="1"/>
  <c r="K102" i="2" l="1"/>
  <c r="J102" i="2" a="1"/>
  <c r="J102" i="2" l="1"/>
  <c r="I102" i="2" a="1"/>
  <c r="I102" i="2" l="1"/>
  <c r="H102" i="2" a="1"/>
  <c r="H102" i="2" l="1"/>
  <c r="G102" i="2" a="1"/>
  <c r="G102" i="2" l="1"/>
  <c r="F102" i="2" a="1"/>
  <c r="F102" i="2" l="1"/>
  <c r="E102" i="2" a="1"/>
  <c r="E102" i="2" l="1"/>
  <c r="D102" i="2" a="1"/>
  <c r="D102" i="2" l="1"/>
  <c r="AL100" i="2" a="1"/>
  <c r="AL100" i="2" l="1"/>
  <c r="AK100" i="2" a="1"/>
  <c r="AK100" i="2" l="1"/>
  <c r="AJ100" i="2" a="1"/>
  <c r="AJ100" i="2" l="1"/>
  <c r="AI100" i="2" a="1"/>
  <c r="AI100" i="2" l="1"/>
  <c r="AH100" i="2" a="1"/>
  <c r="AH100" i="2" l="1"/>
  <c r="AG100" i="2" a="1"/>
  <c r="AG100" i="2" l="1"/>
  <c r="AF100" i="2" a="1"/>
  <c r="AF100" i="2" l="1"/>
  <c r="AE100" i="2" a="1"/>
  <c r="AE100" i="2" l="1"/>
  <c r="AD100" i="2" a="1"/>
  <c r="AD100" i="2" l="1"/>
  <c r="AC100" i="2" a="1"/>
  <c r="AC100" i="2" l="1"/>
  <c r="AB100" i="2" a="1"/>
  <c r="AB100" i="2" l="1"/>
  <c r="AA100" i="2" a="1"/>
  <c r="AA100" i="2" l="1"/>
  <c r="Z100" i="2" a="1"/>
  <c r="Z100" i="2" l="1"/>
  <c r="Y100" i="2" a="1"/>
  <c r="Y100" i="2" l="1"/>
  <c r="X100" i="2" a="1"/>
  <c r="X100" i="2" l="1"/>
  <c r="W100" i="2" a="1"/>
  <c r="W100" i="2" l="1"/>
  <c r="V100" i="2" a="1"/>
  <c r="V100" i="2" l="1"/>
  <c r="U100" i="2" a="1"/>
  <c r="U100" i="2" l="1"/>
  <c r="T100" i="2" a="1"/>
  <c r="T100" i="2" l="1"/>
  <c r="S100" i="2" a="1"/>
  <c r="S100" i="2" l="1"/>
  <c r="R100" i="2" a="1"/>
  <c r="R100" i="2" l="1"/>
  <c r="Q100" i="2" a="1"/>
  <c r="Q100" i="2" l="1"/>
  <c r="P100" i="2" a="1"/>
  <c r="P100" i="2" l="1"/>
  <c r="O100" i="2" a="1"/>
  <c r="O100" i="2" l="1"/>
  <c r="N100" i="2" a="1"/>
  <c r="N100" i="2" l="1"/>
  <c r="M100" i="2" a="1"/>
  <c r="M100" i="2" l="1"/>
  <c r="L100" i="2" a="1"/>
  <c r="L100" i="2" l="1"/>
  <c r="K100" i="2" a="1"/>
  <c r="K100" i="2" l="1"/>
  <c r="J100" i="2" a="1"/>
  <c r="J100" i="2" l="1"/>
  <c r="I100" i="2" a="1"/>
  <c r="I100" i="2" l="1"/>
  <c r="H100" i="2" a="1"/>
  <c r="H100" i="2" l="1"/>
  <c r="G100" i="2" a="1"/>
  <c r="G100" i="2" l="1"/>
  <c r="F100" i="2" a="1"/>
  <c r="F100" i="2" l="1"/>
  <c r="E100" i="2" a="1"/>
  <c r="E100" i="2" l="1"/>
  <c r="D100" i="2" a="1"/>
  <c r="D100" i="2" l="1"/>
  <c r="AL99" i="2" a="1"/>
  <c r="AL99" i="2" l="1"/>
  <c r="AK99" i="2" a="1"/>
  <c r="AK99" i="2" l="1"/>
  <c r="AJ99" i="2" a="1"/>
  <c r="AJ99" i="2" l="1"/>
  <c r="AI99" i="2" a="1"/>
  <c r="AI99" i="2" l="1"/>
  <c r="AH99" i="2" a="1"/>
  <c r="AH99" i="2" l="1"/>
  <c r="AG99" i="2" a="1"/>
  <c r="AG99" i="2" l="1"/>
  <c r="AF99" i="2" a="1"/>
  <c r="AF99" i="2" l="1"/>
  <c r="AE99" i="2" a="1"/>
  <c r="AE99" i="2" l="1"/>
  <c r="AD99" i="2" a="1"/>
  <c r="AD99" i="2" l="1"/>
  <c r="AC99" i="2" a="1"/>
  <c r="AC99" i="2" l="1"/>
  <c r="AB99" i="2" a="1"/>
  <c r="AB99" i="2" l="1"/>
  <c r="AA99" i="2" a="1"/>
  <c r="AA99" i="2" l="1"/>
  <c r="Z99" i="2" a="1"/>
  <c r="Z99" i="2" l="1"/>
  <c r="Y99" i="2" a="1"/>
  <c r="Y99" i="2" l="1"/>
  <c r="X99" i="2" a="1"/>
  <c r="X99" i="2" l="1"/>
  <c r="W99" i="2" a="1"/>
  <c r="W99" i="2" l="1"/>
  <c r="V99" i="2" a="1"/>
  <c r="V99" i="2" l="1"/>
  <c r="U99" i="2" a="1"/>
  <c r="U99" i="2" l="1"/>
  <c r="T99" i="2" a="1"/>
  <c r="T99" i="2" l="1"/>
  <c r="S99" i="2" a="1"/>
  <c r="S99" i="2" l="1"/>
  <c r="R99" i="2" a="1"/>
  <c r="R99" i="2" l="1"/>
  <c r="Q99" i="2" a="1"/>
  <c r="Q99" i="2" l="1"/>
  <c r="P99" i="2" a="1"/>
  <c r="P99" i="2" l="1"/>
  <c r="O99" i="2" a="1"/>
  <c r="O99" i="2" l="1"/>
  <c r="N99" i="2" a="1"/>
  <c r="N99" i="2" l="1"/>
  <c r="M99" i="2" a="1"/>
  <c r="M99" i="2" l="1"/>
  <c r="L99" i="2" a="1"/>
  <c r="L99" i="2" l="1"/>
  <c r="K99" i="2" a="1"/>
  <c r="K99" i="2" l="1"/>
  <c r="J99" i="2" a="1"/>
  <c r="J99" i="2" l="1"/>
  <c r="I99" i="2" a="1"/>
  <c r="I99" i="2" l="1"/>
  <c r="H99" i="2" a="1"/>
  <c r="H99" i="2" l="1"/>
  <c r="G99" i="2" a="1"/>
  <c r="G99" i="2" l="1"/>
  <c r="F99" i="2" a="1"/>
  <c r="F99" i="2" l="1"/>
  <c r="E99" i="2" a="1"/>
  <c r="E99" i="2" l="1"/>
  <c r="D99" i="2" a="1"/>
  <c r="D99" i="2" l="1"/>
  <c r="AL98" i="2" a="1"/>
  <c r="AL98" i="2" l="1"/>
  <c r="AK98" i="2" a="1"/>
  <c r="AK98" i="2" l="1"/>
  <c r="AJ98" i="2" a="1"/>
  <c r="AJ98" i="2" l="1"/>
  <c r="AI98" i="2" a="1"/>
  <c r="AI98" i="2" l="1"/>
  <c r="AH98" i="2" a="1"/>
  <c r="AH98" i="2" l="1"/>
  <c r="AG98" i="2" a="1"/>
  <c r="AG98" i="2" l="1"/>
  <c r="AF98" i="2" a="1"/>
  <c r="AF98" i="2" l="1"/>
  <c r="AE98" i="2" a="1"/>
  <c r="AE98" i="2" l="1"/>
  <c r="AD98" i="2" a="1"/>
  <c r="AD98" i="2" l="1"/>
  <c r="AC98" i="2" a="1"/>
  <c r="AC98" i="2" l="1"/>
  <c r="AB98" i="2" a="1"/>
  <c r="AB98" i="2" l="1"/>
  <c r="AA98" i="2" a="1"/>
  <c r="AA98" i="2" l="1"/>
  <c r="Z98" i="2" a="1"/>
  <c r="Z98" i="2" l="1"/>
  <c r="Y98" i="2" a="1"/>
  <c r="Y98" i="2" l="1"/>
  <c r="X98" i="2" a="1"/>
  <c r="X98" i="2" l="1"/>
  <c r="W98" i="2" a="1"/>
  <c r="W98" i="2" l="1"/>
  <c r="V98" i="2" a="1"/>
  <c r="V98" i="2" l="1"/>
  <c r="U98" i="2" a="1"/>
  <c r="U98" i="2" l="1"/>
  <c r="T98" i="2" a="1"/>
  <c r="T98" i="2" l="1"/>
  <c r="S98" i="2" a="1"/>
  <c r="S98" i="2" l="1"/>
  <c r="R98" i="2" a="1"/>
  <c r="R98" i="2" l="1"/>
  <c r="Q98" i="2" a="1"/>
  <c r="Q98" i="2" l="1"/>
  <c r="P98" i="2" a="1"/>
  <c r="P98" i="2" l="1"/>
  <c r="O98" i="2" a="1"/>
  <c r="O98" i="2" l="1"/>
  <c r="N98" i="2" a="1"/>
  <c r="N98" i="2" l="1"/>
  <c r="M98" i="2" a="1"/>
  <c r="M98" i="2" l="1"/>
  <c r="L98" i="2" a="1"/>
  <c r="L98" i="2" l="1"/>
  <c r="K98" i="2" a="1"/>
  <c r="K98" i="2" l="1"/>
  <c r="J98" i="2" a="1"/>
  <c r="J98" i="2" l="1"/>
  <c r="I98" i="2" a="1"/>
  <c r="I98" i="2" l="1"/>
  <c r="H98" i="2" a="1"/>
  <c r="H98" i="2" l="1"/>
  <c r="G98" i="2" a="1"/>
  <c r="G98" i="2" l="1"/>
  <c r="F98" i="2" a="1"/>
  <c r="F98" i="2" l="1"/>
  <c r="E98" i="2" a="1"/>
  <c r="E98" i="2" l="1"/>
  <c r="D98" i="2" a="1"/>
  <c r="D98" i="2" l="1"/>
  <c r="AL97" i="2" a="1"/>
  <c r="AL97" i="2" l="1"/>
  <c r="AK97" i="2" a="1"/>
  <c r="AK97" i="2" l="1"/>
  <c r="AJ97" i="2" a="1"/>
  <c r="AJ97" i="2" l="1"/>
  <c r="AI97" i="2" a="1"/>
  <c r="AI97" i="2" l="1"/>
  <c r="AH97" i="2" a="1"/>
  <c r="AH97" i="2" l="1"/>
  <c r="AG97" i="2" a="1"/>
  <c r="AG97" i="2" l="1"/>
  <c r="AF97" i="2" a="1"/>
  <c r="AF97" i="2" l="1"/>
  <c r="AE97" i="2" a="1"/>
  <c r="AE97" i="2" l="1"/>
  <c r="AD97" i="2" a="1"/>
  <c r="AD97" i="2" l="1"/>
  <c r="AC97" i="2" a="1"/>
  <c r="AC97" i="2" l="1"/>
  <c r="AB97" i="2" a="1"/>
  <c r="AB97" i="2" l="1"/>
  <c r="AA97" i="2" a="1"/>
  <c r="AA97" i="2" l="1"/>
  <c r="Z97" i="2" a="1"/>
  <c r="Z97" i="2" l="1"/>
  <c r="Y97" i="2" a="1"/>
  <c r="Y97" i="2" l="1"/>
  <c r="X97" i="2" a="1"/>
  <c r="X97" i="2" l="1"/>
  <c r="W97" i="2" a="1"/>
  <c r="W97" i="2" l="1"/>
  <c r="V97" i="2" a="1"/>
  <c r="V97" i="2" l="1"/>
  <c r="U97" i="2" a="1"/>
  <c r="U97" i="2" l="1"/>
  <c r="T97" i="2" a="1"/>
  <c r="T97" i="2" l="1"/>
  <c r="S97" i="2" a="1"/>
  <c r="S97" i="2" l="1"/>
  <c r="R97" i="2" a="1"/>
  <c r="R97" i="2" l="1"/>
  <c r="Q97" i="2" a="1"/>
  <c r="Q97" i="2" l="1"/>
  <c r="P97" i="2" a="1"/>
  <c r="P97" i="2" l="1"/>
  <c r="O97" i="2" a="1"/>
  <c r="O97" i="2" l="1"/>
  <c r="N97" i="2" a="1"/>
  <c r="N97" i="2" l="1"/>
  <c r="M97" i="2" a="1"/>
  <c r="M97" i="2" l="1"/>
  <c r="L97" i="2" a="1"/>
  <c r="L97" i="2" l="1"/>
  <c r="K97" i="2" a="1"/>
  <c r="K97" i="2" l="1"/>
  <c r="J97" i="2" a="1"/>
  <c r="J97" i="2" l="1"/>
  <c r="I97" i="2" a="1"/>
  <c r="I97" i="2" l="1"/>
  <c r="H97" i="2" a="1"/>
  <c r="H97" i="2" l="1"/>
  <c r="G97" i="2" a="1"/>
  <c r="G97" i="2" l="1"/>
  <c r="F97" i="2" a="1"/>
  <c r="F97" i="2" l="1"/>
  <c r="E97" i="2" a="1"/>
  <c r="E97" i="2" l="1"/>
  <c r="D97" i="2" a="1"/>
  <c r="D97" i="2" l="1"/>
  <c r="AL96" i="2" a="1"/>
  <c r="AL96" i="2" l="1"/>
  <c r="AK96" i="2" a="1"/>
  <c r="AK96" i="2" l="1"/>
  <c r="AJ96" i="2" a="1"/>
  <c r="AJ96" i="2" l="1"/>
  <c r="AI96" i="2" a="1"/>
  <c r="AI96" i="2" l="1"/>
  <c r="AH96" i="2" a="1"/>
  <c r="AH96" i="2" l="1"/>
  <c r="AG96" i="2" a="1"/>
  <c r="AG96" i="2" l="1"/>
  <c r="AF96" i="2" a="1"/>
  <c r="AF96" i="2" l="1"/>
  <c r="AE96" i="2" a="1"/>
  <c r="AE96" i="2" l="1"/>
  <c r="AD96" i="2" a="1"/>
  <c r="AD96" i="2" l="1"/>
  <c r="AC96" i="2" a="1"/>
  <c r="AC96" i="2" l="1"/>
  <c r="AB96" i="2" a="1"/>
  <c r="AB96" i="2" l="1"/>
  <c r="AA96" i="2" a="1"/>
  <c r="AA96" i="2" l="1"/>
  <c r="Z96" i="2" a="1"/>
  <c r="Z96" i="2" l="1"/>
  <c r="Y96" i="2" a="1"/>
  <c r="Y96" i="2" l="1"/>
  <c r="X96" i="2" a="1"/>
  <c r="X96" i="2" l="1"/>
  <c r="W96" i="2" a="1"/>
  <c r="W96" i="2" l="1"/>
  <c r="V96" i="2" a="1"/>
  <c r="V96" i="2" l="1"/>
  <c r="U96" i="2" a="1"/>
  <c r="U96" i="2" l="1"/>
  <c r="T96" i="2" a="1"/>
  <c r="T96" i="2" l="1"/>
  <c r="S96" i="2" a="1"/>
  <c r="S96" i="2" l="1"/>
  <c r="R96" i="2" a="1"/>
  <c r="R96" i="2" l="1"/>
  <c r="Q96" i="2" a="1"/>
  <c r="Q96" i="2" l="1"/>
  <c r="P96" i="2" a="1"/>
  <c r="P96" i="2" l="1"/>
  <c r="O96" i="2" a="1"/>
  <c r="O96" i="2" l="1"/>
  <c r="N96" i="2" a="1"/>
  <c r="N96" i="2" l="1"/>
  <c r="M96" i="2" a="1"/>
  <c r="M96" i="2" l="1"/>
  <c r="L96" i="2" a="1"/>
  <c r="L96" i="2" l="1"/>
  <c r="K96" i="2" a="1"/>
  <c r="K96" i="2" l="1"/>
  <c r="J96" i="2" a="1"/>
  <c r="J96" i="2" l="1"/>
  <c r="I96" i="2" a="1"/>
  <c r="I96" i="2" l="1"/>
  <c r="H96" i="2" a="1"/>
  <c r="H96" i="2" l="1"/>
  <c r="G96" i="2" a="1"/>
  <c r="G96" i="2" l="1"/>
  <c r="F96" i="2" a="1"/>
  <c r="F96" i="2" l="1"/>
  <c r="E96" i="2" a="1"/>
  <c r="E96" i="2" l="1"/>
  <c r="D96" i="2" a="1"/>
  <c r="D96" i="2" l="1"/>
  <c r="AL91" i="2" a="1"/>
  <c r="AL91" i="2" l="1"/>
  <c r="AK91" i="2" a="1"/>
  <c r="AK91" i="2" l="1"/>
  <c r="AJ91" i="2" a="1"/>
  <c r="AJ91" i="2" l="1"/>
  <c r="AI91" i="2" a="1"/>
  <c r="AI91" i="2" l="1"/>
  <c r="AH91" i="2" a="1"/>
  <c r="AH91" i="2" l="1"/>
  <c r="AG91" i="2" a="1"/>
  <c r="AG91" i="2" l="1"/>
  <c r="AF91" i="2" a="1"/>
  <c r="AF91" i="2" l="1"/>
  <c r="AE91" i="2" a="1"/>
  <c r="AE91" i="2" l="1"/>
  <c r="AD91" i="2" a="1"/>
  <c r="AD91" i="2" l="1"/>
  <c r="AC91" i="2" a="1"/>
  <c r="AC91" i="2" l="1"/>
  <c r="AB91" i="2" a="1"/>
  <c r="AB91" i="2" l="1"/>
  <c r="AA91" i="2" a="1"/>
  <c r="AA91" i="2" l="1"/>
  <c r="Z91" i="2" a="1"/>
  <c r="Z91" i="2" l="1"/>
  <c r="Y91" i="2" a="1"/>
  <c r="Y91" i="2" l="1"/>
  <c r="X91" i="2" a="1"/>
  <c r="X91" i="2" l="1"/>
  <c r="W91" i="2" a="1"/>
  <c r="W91" i="2" l="1"/>
  <c r="V91" i="2" a="1"/>
  <c r="V91" i="2" l="1"/>
  <c r="U91" i="2" a="1"/>
  <c r="U91" i="2" l="1"/>
  <c r="T91" i="2" a="1"/>
  <c r="T91" i="2" l="1"/>
  <c r="S91" i="2" a="1"/>
  <c r="S91" i="2" l="1"/>
  <c r="R91" i="2" a="1"/>
  <c r="R91" i="2" l="1"/>
  <c r="Q91" i="2" a="1"/>
  <c r="Q91" i="2" l="1"/>
  <c r="P91" i="2" a="1"/>
  <c r="P91" i="2" l="1"/>
  <c r="O91" i="2" a="1"/>
  <c r="O91" i="2" l="1"/>
  <c r="N91" i="2" a="1"/>
  <c r="N91" i="2" l="1"/>
  <c r="M91" i="2" a="1"/>
  <c r="M91" i="2" l="1"/>
  <c r="L91" i="2" a="1"/>
  <c r="L91" i="2" l="1"/>
  <c r="K91" i="2" a="1"/>
  <c r="K91" i="2" l="1"/>
  <c r="J91" i="2" a="1"/>
  <c r="J91" i="2" l="1"/>
  <c r="I91" i="2" a="1"/>
  <c r="I91" i="2" l="1"/>
  <c r="H91" i="2" a="1"/>
  <c r="H91" i="2" l="1"/>
  <c r="G91" i="2" a="1"/>
  <c r="G91" i="2" l="1"/>
  <c r="F91" i="2" a="1"/>
  <c r="F91" i="2" l="1"/>
  <c r="E91" i="2" a="1"/>
  <c r="E91" i="2" l="1"/>
  <c r="D91" i="2" a="1"/>
  <c r="D91" i="2" l="1"/>
  <c r="AL87" i="2" a="1"/>
  <c r="AL87" i="2" l="1"/>
  <c r="AK87" i="2" a="1"/>
  <c r="AK87" i="2" l="1"/>
  <c r="AJ87" i="2" a="1"/>
  <c r="AJ87" i="2" l="1"/>
  <c r="AI87" i="2" a="1"/>
  <c r="AI87" i="2" l="1"/>
  <c r="AH87" i="2" a="1"/>
  <c r="AH87" i="2" l="1"/>
  <c r="AG87" i="2" a="1"/>
  <c r="AG87" i="2" l="1"/>
  <c r="AF87" i="2" a="1"/>
  <c r="AF87" i="2" l="1"/>
  <c r="AE87" i="2" a="1"/>
  <c r="AE87" i="2" l="1"/>
  <c r="AD87" i="2" a="1"/>
  <c r="AD87" i="2" l="1"/>
  <c r="AC87" i="2" a="1"/>
  <c r="AC87" i="2" l="1"/>
  <c r="AB87" i="2" a="1"/>
  <c r="AB87" i="2" l="1"/>
  <c r="AA87" i="2" a="1"/>
  <c r="AA87" i="2" l="1"/>
  <c r="Z87" i="2" a="1"/>
  <c r="Z87" i="2" l="1"/>
  <c r="Y87" i="2" a="1"/>
  <c r="Y87" i="2" l="1"/>
  <c r="X87" i="2" a="1"/>
  <c r="X87" i="2" l="1"/>
  <c r="W87" i="2" a="1"/>
  <c r="W87" i="2" l="1"/>
  <c r="V87" i="2" a="1"/>
  <c r="V87" i="2" l="1"/>
  <c r="U87" i="2" a="1"/>
  <c r="U87" i="2" l="1"/>
  <c r="T87" i="2" a="1"/>
  <c r="T87" i="2" l="1"/>
  <c r="S87" i="2" a="1"/>
  <c r="S87" i="2" l="1"/>
  <c r="R87" i="2" a="1"/>
  <c r="R87" i="2" l="1"/>
  <c r="Q87" i="2" a="1"/>
  <c r="Q87" i="2" l="1"/>
  <c r="P87" i="2" a="1"/>
  <c r="P87" i="2" l="1"/>
  <c r="O87" i="2" a="1"/>
  <c r="O87" i="2" l="1"/>
  <c r="N87" i="2" a="1"/>
  <c r="N87" i="2" l="1"/>
  <c r="M87" i="2" a="1"/>
  <c r="M87" i="2" l="1"/>
  <c r="L87" i="2" a="1"/>
  <c r="L87" i="2" l="1"/>
  <c r="K87" i="2" a="1"/>
  <c r="K87" i="2" l="1"/>
  <c r="J87" i="2" a="1"/>
  <c r="J87" i="2" l="1"/>
  <c r="I87" i="2" a="1"/>
  <c r="I87" i="2" l="1"/>
  <c r="H87" i="2" a="1"/>
  <c r="H87" i="2" l="1"/>
  <c r="G87" i="2" a="1"/>
  <c r="G87" i="2" l="1"/>
  <c r="F87" i="2" a="1"/>
  <c r="F87" i="2" l="1"/>
  <c r="E87" i="2" a="1"/>
  <c r="E87" i="2" l="1"/>
  <c r="D87" i="2" a="1"/>
  <c r="D87" i="2" l="1"/>
  <c r="AL85" i="2" a="1"/>
  <c r="AL85" i="2" l="1"/>
  <c r="AK85" i="2" a="1"/>
  <c r="AK85" i="2" l="1"/>
  <c r="AJ85" i="2" a="1"/>
  <c r="AJ85" i="2" l="1"/>
  <c r="AI85" i="2" a="1"/>
  <c r="AI85" i="2" l="1"/>
  <c r="AH85" i="2" a="1"/>
  <c r="AH85" i="2" l="1"/>
  <c r="AG85" i="2" a="1"/>
  <c r="AG85" i="2" l="1"/>
  <c r="AF85" i="2" a="1"/>
  <c r="AF85" i="2" l="1"/>
  <c r="AE85" i="2" a="1"/>
  <c r="AE85" i="2" l="1"/>
  <c r="AD85" i="2" a="1"/>
  <c r="AD85" i="2" l="1"/>
  <c r="AC85" i="2" a="1"/>
  <c r="AC85" i="2" l="1"/>
  <c r="AB85" i="2" a="1"/>
  <c r="AB85" i="2" l="1"/>
  <c r="AA85" i="2" a="1"/>
  <c r="AA85" i="2" l="1"/>
  <c r="Z85" i="2" a="1"/>
  <c r="Z85" i="2" l="1"/>
  <c r="Y85" i="2" a="1"/>
  <c r="Y85" i="2" l="1"/>
  <c r="X85" i="2" a="1"/>
  <c r="X85" i="2" l="1"/>
  <c r="W85" i="2" a="1"/>
  <c r="W85" i="2" l="1"/>
  <c r="V85" i="2" a="1"/>
  <c r="V85" i="2" l="1"/>
  <c r="U85" i="2" a="1"/>
  <c r="U85" i="2" l="1"/>
  <c r="T85" i="2" a="1"/>
  <c r="T85" i="2" l="1"/>
  <c r="S85" i="2" a="1"/>
  <c r="S85" i="2" l="1"/>
  <c r="R85" i="2" a="1"/>
  <c r="R85" i="2" l="1"/>
  <c r="Q85" i="2" a="1"/>
  <c r="Q85" i="2" l="1"/>
  <c r="P85" i="2" a="1"/>
  <c r="P85" i="2" l="1"/>
  <c r="O85" i="2" a="1"/>
  <c r="O85" i="2" l="1"/>
  <c r="N85" i="2" a="1"/>
  <c r="N85" i="2" l="1"/>
  <c r="M85" i="2" a="1"/>
  <c r="M85" i="2" l="1"/>
  <c r="L85" i="2" a="1"/>
  <c r="L85" i="2" l="1"/>
  <c r="K85" i="2" a="1"/>
  <c r="K85" i="2" l="1"/>
  <c r="J85" i="2" a="1"/>
  <c r="J85" i="2" l="1"/>
  <c r="I85" i="2" a="1"/>
  <c r="I85" i="2" l="1"/>
  <c r="H85" i="2" a="1"/>
  <c r="H85" i="2" l="1"/>
  <c r="G85" i="2" a="1"/>
  <c r="G85" i="2" l="1"/>
  <c r="F85" i="2" a="1"/>
  <c r="F85" i="2" l="1"/>
  <c r="E85" i="2" a="1"/>
  <c r="E85" i="2" l="1"/>
  <c r="D85" i="2" a="1"/>
  <c r="D85" i="2" l="1"/>
  <c r="AL82" i="2" a="1"/>
  <c r="AL82" i="2" l="1"/>
  <c r="AK82" i="2" a="1"/>
  <c r="AK82" i="2" l="1"/>
  <c r="AJ82" i="2" a="1"/>
  <c r="AJ82" i="2" l="1"/>
  <c r="AI82" i="2" a="1"/>
  <c r="AI82" i="2" l="1"/>
  <c r="AH82" i="2" a="1"/>
  <c r="AH82" i="2" l="1"/>
  <c r="AG82" i="2" a="1"/>
  <c r="AG82" i="2" l="1"/>
  <c r="AF82" i="2" a="1"/>
  <c r="AF82" i="2" l="1"/>
  <c r="AE82" i="2" a="1"/>
  <c r="AE82" i="2" l="1"/>
  <c r="AD82" i="2" a="1"/>
  <c r="AD82" i="2" l="1"/>
  <c r="AC82" i="2" a="1"/>
  <c r="AC82" i="2" l="1"/>
  <c r="AB82" i="2" a="1"/>
  <c r="AB82" i="2" l="1"/>
  <c r="AA82" i="2" a="1"/>
  <c r="AA82" i="2" l="1"/>
  <c r="Z82" i="2" a="1"/>
  <c r="Z82" i="2" l="1"/>
  <c r="Y82" i="2" a="1"/>
  <c r="Y82" i="2" l="1"/>
  <c r="X82" i="2" a="1"/>
  <c r="X82" i="2" l="1"/>
  <c r="W82" i="2" a="1"/>
  <c r="W82" i="2" l="1"/>
  <c r="V82" i="2" a="1"/>
  <c r="V82" i="2" l="1"/>
  <c r="U82" i="2" a="1"/>
  <c r="U82" i="2" l="1"/>
  <c r="T82" i="2" a="1"/>
  <c r="T82" i="2" l="1"/>
  <c r="S82" i="2" a="1"/>
  <c r="S82" i="2" l="1"/>
  <c r="R82" i="2" a="1"/>
  <c r="R82" i="2" l="1"/>
  <c r="Q82" i="2" a="1"/>
  <c r="Q82" i="2" l="1"/>
  <c r="P82" i="2" a="1"/>
  <c r="P82" i="2" l="1"/>
  <c r="O82" i="2" a="1"/>
  <c r="O82" i="2" l="1"/>
  <c r="N82" i="2" a="1"/>
  <c r="N82" i="2" l="1"/>
  <c r="M82" i="2" a="1"/>
  <c r="M82" i="2" l="1"/>
  <c r="L82" i="2" a="1"/>
  <c r="L82" i="2" l="1"/>
  <c r="K82" i="2" a="1"/>
  <c r="K82" i="2" l="1"/>
  <c r="J82" i="2" a="1"/>
  <c r="J82" i="2" l="1"/>
  <c r="I82" i="2" a="1"/>
  <c r="I82" i="2" l="1"/>
  <c r="H82" i="2" a="1"/>
  <c r="H82" i="2" l="1"/>
  <c r="G82" i="2" a="1"/>
  <c r="G82" i="2" l="1"/>
  <c r="F82" i="2" a="1"/>
  <c r="F82" i="2" l="1"/>
  <c r="E82" i="2" a="1"/>
  <c r="E82" i="2" l="1"/>
  <c r="D82" i="2" a="1"/>
  <c r="D82" i="2" l="1"/>
  <c r="AL80" i="2" a="1"/>
  <c r="AL80" i="2" l="1"/>
  <c r="AK80" i="2" a="1"/>
  <c r="AK80" i="2" l="1"/>
  <c r="AJ80" i="2" a="1"/>
  <c r="AJ80" i="2" l="1"/>
  <c r="AI80" i="2" a="1"/>
  <c r="AI80" i="2" l="1"/>
  <c r="AH80" i="2" a="1"/>
  <c r="AH80" i="2" l="1"/>
  <c r="AG80" i="2" a="1"/>
  <c r="AG80" i="2" l="1"/>
  <c r="AF80" i="2" a="1"/>
  <c r="AF80" i="2" l="1"/>
  <c r="AE80" i="2" a="1"/>
  <c r="AE80" i="2" l="1"/>
  <c r="AD80" i="2" a="1"/>
  <c r="AD80" i="2" l="1"/>
  <c r="AC80" i="2" a="1"/>
  <c r="AC80" i="2" l="1"/>
  <c r="AB80" i="2" a="1"/>
  <c r="AB80" i="2" l="1"/>
  <c r="AA80" i="2" a="1"/>
  <c r="AA80" i="2" l="1"/>
  <c r="Z80" i="2" a="1"/>
  <c r="Z80" i="2" l="1"/>
  <c r="Y80" i="2" a="1"/>
  <c r="Y80" i="2" l="1"/>
  <c r="X80" i="2" a="1"/>
  <c r="X80" i="2" l="1"/>
  <c r="W80" i="2" a="1"/>
  <c r="W80" i="2" l="1"/>
  <c r="V80" i="2" a="1"/>
  <c r="V80" i="2" l="1"/>
  <c r="U80" i="2" a="1"/>
  <c r="U80" i="2" l="1"/>
  <c r="T80" i="2" a="1"/>
  <c r="T80" i="2" l="1"/>
  <c r="S80" i="2" a="1"/>
  <c r="S80" i="2" l="1"/>
  <c r="R80" i="2" a="1"/>
  <c r="R80" i="2" l="1"/>
  <c r="Q80" i="2" a="1"/>
  <c r="Q80" i="2" l="1"/>
  <c r="P80" i="2" a="1"/>
  <c r="P80" i="2" l="1"/>
  <c r="O80" i="2" a="1"/>
  <c r="O80" i="2" l="1"/>
  <c r="N80" i="2" a="1"/>
  <c r="N80" i="2" l="1"/>
  <c r="M80" i="2" a="1"/>
  <c r="M80" i="2" l="1"/>
  <c r="L80" i="2" a="1"/>
  <c r="L80" i="2" l="1"/>
  <c r="K80" i="2" a="1"/>
  <c r="K80" i="2" l="1"/>
  <c r="J80" i="2" a="1"/>
  <c r="J80" i="2" l="1"/>
  <c r="I80" i="2" a="1"/>
  <c r="I80" i="2" l="1"/>
  <c r="H80" i="2" a="1"/>
  <c r="H80" i="2" l="1"/>
  <c r="G80" i="2" a="1"/>
  <c r="G80" i="2" l="1"/>
  <c r="F80" i="2" a="1"/>
  <c r="F80" i="2" l="1"/>
  <c r="E80" i="2" a="1"/>
  <c r="E80" i="2" l="1"/>
  <c r="D80" i="2" a="1"/>
  <c r="D80" i="2" l="1"/>
  <c r="AL79" i="2" a="1"/>
  <c r="AL79" i="2" l="1"/>
  <c r="AL81" i="2" s="1"/>
  <c r="AL83" i="2" s="1"/>
  <c r="AK79" i="2" a="1"/>
  <c r="AK79" i="2" l="1"/>
  <c r="AK81" i="2" s="1"/>
  <c r="AK83" i="2" s="1"/>
  <c r="AJ79" i="2" a="1"/>
  <c r="AJ79" i="2" l="1"/>
  <c r="AJ81" i="2" s="1"/>
  <c r="AJ83" i="2" s="1"/>
  <c r="AI79" i="2" a="1"/>
  <c r="AI79" i="2" l="1"/>
  <c r="AI81" i="2" s="1"/>
  <c r="AI83" i="2" s="1"/>
  <c r="AH79" i="2" a="1"/>
  <c r="AH79" i="2" l="1"/>
  <c r="AH81" i="2" s="1"/>
  <c r="AH83" i="2" s="1"/>
  <c r="AG79" i="2" a="1"/>
  <c r="AG79" i="2" l="1"/>
  <c r="AG81" i="2" s="1"/>
  <c r="AG83" i="2" s="1"/>
  <c r="AF79" i="2" a="1"/>
  <c r="AF79" i="2" l="1"/>
  <c r="AF81" i="2" s="1"/>
  <c r="AF83" i="2" s="1"/>
  <c r="AE79" i="2" a="1"/>
  <c r="AE79" i="2" l="1"/>
  <c r="AE81" i="2" s="1"/>
  <c r="AE83" i="2" s="1"/>
  <c r="AD79" i="2" a="1"/>
  <c r="AD79" i="2" l="1"/>
  <c r="AD81" i="2" s="1"/>
  <c r="AD83" i="2" s="1"/>
  <c r="AC79" i="2" a="1"/>
  <c r="AC79" i="2" l="1"/>
  <c r="AC81" i="2" s="1"/>
  <c r="AC83" i="2" s="1"/>
  <c r="AB79" i="2" a="1"/>
  <c r="AB79" i="2" l="1"/>
  <c r="AB81" i="2" s="1"/>
  <c r="AB83" i="2" s="1"/>
  <c r="AA79" i="2" a="1"/>
  <c r="AA79" i="2" l="1"/>
  <c r="AA81" i="2" s="1"/>
  <c r="AA83" i="2" s="1"/>
  <c r="Z79" i="2" a="1"/>
  <c r="Z79" i="2" l="1"/>
  <c r="Z81" i="2" s="1"/>
  <c r="Z83" i="2" s="1"/>
  <c r="Y79" i="2" a="1"/>
  <c r="Y79" i="2" l="1"/>
  <c r="Y81" i="2" s="1"/>
  <c r="Y83" i="2" s="1"/>
  <c r="X79" i="2" a="1"/>
  <c r="X79" i="2" l="1"/>
  <c r="X81" i="2" s="1"/>
  <c r="X83" i="2" s="1"/>
  <c r="W79" i="2" a="1"/>
  <c r="W79" i="2" l="1"/>
  <c r="W81" i="2" s="1"/>
  <c r="W83" i="2" s="1"/>
  <c r="V79" i="2" a="1"/>
  <c r="V79" i="2" l="1"/>
  <c r="V81" i="2" s="1"/>
  <c r="V83" i="2" s="1"/>
  <c r="U79" i="2" a="1"/>
  <c r="U79" i="2" l="1"/>
  <c r="U81" i="2" s="1"/>
  <c r="U83" i="2" s="1"/>
  <c r="T79" i="2" a="1"/>
  <c r="T79" i="2" l="1"/>
  <c r="T81" i="2" s="1"/>
  <c r="T83" i="2" s="1"/>
  <c r="S79" i="2" a="1"/>
  <c r="S79" i="2" l="1"/>
  <c r="S81" i="2" s="1"/>
  <c r="S83" i="2" s="1"/>
  <c r="R79" i="2" a="1"/>
  <c r="R79" i="2" l="1"/>
  <c r="R81" i="2" s="1"/>
  <c r="R83" i="2" s="1"/>
  <c r="Q79" i="2" a="1"/>
  <c r="Q79" i="2" l="1"/>
  <c r="Q81" i="2" s="1"/>
  <c r="Q83" i="2" s="1"/>
  <c r="P79" i="2" a="1"/>
  <c r="P79" i="2" l="1"/>
  <c r="P81" i="2" s="1"/>
  <c r="P83" i="2" s="1"/>
  <c r="O79" i="2" a="1"/>
  <c r="O79" i="2" l="1"/>
  <c r="O81" i="2" s="1"/>
  <c r="O83" i="2" s="1"/>
  <c r="N79" i="2" a="1"/>
  <c r="N79" i="2" l="1"/>
  <c r="N81" i="2" s="1"/>
  <c r="N83" i="2" s="1"/>
  <c r="M79" i="2" a="1"/>
  <c r="M79" i="2" l="1"/>
  <c r="M81" i="2" s="1"/>
  <c r="M83" i="2" s="1"/>
  <c r="L79" i="2" a="1"/>
  <c r="L79" i="2" l="1"/>
  <c r="L81" i="2" s="1"/>
  <c r="L83" i="2" s="1"/>
  <c r="K79" i="2" a="1"/>
  <c r="K79" i="2" l="1"/>
  <c r="K81" i="2" s="1"/>
  <c r="K83" i="2" s="1"/>
  <c r="J79" i="2" a="1"/>
  <c r="J79" i="2" l="1"/>
  <c r="J81" i="2" s="1"/>
  <c r="J83" i="2" s="1"/>
  <c r="I79" i="2" a="1"/>
  <c r="I79" i="2" l="1"/>
  <c r="I81" i="2" s="1"/>
  <c r="I83" i="2" s="1"/>
  <c r="H79" i="2" a="1"/>
  <c r="H79" i="2" l="1"/>
  <c r="H81" i="2" s="1"/>
  <c r="H83" i="2" s="1"/>
  <c r="G79" i="2" a="1"/>
  <c r="G79" i="2" l="1"/>
  <c r="G81" i="2" s="1"/>
  <c r="G83" i="2" s="1"/>
  <c r="F79" i="2" a="1"/>
  <c r="F79" i="2" l="1"/>
  <c r="F81" i="2" s="1"/>
  <c r="F83" i="2" s="1"/>
  <c r="E79" i="2" a="1"/>
  <c r="E79" i="2" l="1"/>
  <c r="E81" i="2" s="1"/>
  <c r="E83" i="2" s="1"/>
  <c r="D79" i="2" a="1"/>
  <c r="D79" i="2" l="1"/>
  <c r="D81" i="2" s="1"/>
  <c r="D83" i="2" s="1"/>
  <c r="AL77" i="2" a="1"/>
  <c r="AL77" i="2" l="1"/>
  <c r="AK77" i="2" a="1"/>
  <c r="AK77" i="2" l="1"/>
  <c r="AJ77" i="2" a="1"/>
  <c r="AJ77" i="2" l="1"/>
  <c r="AI77" i="2" a="1"/>
  <c r="AI77" i="2" l="1"/>
  <c r="AH77" i="2" a="1"/>
  <c r="AH77" i="2" l="1"/>
  <c r="AG77" i="2" a="1"/>
  <c r="AG77" i="2" l="1"/>
  <c r="AF77" i="2" a="1"/>
  <c r="AF77" i="2" l="1"/>
  <c r="AE77" i="2" a="1"/>
  <c r="AE77" i="2" l="1"/>
  <c r="AD77" i="2" a="1"/>
  <c r="AD77" i="2" l="1"/>
  <c r="AC77" i="2" a="1"/>
  <c r="AC77" i="2" l="1"/>
  <c r="AB77" i="2" a="1"/>
  <c r="AB77" i="2" l="1"/>
  <c r="AA77" i="2" a="1"/>
  <c r="AA77" i="2" l="1"/>
  <c r="Z77" i="2" a="1"/>
  <c r="Z77" i="2" l="1"/>
  <c r="Y77" i="2" a="1"/>
  <c r="Y77" i="2" l="1"/>
  <c r="X77" i="2" a="1"/>
  <c r="X77" i="2" l="1"/>
  <c r="W77" i="2" a="1"/>
  <c r="W77" i="2" l="1"/>
  <c r="V77" i="2" a="1"/>
  <c r="V77" i="2" l="1"/>
  <c r="U77" i="2" a="1"/>
  <c r="U77" i="2" l="1"/>
  <c r="T77" i="2" a="1"/>
  <c r="T77" i="2" l="1"/>
  <c r="S77" i="2" a="1"/>
  <c r="S77" i="2" l="1"/>
  <c r="R77" i="2" a="1"/>
  <c r="R77" i="2" l="1"/>
  <c r="Q77" i="2" a="1"/>
  <c r="Q77" i="2" l="1"/>
  <c r="P77" i="2" a="1"/>
  <c r="P77" i="2" l="1"/>
  <c r="O77" i="2" a="1"/>
  <c r="O77" i="2" l="1"/>
  <c r="N77" i="2" a="1"/>
  <c r="N77" i="2" l="1"/>
  <c r="M77" i="2" a="1"/>
  <c r="M77" i="2" l="1"/>
  <c r="L77" i="2" a="1"/>
  <c r="L77" i="2" l="1"/>
  <c r="K77" i="2" a="1"/>
  <c r="K77" i="2" l="1"/>
  <c r="J77" i="2" a="1"/>
  <c r="J77" i="2" l="1"/>
  <c r="I77" i="2" a="1"/>
  <c r="I77" i="2" l="1"/>
  <c r="H77" i="2" a="1"/>
  <c r="H77" i="2" l="1"/>
  <c r="G77" i="2" a="1"/>
  <c r="G77" i="2" l="1"/>
  <c r="F77" i="2" a="1"/>
  <c r="F77" i="2" l="1"/>
  <c r="E77" i="2" a="1"/>
  <c r="E77" i="2" l="1"/>
  <c r="D77" i="2" a="1"/>
  <c r="D77" i="2" l="1"/>
  <c r="AL76" i="2" a="1"/>
  <c r="AL76" i="2" l="1"/>
  <c r="AK76" i="2" a="1"/>
  <c r="AK76" i="2" l="1"/>
  <c r="AJ76" i="2" a="1"/>
  <c r="AJ76" i="2" l="1"/>
  <c r="AI76" i="2" a="1"/>
  <c r="AI76" i="2" l="1"/>
  <c r="AH76" i="2" a="1"/>
  <c r="AH76" i="2" l="1"/>
  <c r="AG76" i="2" a="1"/>
  <c r="AG76" i="2" l="1"/>
  <c r="AF76" i="2" a="1"/>
  <c r="AF76" i="2" l="1"/>
  <c r="AE76" i="2" a="1"/>
  <c r="AE76" i="2" l="1"/>
  <c r="AD76" i="2" a="1"/>
  <c r="AD76" i="2" l="1"/>
  <c r="AC76" i="2" a="1"/>
  <c r="AC76" i="2" l="1"/>
  <c r="AB76" i="2" a="1"/>
  <c r="AB76" i="2" l="1"/>
  <c r="AA76" i="2" a="1"/>
  <c r="AA76" i="2" l="1"/>
  <c r="Z76" i="2" a="1"/>
  <c r="Z76" i="2" l="1"/>
  <c r="Y76" i="2" a="1"/>
  <c r="Y76" i="2" l="1"/>
  <c r="X76" i="2" a="1"/>
  <c r="X76" i="2" l="1"/>
  <c r="W76" i="2" a="1"/>
  <c r="W76" i="2" l="1"/>
  <c r="V76" i="2" a="1"/>
  <c r="V76" i="2" l="1"/>
  <c r="U76" i="2" a="1"/>
  <c r="U76" i="2" l="1"/>
  <c r="T76" i="2" a="1"/>
  <c r="T76" i="2" l="1"/>
  <c r="S76" i="2" a="1"/>
  <c r="S76" i="2" l="1"/>
  <c r="R76" i="2" a="1"/>
  <c r="R76" i="2" l="1"/>
  <c r="Q76" i="2" a="1"/>
  <c r="Q76" i="2" l="1"/>
  <c r="P76" i="2" a="1"/>
  <c r="P76" i="2" l="1"/>
  <c r="O76" i="2" a="1"/>
  <c r="O76" i="2" l="1"/>
  <c r="N76" i="2" a="1"/>
  <c r="N76" i="2" l="1"/>
  <c r="M76" i="2" a="1"/>
  <c r="M76" i="2" l="1"/>
  <c r="L76" i="2" a="1"/>
  <c r="L76" i="2" l="1"/>
  <c r="K76" i="2" a="1"/>
  <c r="K76" i="2" l="1"/>
  <c r="J76" i="2" a="1"/>
  <c r="J76" i="2" l="1"/>
  <c r="I76" i="2" a="1"/>
  <c r="I76" i="2" l="1"/>
  <c r="H76" i="2" a="1"/>
  <c r="H76" i="2" l="1"/>
  <c r="G76" i="2" a="1"/>
  <c r="G76" i="2" l="1"/>
  <c r="F76" i="2" a="1"/>
  <c r="F76" i="2" l="1"/>
  <c r="E76" i="2" a="1"/>
  <c r="E76" i="2" l="1"/>
  <c r="D76" i="2" a="1"/>
  <c r="D76" i="2" l="1"/>
  <c r="AL75" i="2" a="1"/>
  <c r="AL75" i="2" l="1"/>
  <c r="AL78" i="2" s="1"/>
  <c r="AK75" i="2" a="1"/>
  <c r="AK75" i="2" l="1"/>
  <c r="AK78" i="2" s="1"/>
  <c r="AJ75" i="2" a="1"/>
  <c r="AJ75" i="2" l="1"/>
  <c r="AJ78" i="2" s="1"/>
  <c r="AI75" i="2" a="1"/>
  <c r="AI75" i="2" l="1"/>
  <c r="AI78" i="2" s="1"/>
  <c r="AH75" i="2" a="1"/>
  <c r="AH75" i="2" l="1"/>
  <c r="AH78" i="2" s="1"/>
  <c r="AG75" i="2" a="1"/>
  <c r="AG75" i="2" l="1"/>
  <c r="AG78" i="2" s="1"/>
  <c r="AF75" i="2" a="1"/>
  <c r="AF75" i="2" l="1"/>
  <c r="AF78" i="2" s="1"/>
  <c r="AE75" i="2" a="1"/>
  <c r="AE75" i="2" l="1"/>
  <c r="AE78" i="2" s="1"/>
  <c r="AD75" i="2" a="1"/>
  <c r="AD75" i="2" l="1"/>
  <c r="AD78" i="2" s="1"/>
  <c r="AC75" i="2" a="1"/>
  <c r="AC75" i="2" l="1"/>
  <c r="AC78" i="2" s="1"/>
  <c r="AB75" i="2" a="1"/>
  <c r="AB75" i="2" l="1"/>
  <c r="AB78" i="2" s="1"/>
  <c r="AA75" i="2" a="1"/>
  <c r="AA75" i="2" l="1"/>
  <c r="AA78" i="2" s="1"/>
  <c r="Z75" i="2" a="1"/>
  <c r="Z75" i="2" l="1"/>
  <c r="Z78" i="2" s="1"/>
  <c r="Y75" i="2" a="1"/>
  <c r="Y75" i="2" l="1"/>
  <c r="Y78" i="2" s="1"/>
  <c r="X75" i="2" a="1"/>
  <c r="X75" i="2" l="1"/>
  <c r="X78" i="2" s="1"/>
  <c r="W75" i="2" a="1"/>
  <c r="W75" i="2" l="1"/>
  <c r="W78" i="2" s="1"/>
  <c r="V75" i="2" a="1"/>
  <c r="V75" i="2" l="1"/>
  <c r="V78" i="2" s="1"/>
  <c r="U75" i="2" a="1"/>
  <c r="U75" i="2" l="1"/>
  <c r="U78" i="2" s="1"/>
  <c r="T75" i="2" a="1"/>
  <c r="T75" i="2" l="1"/>
  <c r="T78" i="2" s="1"/>
  <c r="S75" i="2" a="1"/>
  <c r="S75" i="2" l="1"/>
  <c r="S78" i="2" s="1"/>
  <c r="R75" i="2" a="1"/>
  <c r="R75" i="2" l="1"/>
  <c r="R78" i="2" s="1"/>
  <c r="Q75" i="2" a="1"/>
  <c r="Q75" i="2" l="1"/>
  <c r="Q78" i="2" s="1"/>
  <c r="P75" i="2" a="1"/>
  <c r="P75" i="2" l="1"/>
  <c r="P78" i="2" s="1"/>
  <c r="O75" i="2" a="1"/>
  <c r="O75" i="2" l="1"/>
  <c r="O78" i="2" s="1"/>
  <c r="N75" i="2" a="1"/>
  <c r="N75" i="2" l="1"/>
  <c r="N78" i="2" s="1"/>
  <c r="M75" i="2" a="1"/>
  <c r="M75" i="2" l="1"/>
  <c r="M78" i="2" s="1"/>
  <c r="L75" i="2" a="1"/>
  <c r="L75" i="2" l="1"/>
  <c r="L78" i="2" s="1"/>
  <c r="K75" i="2" a="1"/>
  <c r="K75" i="2" l="1"/>
  <c r="K78" i="2" s="1"/>
  <c r="J75" i="2" a="1"/>
  <c r="J75" i="2" l="1"/>
  <c r="J78" i="2" s="1"/>
  <c r="I75" i="2" a="1"/>
  <c r="I75" i="2" l="1"/>
  <c r="I78" i="2" s="1"/>
  <c r="H75" i="2" a="1"/>
  <c r="H75" i="2" l="1"/>
  <c r="H78" i="2" s="1"/>
  <c r="G75" i="2" a="1"/>
  <c r="G75" i="2" l="1"/>
  <c r="G78" i="2" s="1"/>
  <c r="F75" i="2" a="1"/>
  <c r="F75" i="2" l="1"/>
  <c r="F78" i="2" s="1"/>
  <c r="E75" i="2" a="1"/>
  <c r="E75" i="2" l="1"/>
  <c r="E78" i="2" s="1"/>
  <c r="D75" i="2" a="1"/>
  <c r="D75" i="2" l="1"/>
  <c r="D78" i="2" s="1"/>
  <c r="AL73" i="2" a="1"/>
  <c r="AL73" i="2" l="1"/>
  <c r="AK73" i="2" a="1"/>
  <c r="AK73" i="2" l="1"/>
  <c r="AJ73" i="2" a="1"/>
  <c r="AJ73" i="2" l="1"/>
  <c r="AI73" i="2" a="1"/>
  <c r="AI73" i="2" l="1"/>
  <c r="AH73" i="2" a="1"/>
  <c r="AH73" i="2" l="1"/>
  <c r="AG73" i="2" a="1"/>
  <c r="AG73" i="2" l="1"/>
  <c r="AF73" i="2" a="1"/>
  <c r="AF73" i="2" l="1"/>
  <c r="AE73" i="2" a="1"/>
  <c r="AE73" i="2" l="1"/>
  <c r="AD73" i="2" a="1"/>
  <c r="AD73" i="2" l="1"/>
  <c r="AC73" i="2" a="1"/>
  <c r="AC73" i="2" l="1"/>
  <c r="AB73" i="2" a="1"/>
  <c r="AB73" i="2" l="1"/>
  <c r="AA73" i="2" a="1"/>
  <c r="AA73" i="2" l="1"/>
  <c r="Z73" i="2" a="1"/>
  <c r="Z73" i="2" l="1"/>
  <c r="Y73" i="2" a="1"/>
  <c r="Y73" i="2" l="1"/>
  <c r="X73" i="2" a="1"/>
  <c r="X73" i="2" l="1"/>
  <c r="W73" i="2" a="1"/>
  <c r="W73" i="2" l="1"/>
  <c r="V73" i="2" a="1"/>
  <c r="V73" i="2" l="1"/>
  <c r="U73" i="2" a="1"/>
  <c r="U73" i="2" l="1"/>
  <c r="T73" i="2" a="1"/>
  <c r="T73" i="2" l="1"/>
  <c r="S73" i="2" a="1"/>
  <c r="S73" i="2" l="1"/>
  <c r="R73" i="2" a="1"/>
  <c r="R73" i="2" l="1"/>
  <c r="Q73" i="2" a="1"/>
  <c r="Q73" i="2" l="1"/>
  <c r="P73" i="2" a="1"/>
  <c r="P73" i="2" l="1"/>
  <c r="O73" i="2" a="1"/>
  <c r="O73" i="2" l="1"/>
  <c r="N73" i="2" a="1"/>
  <c r="N73" i="2" l="1"/>
  <c r="M73" i="2" a="1"/>
  <c r="M73" i="2" l="1"/>
  <c r="L73" i="2" a="1"/>
  <c r="L73" i="2" l="1"/>
  <c r="K73" i="2" a="1"/>
  <c r="K73" i="2" l="1"/>
  <c r="J73" i="2" a="1"/>
  <c r="J73" i="2" l="1"/>
  <c r="I73" i="2" a="1"/>
  <c r="I73" i="2" l="1"/>
  <c r="H73" i="2" a="1"/>
  <c r="H73" i="2" l="1"/>
  <c r="G73" i="2" a="1"/>
  <c r="G73" i="2" l="1"/>
  <c r="F73" i="2" a="1"/>
  <c r="F73" i="2" l="1"/>
  <c r="E73" i="2" a="1"/>
  <c r="E73" i="2" l="1"/>
  <c r="D73" i="2" a="1"/>
  <c r="D73" i="2" l="1"/>
  <c r="AL72" i="2" a="1"/>
  <c r="AL72" i="2" l="1"/>
  <c r="AK72" i="2" a="1"/>
  <c r="AK72" i="2" l="1"/>
  <c r="AJ72" i="2" a="1"/>
  <c r="AJ72" i="2" l="1"/>
  <c r="AI72" i="2" a="1"/>
  <c r="AI72" i="2" l="1"/>
  <c r="AH72" i="2" a="1"/>
  <c r="AH72" i="2" l="1"/>
  <c r="AG72" i="2" a="1"/>
  <c r="AG72" i="2" l="1"/>
  <c r="AF72" i="2" a="1"/>
  <c r="AF72" i="2" l="1"/>
  <c r="AE72" i="2" a="1"/>
  <c r="AE72" i="2" l="1"/>
  <c r="AD72" i="2" a="1"/>
  <c r="AD72" i="2" l="1"/>
  <c r="AC72" i="2" a="1"/>
  <c r="AC72" i="2" l="1"/>
  <c r="AB72" i="2" a="1"/>
  <c r="AB72" i="2" l="1"/>
  <c r="AA72" i="2" a="1"/>
  <c r="AA72" i="2" l="1"/>
  <c r="Z72" i="2" a="1"/>
  <c r="Z72" i="2" l="1"/>
  <c r="Y72" i="2" a="1"/>
  <c r="Y72" i="2" l="1"/>
  <c r="X72" i="2" a="1"/>
  <c r="X72" i="2" l="1"/>
  <c r="W72" i="2" a="1"/>
  <c r="W72" i="2" l="1"/>
  <c r="V72" i="2" a="1"/>
  <c r="V72" i="2" l="1"/>
  <c r="U72" i="2" a="1"/>
  <c r="U72" i="2" l="1"/>
  <c r="T72" i="2" a="1"/>
  <c r="T72" i="2" l="1"/>
  <c r="S72" i="2" a="1"/>
  <c r="S72" i="2" l="1"/>
  <c r="R72" i="2" a="1"/>
  <c r="R72" i="2" l="1"/>
  <c r="Q72" i="2" a="1"/>
  <c r="Q72" i="2" l="1"/>
  <c r="P72" i="2" a="1"/>
  <c r="P72" i="2" l="1"/>
  <c r="O72" i="2" a="1"/>
  <c r="O72" i="2" l="1"/>
  <c r="N72" i="2" a="1"/>
  <c r="N72" i="2" l="1"/>
  <c r="M72" i="2" a="1"/>
  <c r="M72" i="2" l="1"/>
  <c r="L72" i="2" a="1"/>
  <c r="L72" i="2" l="1"/>
  <c r="K72" i="2" a="1"/>
  <c r="K72" i="2" l="1"/>
  <c r="J72" i="2" a="1"/>
  <c r="J72" i="2" l="1"/>
  <c r="I72" i="2" a="1"/>
  <c r="I72" i="2" l="1"/>
  <c r="H72" i="2" a="1"/>
  <c r="H72" i="2" l="1"/>
  <c r="G72" i="2" a="1"/>
  <c r="G72" i="2" l="1"/>
  <c r="F72" i="2" a="1"/>
  <c r="F72" i="2" l="1"/>
  <c r="E72" i="2" a="1"/>
  <c r="E72" i="2" l="1"/>
  <c r="D72" i="2" a="1"/>
  <c r="D72" i="2" l="1"/>
  <c r="AL70" i="2" a="1"/>
  <c r="AL70" i="2" l="1"/>
  <c r="AK70" i="2" a="1"/>
  <c r="AK70" i="2" l="1"/>
  <c r="AJ70" i="2" a="1"/>
  <c r="AJ70" i="2" l="1"/>
  <c r="AI70" i="2" a="1"/>
  <c r="AI70" i="2" l="1"/>
  <c r="AH70" i="2" a="1"/>
  <c r="AH70" i="2" l="1"/>
  <c r="AG70" i="2" a="1"/>
  <c r="AG70" i="2" l="1"/>
  <c r="AF70" i="2" a="1"/>
  <c r="AF70" i="2" l="1"/>
  <c r="AE70" i="2" a="1"/>
  <c r="AE70" i="2" l="1"/>
  <c r="AD70" i="2" a="1"/>
  <c r="AD70" i="2" l="1"/>
  <c r="AC70" i="2" a="1"/>
  <c r="AC70" i="2" l="1"/>
  <c r="AB70" i="2" a="1"/>
  <c r="AB70" i="2" l="1"/>
  <c r="AA70" i="2" a="1"/>
  <c r="AA70" i="2" l="1"/>
  <c r="Z70" i="2" a="1"/>
  <c r="Z70" i="2" l="1"/>
  <c r="Y70" i="2" a="1"/>
  <c r="Y70" i="2" l="1"/>
  <c r="X70" i="2" a="1"/>
  <c r="X70" i="2" l="1"/>
  <c r="W70" i="2" a="1"/>
  <c r="W70" i="2" l="1"/>
  <c r="V70" i="2" a="1"/>
  <c r="V70" i="2" l="1"/>
  <c r="U70" i="2" a="1"/>
  <c r="U70" i="2" l="1"/>
  <c r="T70" i="2" a="1"/>
  <c r="T70" i="2" l="1"/>
  <c r="S70" i="2" a="1"/>
  <c r="S70" i="2" l="1"/>
  <c r="R70" i="2" a="1"/>
  <c r="R70" i="2" l="1"/>
  <c r="Q70" i="2" a="1"/>
  <c r="Q70" i="2" l="1"/>
  <c r="P70" i="2" a="1"/>
  <c r="P70" i="2" l="1"/>
  <c r="O70" i="2" a="1"/>
  <c r="O70" i="2" l="1"/>
  <c r="N70" i="2" a="1"/>
  <c r="N70" i="2" l="1"/>
  <c r="M70" i="2" a="1"/>
  <c r="M70" i="2" l="1"/>
  <c r="L70" i="2" a="1"/>
  <c r="L70" i="2" l="1"/>
  <c r="K70" i="2" a="1"/>
  <c r="K70" i="2" l="1"/>
  <c r="J70" i="2" a="1"/>
  <c r="J70" i="2" l="1"/>
  <c r="I70" i="2" a="1"/>
  <c r="I70" i="2" l="1"/>
  <c r="H70" i="2" a="1"/>
  <c r="H70" i="2" l="1"/>
  <c r="G70" i="2" a="1"/>
  <c r="G70" i="2" l="1"/>
  <c r="F70" i="2" a="1"/>
  <c r="F70" i="2" l="1"/>
  <c r="E70" i="2" a="1"/>
  <c r="E70" i="2" l="1"/>
  <c r="D70" i="2" a="1"/>
  <c r="D70" i="2" l="1"/>
  <c r="AL69" i="2" a="1"/>
  <c r="AL69" i="2" l="1"/>
  <c r="AK69" i="2" a="1"/>
  <c r="AK69" i="2" l="1"/>
  <c r="AJ69" i="2" a="1"/>
  <c r="AJ69" i="2" l="1"/>
  <c r="AI69" i="2" a="1"/>
  <c r="AI69" i="2" l="1"/>
  <c r="AH69" i="2" a="1"/>
  <c r="AH69" i="2" l="1"/>
  <c r="AG69" i="2" a="1"/>
  <c r="AG69" i="2" l="1"/>
  <c r="AF69" i="2" a="1"/>
  <c r="AF69" i="2" l="1"/>
  <c r="AE69" i="2" a="1"/>
  <c r="AE69" i="2" l="1"/>
  <c r="AD69" i="2" a="1"/>
  <c r="AD69" i="2" l="1"/>
  <c r="AC69" i="2" a="1"/>
  <c r="AC69" i="2" l="1"/>
  <c r="AB69" i="2" a="1"/>
  <c r="AB69" i="2" l="1"/>
  <c r="AA69" i="2" a="1"/>
  <c r="AA69" i="2" l="1"/>
  <c r="Z69" i="2" a="1"/>
  <c r="Z69" i="2" l="1"/>
  <c r="Y69" i="2" a="1"/>
  <c r="Y69" i="2" l="1"/>
  <c r="X69" i="2" a="1"/>
  <c r="X69" i="2" l="1"/>
  <c r="W69" i="2" a="1"/>
  <c r="W69" i="2" l="1"/>
  <c r="V69" i="2" a="1"/>
  <c r="V69" i="2" l="1"/>
  <c r="U69" i="2" a="1"/>
  <c r="U69" i="2" l="1"/>
  <c r="T69" i="2" a="1"/>
  <c r="T69" i="2" l="1"/>
  <c r="S69" i="2" a="1"/>
  <c r="S69" i="2" l="1"/>
  <c r="R69" i="2" a="1"/>
  <c r="R69" i="2" l="1"/>
  <c r="Q69" i="2" a="1"/>
  <c r="Q69" i="2" l="1"/>
  <c r="P69" i="2" a="1"/>
  <c r="P69" i="2" l="1"/>
  <c r="O69" i="2" a="1"/>
  <c r="O69" i="2" l="1"/>
  <c r="N69" i="2" a="1"/>
  <c r="N69" i="2" l="1"/>
  <c r="M69" i="2" a="1"/>
  <c r="M69" i="2" l="1"/>
  <c r="L69" i="2" a="1"/>
  <c r="L69" i="2" l="1"/>
  <c r="K69" i="2" a="1"/>
  <c r="K69" i="2" l="1"/>
  <c r="J69" i="2" a="1"/>
  <c r="J69" i="2" l="1"/>
  <c r="I69" i="2" a="1"/>
  <c r="I69" i="2" l="1"/>
  <c r="H69" i="2" a="1"/>
  <c r="H69" i="2" l="1"/>
  <c r="G69" i="2" a="1"/>
  <c r="G69" i="2" l="1"/>
  <c r="F69" i="2" a="1"/>
  <c r="F69" i="2" l="1"/>
  <c r="E69" i="2" a="1"/>
  <c r="E69" i="2" l="1"/>
  <c r="D69" i="2" a="1"/>
  <c r="D69" i="2" l="1"/>
  <c r="AL68" i="2" a="1"/>
  <c r="AL68" i="2" l="1"/>
  <c r="AK68" i="2" a="1"/>
  <c r="AK68" i="2" l="1"/>
  <c r="AJ68" i="2" a="1"/>
  <c r="AJ68" i="2" l="1"/>
  <c r="AI68" i="2" a="1"/>
  <c r="AI68" i="2" l="1"/>
  <c r="AH68" i="2" a="1"/>
  <c r="AH68" i="2" l="1"/>
  <c r="AG68" i="2" a="1"/>
  <c r="AG68" i="2" l="1"/>
  <c r="AF68" i="2" a="1"/>
  <c r="AF68" i="2" l="1"/>
  <c r="AE68" i="2" a="1"/>
  <c r="AE68" i="2" l="1"/>
  <c r="AD68" i="2" a="1"/>
  <c r="AD68" i="2" l="1"/>
  <c r="AC68" i="2" a="1"/>
  <c r="AC68" i="2" l="1"/>
  <c r="AB68" i="2" a="1"/>
  <c r="AB68" i="2" l="1"/>
  <c r="AA68" i="2" a="1"/>
  <c r="AA68" i="2" l="1"/>
  <c r="Z68" i="2" a="1"/>
  <c r="Z68" i="2" l="1"/>
  <c r="Y68" i="2" a="1"/>
  <c r="Y68" i="2" l="1"/>
  <c r="X68" i="2" a="1"/>
  <c r="X68" i="2" l="1"/>
  <c r="W68" i="2" a="1"/>
  <c r="W68" i="2" l="1"/>
  <c r="V68" i="2" a="1"/>
  <c r="V68" i="2" l="1"/>
  <c r="U68" i="2" a="1"/>
  <c r="U68" i="2" l="1"/>
  <c r="T68" i="2" a="1"/>
  <c r="T68" i="2" l="1"/>
  <c r="S68" i="2" a="1"/>
  <c r="S68" i="2" l="1"/>
  <c r="R68" i="2" a="1"/>
  <c r="R68" i="2" l="1"/>
  <c r="Q68" i="2" a="1"/>
  <c r="Q68" i="2" l="1"/>
  <c r="P68" i="2" a="1"/>
  <c r="P68" i="2" l="1"/>
  <c r="O68" i="2" a="1"/>
  <c r="O68" i="2" l="1"/>
  <c r="N68" i="2" a="1"/>
  <c r="N68" i="2" l="1"/>
  <c r="M68" i="2" a="1"/>
  <c r="M68" i="2" l="1"/>
  <c r="L68" i="2" a="1"/>
  <c r="L68" i="2" l="1"/>
  <c r="K68" i="2" a="1"/>
  <c r="K68" i="2" l="1"/>
  <c r="J68" i="2" a="1"/>
  <c r="J68" i="2" l="1"/>
  <c r="I68" i="2" a="1"/>
  <c r="I68" i="2" l="1"/>
  <c r="H68" i="2" a="1"/>
  <c r="H68" i="2" l="1"/>
  <c r="G68" i="2" a="1"/>
  <c r="G68" i="2" l="1"/>
  <c r="F68" i="2" a="1"/>
  <c r="F68" i="2" l="1"/>
  <c r="E68" i="2" a="1"/>
  <c r="E68" i="2" l="1"/>
  <c r="D68" i="2" a="1"/>
  <c r="D68" i="2" l="1"/>
  <c r="AL67" i="2" a="1"/>
  <c r="AL67" i="2" l="1"/>
  <c r="AK67" i="2" a="1"/>
  <c r="AK67" i="2" l="1"/>
  <c r="AJ67" i="2" a="1"/>
  <c r="AJ67" i="2" l="1"/>
  <c r="AI67" i="2" a="1"/>
  <c r="AI67" i="2" l="1"/>
  <c r="AH67" i="2" a="1"/>
  <c r="AH67" i="2" l="1"/>
  <c r="AG67" i="2" a="1"/>
  <c r="AG67" i="2" l="1"/>
  <c r="AF67" i="2" a="1"/>
  <c r="AF67" i="2" l="1"/>
  <c r="AE67" i="2" a="1"/>
  <c r="AE67" i="2" l="1"/>
  <c r="AD67" i="2" a="1"/>
  <c r="AD67" i="2" l="1"/>
  <c r="AC67" i="2" a="1"/>
  <c r="AC67" i="2" l="1"/>
  <c r="AB67" i="2" a="1"/>
  <c r="AB67" i="2" l="1"/>
  <c r="AA67" i="2" a="1"/>
  <c r="AA67" i="2" l="1"/>
  <c r="Z67" i="2" a="1"/>
  <c r="Z67" i="2" l="1"/>
  <c r="Y67" i="2" a="1"/>
  <c r="Y67" i="2" l="1"/>
  <c r="X67" i="2" a="1"/>
  <c r="X67" i="2" l="1"/>
  <c r="W67" i="2" a="1"/>
  <c r="W67" i="2" l="1"/>
  <c r="V67" i="2" a="1"/>
  <c r="V67" i="2" l="1"/>
  <c r="U67" i="2" a="1"/>
  <c r="U67" i="2" l="1"/>
  <c r="T67" i="2" a="1"/>
  <c r="T67" i="2" l="1"/>
  <c r="S67" i="2" a="1"/>
  <c r="S67" i="2" l="1"/>
  <c r="R67" i="2" a="1"/>
  <c r="R67" i="2" l="1"/>
  <c r="Q67" i="2" a="1"/>
  <c r="Q67" i="2" l="1"/>
  <c r="P67" i="2" a="1"/>
  <c r="P67" i="2" l="1"/>
  <c r="O67" i="2" a="1"/>
  <c r="O67" i="2" l="1"/>
  <c r="N67" i="2" a="1"/>
  <c r="N67" i="2" l="1"/>
  <c r="M67" i="2" a="1"/>
  <c r="M67" i="2" l="1"/>
  <c r="L67" i="2" a="1"/>
  <c r="L67" i="2" l="1"/>
  <c r="K67" i="2" a="1"/>
  <c r="K67" i="2" l="1"/>
  <c r="J67" i="2" a="1"/>
  <c r="J67" i="2" l="1"/>
  <c r="I67" i="2" a="1"/>
  <c r="I67" i="2" l="1"/>
  <c r="H67" i="2" a="1"/>
  <c r="H67" i="2" l="1"/>
  <c r="G67" i="2" a="1"/>
  <c r="G67" i="2" l="1"/>
  <c r="F67" i="2" a="1"/>
  <c r="F67" i="2" l="1"/>
  <c r="E67" i="2" a="1"/>
  <c r="E67" i="2" l="1"/>
  <c r="D67" i="2" a="1"/>
  <c r="D67" i="2" l="1"/>
  <c r="AL65" i="2" a="1"/>
  <c r="AL65" i="2" l="1"/>
  <c r="AK65" i="2" a="1"/>
  <c r="AK65" i="2" l="1"/>
  <c r="AJ65" i="2" a="1"/>
  <c r="AJ65" i="2" l="1"/>
  <c r="AI65" i="2" a="1"/>
  <c r="AI65" i="2" l="1"/>
  <c r="AH65" i="2" a="1"/>
  <c r="AH65" i="2" l="1"/>
  <c r="AG65" i="2" a="1"/>
  <c r="AG65" i="2" l="1"/>
  <c r="AF65" i="2" a="1"/>
  <c r="AF65" i="2" l="1"/>
  <c r="AE65" i="2" a="1"/>
  <c r="AE65" i="2" l="1"/>
  <c r="AD65" i="2" a="1"/>
  <c r="AD65" i="2" l="1"/>
  <c r="AC65" i="2" a="1"/>
  <c r="AC65" i="2" l="1"/>
  <c r="AB65" i="2" a="1"/>
  <c r="AB65" i="2" l="1"/>
  <c r="AA65" i="2" a="1"/>
  <c r="AA65" i="2" l="1"/>
  <c r="Z65" i="2" a="1"/>
  <c r="Z65" i="2" l="1"/>
  <c r="Y65" i="2" a="1"/>
  <c r="Y65" i="2" l="1"/>
  <c r="X65" i="2" a="1"/>
  <c r="X65" i="2" l="1"/>
  <c r="W65" i="2" a="1"/>
  <c r="W65" i="2" l="1"/>
  <c r="V65" i="2" a="1"/>
  <c r="V65" i="2" l="1"/>
  <c r="U65" i="2" a="1"/>
  <c r="U65" i="2" l="1"/>
  <c r="T65" i="2" a="1"/>
  <c r="T65" i="2" l="1"/>
  <c r="S65" i="2" a="1"/>
  <c r="S65" i="2" l="1"/>
  <c r="R65" i="2" a="1"/>
  <c r="R65" i="2" l="1"/>
  <c r="Q65" i="2" a="1"/>
  <c r="Q65" i="2" l="1"/>
  <c r="P65" i="2" a="1"/>
  <c r="P65" i="2" l="1"/>
  <c r="O65" i="2" a="1"/>
  <c r="O65" i="2" l="1"/>
  <c r="N65" i="2" a="1"/>
  <c r="N65" i="2" l="1"/>
  <c r="M65" i="2" a="1"/>
  <c r="M65" i="2" l="1"/>
  <c r="L65" i="2" a="1"/>
  <c r="L65" i="2" l="1"/>
  <c r="K65" i="2" a="1"/>
  <c r="K65" i="2" l="1"/>
  <c r="J65" i="2" a="1"/>
  <c r="J65" i="2" l="1"/>
  <c r="I65" i="2" a="1"/>
  <c r="I65" i="2" l="1"/>
  <c r="H65" i="2" a="1"/>
  <c r="H65" i="2" l="1"/>
  <c r="G65" i="2" a="1"/>
  <c r="G65" i="2" l="1"/>
  <c r="F65" i="2" a="1"/>
  <c r="F65" i="2" l="1"/>
  <c r="E65" i="2" a="1"/>
  <c r="E65" i="2" l="1"/>
  <c r="D65" i="2" a="1"/>
  <c r="D65" i="2" l="1"/>
  <c r="AL40" i="2"/>
  <c r="AK40" i="2"/>
  <c r="AJ40" i="2"/>
  <c r="AG40" i="2"/>
  <c r="AF40" i="2"/>
  <c r="AE40" i="2"/>
  <c r="Z40" i="2"/>
  <c r="W40" i="2"/>
  <c r="V40" i="2"/>
  <c r="U40" i="2"/>
  <c r="T40" i="2"/>
  <c r="S40" i="2"/>
  <c r="R40" i="2"/>
  <c r="Q40" i="2"/>
  <c r="O40" i="2"/>
  <c r="N40" i="2"/>
  <c r="M40" i="2"/>
  <c r="L40" i="2"/>
  <c r="K40" i="2"/>
  <c r="J40" i="2"/>
  <c r="I40" i="2"/>
  <c r="H40" i="2"/>
  <c r="G40" i="2"/>
  <c r="F40" i="2"/>
  <c r="E40" i="2"/>
  <c r="D40" i="2"/>
  <c r="AL39" i="2"/>
  <c r="AK39" i="2"/>
  <c r="AJ39" i="2"/>
  <c r="AI39" i="2"/>
  <c r="AH39" i="2"/>
  <c r="AG39" i="2"/>
  <c r="AF39" i="2"/>
  <c r="AE39" i="2"/>
  <c r="AD39" i="2"/>
  <c r="AC39" i="2"/>
  <c r="AB39" i="2"/>
  <c r="AA39" i="2"/>
  <c r="Z39" i="2"/>
  <c r="Y39" i="2"/>
  <c r="X39" i="2"/>
  <c r="W39" i="2"/>
  <c r="V39" i="2"/>
  <c r="U39" i="2"/>
  <c r="T39" i="2"/>
  <c r="S39" i="2"/>
  <c r="R39" i="2"/>
  <c r="Q39" i="2"/>
  <c r="O39" i="2"/>
  <c r="N39" i="2"/>
  <c r="M39" i="2"/>
  <c r="L39" i="2"/>
  <c r="K39" i="2"/>
  <c r="J39" i="2"/>
  <c r="I39" i="2"/>
  <c r="H39" i="2"/>
  <c r="G39" i="2"/>
  <c r="F39" i="2"/>
  <c r="E39" i="2"/>
  <c r="D39" i="2"/>
  <c r="AL38" i="2"/>
  <c r="AK38" i="2"/>
  <c r="AJ38" i="2"/>
  <c r="AI38" i="2"/>
  <c r="AH38" i="2"/>
  <c r="AG38" i="2"/>
  <c r="AF38" i="2"/>
  <c r="AE38" i="2"/>
  <c r="AD38" i="2"/>
  <c r="AC38" i="2"/>
  <c r="AB38" i="2"/>
  <c r="AA38" i="2"/>
  <c r="Z38" i="2"/>
  <c r="Y38" i="2"/>
  <c r="X38" i="2"/>
  <c r="W38" i="2"/>
  <c r="V38" i="2"/>
  <c r="U38" i="2"/>
  <c r="U46" i="2" s="1"/>
  <c r="T38" i="2"/>
  <c r="S38" i="2"/>
  <c r="R38" i="2"/>
  <c r="Q38" i="2"/>
  <c r="O38" i="2"/>
  <c r="N38" i="2"/>
  <c r="M38" i="2"/>
  <c r="L38" i="2"/>
  <c r="K38" i="2"/>
  <c r="J38" i="2"/>
  <c r="I38" i="2"/>
  <c r="H38" i="2"/>
  <c r="G38" i="2"/>
  <c r="F38" i="2"/>
  <c r="E38" i="2"/>
  <c r="D38" i="2"/>
  <c r="AL37" i="2"/>
  <c r="AK37" i="2"/>
  <c r="AJ37" i="2"/>
  <c r="AG37" i="2"/>
  <c r="AF37" i="2"/>
  <c r="AE37" i="2"/>
  <c r="Z37" i="2"/>
  <c r="W37" i="2"/>
  <c r="V37" i="2"/>
  <c r="U37" i="2"/>
  <c r="T37" i="2"/>
  <c r="S37" i="2"/>
  <c r="R37" i="2"/>
  <c r="Q37" i="2"/>
  <c r="O37" i="2"/>
  <c r="N37" i="2"/>
  <c r="M37" i="2"/>
  <c r="L37" i="2"/>
  <c r="K37" i="2"/>
  <c r="J37" i="2"/>
  <c r="I37" i="2"/>
  <c r="H37" i="2"/>
  <c r="G37" i="2"/>
  <c r="F37" i="2"/>
  <c r="E37" i="2"/>
  <c r="D37" i="2"/>
  <c r="AC30" i="2"/>
  <c r="AB30" i="2"/>
  <c r="AA30" i="2"/>
  <c r="X30" i="2"/>
  <c r="Y30" i="2" s="1"/>
  <c r="AH24" i="2"/>
  <c r="AC24" i="2"/>
  <c r="AC40" i="2" s="1"/>
  <c r="AB24" i="2"/>
  <c r="AB40" i="2" s="1"/>
  <c r="AA24" i="2"/>
  <c r="AA40" i="2" s="1"/>
  <c r="X24" i="2"/>
  <c r="Y24" i="2" s="1"/>
  <c r="Y40" i="2" s="1"/>
  <c r="AH23" i="2"/>
  <c r="AC23" i="2"/>
  <c r="AB23" i="2"/>
  <c r="AA23" i="2"/>
  <c r="X23" i="2"/>
  <c r="Y23" i="2" s="1"/>
  <c r="AH22" i="2"/>
  <c r="AC22" i="2"/>
  <c r="AB22" i="2"/>
  <c r="AA22" i="2"/>
  <c r="X22" i="2"/>
  <c r="AL18" i="2" a="1"/>
  <c r="I47" i="3" l="1"/>
  <c r="I70" i="3"/>
  <c r="I24" i="3"/>
  <c r="AC46" i="2"/>
  <c r="R8" i="4" s="1" a="1"/>
  <c r="R8" i="4" s="1"/>
  <c r="AK46" i="2"/>
  <c r="X8" i="4" s="1" a="1"/>
  <c r="X8" i="4" s="1"/>
  <c r="S49" i="2"/>
  <c r="J11" i="4" s="1" a="1"/>
  <c r="J11" i="4" s="1"/>
  <c r="AB46" i="2"/>
  <c r="Q8" i="4" s="1" a="1"/>
  <c r="Q8" i="4" s="1"/>
  <c r="AJ46" i="2"/>
  <c r="R49" i="2"/>
  <c r="I11" i="4" s="1" a="1"/>
  <c r="I11" i="4" s="1"/>
  <c r="V46" i="2"/>
  <c r="L8" i="4" s="1" a="1"/>
  <c r="L8" i="4" s="1"/>
  <c r="AD46" i="2"/>
  <c r="S8" i="4" s="1" a="1"/>
  <c r="S8" i="4" s="1"/>
  <c r="AL46" i="2"/>
  <c r="Y8" i="4" s="1" a="1"/>
  <c r="Y8" i="4" s="1"/>
  <c r="W46" i="2"/>
  <c r="M8" i="4" s="1" a="1"/>
  <c r="M8" i="4" s="1"/>
  <c r="AE46" i="2"/>
  <c r="AA49" i="2"/>
  <c r="P11" i="4" s="1" a="1"/>
  <c r="P11" i="4" s="1"/>
  <c r="AA47" i="2"/>
  <c r="P9" i="4" s="1" a="1"/>
  <c r="P9" i="4" s="1"/>
  <c r="AI49" i="2"/>
  <c r="W11" i="4" s="1" a="1"/>
  <c r="W11" i="4" s="1"/>
  <c r="AI47" i="2"/>
  <c r="W9" i="4" s="1" a="1"/>
  <c r="W9" i="4" s="1"/>
  <c r="T49" i="2"/>
  <c r="K11" i="4" s="1" a="1"/>
  <c r="K11" i="4" s="1"/>
  <c r="AB49" i="2"/>
  <c r="Q11" i="4" s="1" a="1"/>
  <c r="Q11" i="4" s="1"/>
  <c r="AB47" i="2"/>
  <c r="Q9" i="4" s="1" a="1"/>
  <c r="Q9" i="4" s="1"/>
  <c r="AJ49" i="2"/>
  <c r="AJ47" i="2"/>
  <c r="AH49" i="2"/>
  <c r="V11" i="4" s="1" a="1"/>
  <c r="V11" i="4" s="1"/>
  <c r="AH47" i="2"/>
  <c r="V9" i="4" s="1" a="1"/>
  <c r="V9" i="4" s="1"/>
  <c r="U47" i="2"/>
  <c r="U49" i="2"/>
  <c r="AC47" i="2"/>
  <c r="R9" i="4" s="1" a="1"/>
  <c r="R9" i="4" s="1"/>
  <c r="AC49" i="2"/>
  <c r="R11" i="4" s="1" a="1"/>
  <c r="R11" i="4" s="1"/>
  <c r="AK49" i="2"/>
  <c r="X11" i="4" s="1" a="1"/>
  <c r="X11" i="4" s="1"/>
  <c r="AK47" i="2"/>
  <c r="X9" i="4" s="1" a="1"/>
  <c r="X9" i="4" s="1"/>
  <c r="X46" i="2"/>
  <c r="N8" i="4" s="1" a="1"/>
  <c r="N8" i="4" s="1"/>
  <c r="AF46" i="2"/>
  <c r="T8" i="4" s="1" a="1"/>
  <c r="T8" i="4" s="1"/>
  <c r="V47" i="2"/>
  <c r="L9" i="4" s="1" a="1"/>
  <c r="L9" i="4" s="1"/>
  <c r="V49" i="2"/>
  <c r="L11" i="4" s="1" a="1"/>
  <c r="L11" i="4" s="1"/>
  <c r="AD47" i="2"/>
  <c r="S9" i="4" s="1" a="1"/>
  <c r="S9" i="4" s="1"/>
  <c r="AD49" i="2"/>
  <c r="S11" i="4" s="1" a="1"/>
  <c r="S11" i="4" s="1"/>
  <c r="AL47" i="2"/>
  <c r="Y9" i="4" s="1" a="1"/>
  <c r="Y9" i="4" s="1"/>
  <c r="AL49" i="2"/>
  <c r="Y11" i="4" s="1" a="1"/>
  <c r="Y11" i="4" s="1"/>
  <c r="Y46" i="2"/>
  <c r="O8" i="4" s="1" a="1"/>
  <c r="O8" i="4" s="1"/>
  <c r="AG46" i="2"/>
  <c r="U8" i="4" s="1" a="1"/>
  <c r="U8" i="4" s="1"/>
  <c r="W49" i="2"/>
  <c r="M11" i="4" s="1" a="1"/>
  <c r="M11" i="4" s="1"/>
  <c r="W47" i="2"/>
  <c r="M9" i="4" s="1" a="1"/>
  <c r="M9" i="4" s="1"/>
  <c r="AE47" i="2"/>
  <c r="AE49" i="2"/>
  <c r="Z46" i="2"/>
  <c r="AH46" i="2"/>
  <c r="V8" i="4" s="1" a="1"/>
  <c r="V8" i="4" s="1"/>
  <c r="X49" i="2"/>
  <c r="N11" i="4" s="1" a="1"/>
  <c r="N11" i="4" s="1"/>
  <c r="X47" i="2"/>
  <c r="N9" i="4" s="1" a="1"/>
  <c r="N9" i="4" s="1"/>
  <c r="AF49" i="2"/>
  <c r="T11" i="4" s="1" a="1"/>
  <c r="T11" i="4" s="1"/>
  <c r="AF47" i="2"/>
  <c r="T9" i="4" s="1" a="1"/>
  <c r="T9" i="4" s="1"/>
  <c r="Z49" i="2"/>
  <c r="Z47" i="2"/>
  <c r="AA46" i="2"/>
  <c r="P8" i="4" s="1" a="1"/>
  <c r="P8" i="4" s="1"/>
  <c r="AI46" i="2"/>
  <c r="W8" i="4" s="1" a="1"/>
  <c r="W8" i="4" s="1"/>
  <c r="Q49" i="2"/>
  <c r="H11" i="4" s="1" a="1"/>
  <c r="H11" i="4" s="1"/>
  <c r="Y49" i="2"/>
  <c r="O11" i="4" s="1" a="1"/>
  <c r="O11" i="4" s="1"/>
  <c r="Y47" i="2"/>
  <c r="O9" i="4" s="1" a="1"/>
  <c r="O9" i="4" s="1"/>
  <c r="AG49" i="2"/>
  <c r="U11" i="4" s="1" a="1"/>
  <c r="U11" i="4" s="1"/>
  <c r="AG47" i="2"/>
  <c r="U9" i="4" s="1" a="1"/>
  <c r="U9" i="4" s="1"/>
  <c r="AD23" i="2"/>
  <c r="K41" i="2"/>
  <c r="AC21" i="2"/>
  <c r="AC37" i="2" s="1"/>
  <c r="AC41" i="2" s="1"/>
  <c r="AB21" i="2"/>
  <c r="AB37" i="2" s="1"/>
  <c r="AB41" i="2" s="1"/>
  <c r="AD30" i="2"/>
  <c r="AL41" i="2"/>
  <c r="E41" i="2"/>
  <c r="AK41" i="2"/>
  <c r="AD24" i="2"/>
  <c r="AD40" i="2" s="1"/>
  <c r="D41" i="2"/>
  <c r="T41" i="2"/>
  <c r="H41" i="2"/>
  <c r="X40" i="2"/>
  <c r="AH21" i="2"/>
  <c r="AI21" i="2" s="1"/>
  <c r="AI37" i="2" s="1"/>
  <c r="AG41" i="2"/>
  <c r="X21" i="2"/>
  <c r="Y22" i="2"/>
  <c r="AA21" i="2"/>
  <c r="AD22" i="2"/>
  <c r="AH40" i="2"/>
  <c r="AI24" i="2"/>
  <c r="AI40" i="2" s="1"/>
  <c r="F41" i="2"/>
  <c r="O41" i="2"/>
  <c r="G41" i="2"/>
  <c r="J41" i="2"/>
  <c r="AF41" i="2"/>
  <c r="U41" i="2"/>
  <c r="Z41" i="2"/>
  <c r="I41" i="2"/>
  <c r="L41" i="2"/>
  <c r="M41" i="2"/>
  <c r="N41" i="2"/>
  <c r="S41" i="2"/>
  <c r="Q41" i="2"/>
  <c r="V41" i="2"/>
  <c r="R41" i="2"/>
  <c r="W41" i="2"/>
  <c r="AE41" i="2"/>
  <c r="AJ41" i="2"/>
  <c r="AL18" i="2"/>
  <c r="AK18" i="2" a="1"/>
  <c r="AH37" i="2" l="1"/>
  <c r="AH41" i="2" s="1"/>
  <c r="AI41" i="2"/>
  <c r="AA37" i="2"/>
  <c r="AA41" i="2" s="1"/>
  <c r="AD21" i="2"/>
  <c r="AD37" i="2" s="1"/>
  <c r="AD41" i="2" s="1"/>
  <c r="X37" i="2"/>
  <c r="X41" i="2" s="1"/>
  <c r="Y21" i="2"/>
  <c r="Y37" i="2" s="1"/>
  <c r="Y41" i="2" s="1"/>
  <c r="AK18" i="2"/>
  <c r="AJ18" i="2" a="1"/>
  <c r="AJ18" i="2" l="1"/>
  <c r="AI18" i="2" a="1"/>
  <c r="AI18" i="2" l="1"/>
  <c r="AH18" i="2" a="1"/>
  <c r="AH18" i="2" l="1"/>
  <c r="AG18" i="2" a="1"/>
  <c r="AG18" i="2" l="1"/>
  <c r="AF18" i="2" a="1"/>
  <c r="AF18" i="2" l="1"/>
  <c r="AE18" i="2" a="1"/>
  <c r="AE18" i="2" l="1"/>
  <c r="AD18" i="2" a="1"/>
  <c r="AD18" i="2" l="1"/>
  <c r="AC18" i="2" a="1"/>
  <c r="AC18" i="2" l="1"/>
  <c r="AB18" i="2" a="1"/>
  <c r="AB18" i="2" l="1"/>
  <c r="AA18" i="2" a="1"/>
  <c r="AA18" i="2" l="1"/>
  <c r="Z18" i="2" a="1"/>
  <c r="Z18" i="2" l="1"/>
  <c r="Y18" i="2" a="1"/>
  <c r="Y18" i="2" l="1"/>
  <c r="X18" i="2" a="1"/>
  <c r="X18" i="2" l="1"/>
  <c r="W18" i="2" a="1"/>
  <c r="W18" i="2" l="1"/>
  <c r="V18" i="2" a="1"/>
  <c r="V18" i="2" l="1"/>
  <c r="U18" i="2" a="1"/>
  <c r="U18" i="2" l="1"/>
  <c r="T18" i="2" a="1"/>
  <c r="T18" i="2" l="1"/>
  <c r="S18" i="2" a="1"/>
  <c r="S18" i="2" l="1"/>
  <c r="R18" i="2" a="1"/>
  <c r="R18" i="2" l="1"/>
  <c r="Q18" i="2" a="1"/>
  <c r="Q18" i="2" l="1"/>
  <c r="P18" i="2" a="1"/>
  <c r="P18" i="2" l="1"/>
  <c r="O18" i="2" a="1"/>
  <c r="O18" i="2" l="1"/>
  <c r="N18" i="2" a="1"/>
  <c r="N18" i="2" l="1"/>
  <c r="M18" i="2" a="1"/>
  <c r="M18" i="2" l="1"/>
  <c r="L18" i="2" a="1"/>
  <c r="L18" i="2" l="1"/>
  <c r="K18" i="2" a="1"/>
  <c r="K18" i="2" l="1"/>
  <c r="J18" i="2" a="1"/>
  <c r="J18" i="2" l="1"/>
  <c r="I18" i="2" a="1"/>
  <c r="I18" i="2" l="1"/>
  <c r="H18" i="2" a="1"/>
  <c r="H18" i="2" l="1"/>
  <c r="G18" i="2" a="1"/>
  <c r="G18" i="2" l="1"/>
  <c r="F18" i="2" a="1"/>
  <c r="F18" i="2" l="1"/>
  <c r="E18" i="2" a="1"/>
  <c r="E18" i="2" l="1"/>
  <c r="D18" i="2" a="1"/>
  <c r="D18" i="2" l="1"/>
  <c r="AL17" i="2" a="1"/>
  <c r="AL17" i="2" l="1"/>
  <c r="AK17" i="2" a="1"/>
  <c r="AK17" i="2" l="1"/>
  <c r="AJ17" i="2" a="1"/>
  <c r="AJ17" i="2" l="1"/>
  <c r="AI17" i="2" a="1"/>
  <c r="AI17" i="2" l="1"/>
  <c r="AH17" i="2" a="1"/>
  <c r="AH17" i="2" l="1"/>
  <c r="AG17" i="2" a="1"/>
  <c r="AG17" i="2" l="1"/>
  <c r="AF17" i="2" a="1"/>
  <c r="AF17" i="2" l="1"/>
  <c r="AE17" i="2" a="1"/>
  <c r="AE17" i="2" l="1"/>
  <c r="AD17" i="2" a="1"/>
  <c r="AD17" i="2" l="1"/>
  <c r="AC17" i="2" a="1"/>
  <c r="AC17" i="2" l="1"/>
  <c r="AB17" i="2" a="1"/>
  <c r="AB17" i="2" l="1"/>
  <c r="AA17" i="2" a="1"/>
  <c r="AA17" i="2" l="1"/>
  <c r="Z17" i="2" a="1"/>
  <c r="Z17" i="2" l="1"/>
  <c r="Y17" i="2" a="1"/>
  <c r="Y17" i="2" l="1"/>
  <c r="X17" i="2" a="1"/>
  <c r="X17" i="2" l="1"/>
  <c r="W17" i="2" a="1"/>
  <c r="W17" i="2" l="1"/>
  <c r="V17" i="2" a="1"/>
  <c r="V17" i="2" l="1"/>
  <c r="U17" i="2" a="1"/>
  <c r="U17" i="2" l="1"/>
  <c r="T17" i="2" a="1"/>
  <c r="T17" i="2" l="1"/>
  <c r="S17" i="2" a="1"/>
  <c r="S17" i="2" l="1"/>
  <c r="R17" i="2" a="1"/>
  <c r="R17" i="2" l="1"/>
  <c r="Q17" i="2" a="1"/>
  <c r="Q17" i="2" l="1"/>
  <c r="P17" i="2" a="1"/>
  <c r="P17" i="2" l="1"/>
  <c r="O17" i="2" a="1"/>
  <c r="O17" i="2" l="1"/>
  <c r="N17" i="2" a="1"/>
  <c r="N17" i="2" l="1"/>
  <c r="M17" i="2" a="1"/>
  <c r="M17" i="2" l="1"/>
  <c r="L17" i="2" a="1"/>
  <c r="L17" i="2" l="1"/>
  <c r="K17" i="2" a="1"/>
  <c r="K17" i="2" l="1"/>
  <c r="J17" i="2" a="1"/>
  <c r="J17" i="2" l="1"/>
  <c r="I17" i="2" a="1"/>
  <c r="I17" i="2" l="1"/>
  <c r="H17" i="2" a="1"/>
  <c r="H17" i="2" l="1"/>
  <c r="G17" i="2" a="1"/>
  <c r="G17" i="2" l="1"/>
  <c r="F17" i="2" a="1"/>
  <c r="F17" i="2" l="1"/>
  <c r="E17" i="2" a="1"/>
  <c r="E17" i="2" l="1"/>
  <c r="D17" i="2" a="1"/>
  <c r="D17" i="2" l="1"/>
  <c r="AL16" i="2" a="1"/>
  <c r="AL16" i="2" l="1"/>
  <c r="AK16" i="2" a="1"/>
  <c r="AK16" i="2" l="1"/>
  <c r="AJ16" i="2" a="1"/>
  <c r="AJ16" i="2" l="1"/>
  <c r="AI16" i="2" a="1"/>
  <c r="AI16" i="2" l="1"/>
  <c r="AH16" i="2" a="1"/>
  <c r="AH16" i="2" l="1"/>
  <c r="AG16" i="2" a="1"/>
  <c r="AG16" i="2" l="1"/>
  <c r="AF16" i="2" a="1"/>
  <c r="AF16" i="2" l="1"/>
  <c r="AE16" i="2" a="1"/>
  <c r="AE16" i="2" l="1"/>
  <c r="AD16" i="2" a="1"/>
  <c r="AD16" i="2" l="1"/>
  <c r="AC16" i="2" a="1"/>
  <c r="AC16" i="2" l="1"/>
  <c r="AB16" i="2" a="1"/>
  <c r="AB16" i="2" l="1"/>
  <c r="AA16" i="2" a="1"/>
  <c r="AA16" i="2" l="1"/>
  <c r="Z16" i="2" a="1"/>
  <c r="Z16" i="2" l="1"/>
  <c r="Y16" i="2" a="1"/>
  <c r="Y16" i="2" l="1"/>
  <c r="X16" i="2" a="1"/>
  <c r="X16" i="2" l="1"/>
  <c r="W16" i="2" a="1"/>
  <c r="W16" i="2" l="1"/>
  <c r="V16" i="2" a="1"/>
  <c r="V16" i="2" l="1"/>
  <c r="U16" i="2" a="1"/>
  <c r="U16" i="2" l="1"/>
  <c r="T16" i="2" a="1"/>
  <c r="T16" i="2" l="1"/>
  <c r="S16" i="2" a="1"/>
  <c r="S16" i="2" l="1"/>
  <c r="R16" i="2" a="1"/>
  <c r="R16" i="2" l="1"/>
  <c r="Q16" i="2" a="1"/>
  <c r="Q16" i="2" l="1"/>
  <c r="P16" i="2" a="1"/>
  <c r="P16" i="2" l="1"/>
  <c r="O16" i="2" a="1"/>
  <c r="O16" i="2" l="1"/>
  <c r="N16" i="2" a="1"/>
  <c r="N16" i="2" l="1"/>
  <c r="M16" i="2" a="1"/>
  <c r="M16" i="2" l="1"/>
  <c r="L16" i="2" a="1"/>
  <c r="L16" i="2" l="1"/>
  <c r="K16" i="2" a="1"/>
  <c r="K16" i="2" l="1"/>
  <c r="J16" i="2" a="1"/>
  <c r="J16" i="2" l="1"/>
  <c r="I16" i="2" a="1"/>
  <c r="I16" i="2" l="1"/>
  <c r="H16" i="2" a="1"/>
  <c r="H16" i="2" l="1"/>
  <c r="G16" i="2" a="1"/>
  <c r="G16" i="2" l="1"/>
  <c r="F16" i="2" a="1"/>
  <c r="F16" i="2" l="1"/>
  <c r="E16" i="2" a="1"/>
  <c r="E16" i="2" l="1"/>
  <c r="D16" i="2" a="1"/>
  <c r="D16" i="2" l="1"/>
  <c r="AL15" i="2" a="1"/>
  <c r="AL15" i="2" l="1"/>
  <c r="AK15" i="2" a="1"/>
  <c r="AK15" i="2" l="1"/>
  <c r="AJ15" i="2" a="1"/>
  <c r="AJ15" i="2" l="1"/>
  <c r="AI15" i="2" a="1"/>
  <c r="AI15" i="2" l="1"/>
  <c r="AH15" i="2" a="1"/>
  <c r="AH15" i="2" l="1"/>
  <c r="AG15" i="2" a="1"/>
  <c r="AG15" i="2" l="1"/>
  <c r="AF15" i="2" a="1"/>
  <c r="AF15" i="2" l="1"/>
  <c r="AE15" i="2" a="1"/>
  <c r="AE15" i="2" l="1"/>
  <c r="AD15" i="2" a="1"/>
  <c r="AD15" i="2" l="1"/>
  <c r="AC15" i="2" a="1"/>
  <c r="AC15" i="2" l="1"/>
  <c r="AB15" i="2" a="1"/>
  <c r="AB15" i="2" l="1"/>
  <c r="AA15" i="2" a="1"/>
  <c r="AA15" i="2" l="1"/>
  <c r="Z15" i="2" a="1"/>
  <c r="Z15" i="2" l="1"/>
  <c r="Y15" i="2" a="1"/>
  <c r="Y15" i="2" l="1"/>
  <c r="X15" i="2" a="1"/>
  <c r="X15" i="2" l="1"/>
  <c r="W15" i="2" a="1"/>
  <c r="W15" i="2" l="1"/>
  <c r="V15" i="2" a="1"/>
  <c r="V15" i="2" l="1"/>
  <c r="U15" i="2" a="1"/>
  <c r="U15" i="2" l="1"/>
  <c r="T15" i="2" a="1"/>
  <c r="T15" i="2" l="1"/>
  <c r="S15" i="2" a="1"/>
  <c r="S15" i="2" l="1"/>
  <c r="R15" i="2" a="1"/>
  <c r="R15" i="2" l="1"/>
  <c r="Q15" i="2" a="1"/>
  <c r="Q15" i="2" l="1"/>
  <c r="P15" i="2" a="1"/>
  <c r="P15" i="2" l="1"/>
  <c r="O15" i="2" a="1"/>
  <c r="O15" i="2" l="1"/>
  <c r="M15" i="2" a="1"/>
  <c r="M15" i="2" l="1"/>
  <c r="L15" i="2" a="1"/>
  <c r="L15" i="2" l="1"/>
  <c r="K15" i="2" a="1"/>
  <c r="K15" i="2" l="1"/>
  <c r="J15" i="2" a="1"/>
  <c r="J15" i="2" l="1"/>
  <c r="I15" i="2" a="1"/>
  <c r="I15" i="2" l="1"/>
  <c r="H15" i="2" a="1"/>
  <c r="H15" i="2" l="1"/>
  <c r="G15" i="2" a="1"/>
  <c r="G15" i="2" l="1"/>
  <c r="F15" i="2" a="1"/>
  <c r="F15" i="2" l="1"/>
  <c r="E15" i="2" a="1"/>
  <c r="E15" i="2" l="1"/>
  <c r="D15" i="2" a="1"/>
  <c r="D15" i="2" l="1"/>
  <c r="AL14" i="2" a="1"/>
  <c r="AL14" i="2" l="1"/>
  <c r="AK14" i="2" a="1"/>
  <c r="AK14" i="2" l="1"/>
  <c r="AJ14" i="2" a="1"/>
  <c r="AJ14" i="2" l="1"/>
  <c r="AI14" i="2" a="1"/>
  <c r="AI14" i="2" l="1"/>
  <c r="AH14" i="2" a="1"/>
  <c r="AH14" i="2" l="1"/>
  <c r="AG14" i="2" a="1"/>
  <c r="AG14" i="2" l="1"/>
  <c r="AF14" i="2" a="1"/>
  <c r="AF14" i="2" l="1"/>
  <c r="AE14" i="2" a="1"/>
  <c r="AE14" i="2" l="1"/>
  <c r="AD14" i="2" a="1"/>
  <c r="AD14" i="2" l="1"/>
  <c r="AC14" i="2" a="1"/>
  <c r="AC14" i="2" l="1"/>
  <c r="AB14" i="2" a="1"/>
  <c r="AB14" i="2" l="1"/>
  <c r="AA14" i="2" a="1"/>
  <c r="AA14" i="2" l="1"/>
  <c r="Z14" i="2" a="1"/>
  <c r="Z14" i="2" l="1"/>
  <c r="Y14" i="2" a="1"/>
  <c r="Y14" i="2" l="1"/>
  <c r="X14" i="2" a="1"/>
  <c r="X14" i="2" l="1"/>
  <c r="W14" i="2" a="1"/>
  <c r="W14" i="2" l="1"/>
  <c r="V14" i="2" a="1"/>
  <c r="V14" i="2" l="1"/>
  <c r="U14" i="2" a="1"/>
  <c r="U14" i="2" l="1"/>
  <c r="T14" i="2" a="1"/>
  <c r="T14" i="2" l="1"/>
  <c r="S14" i="2" a="1"/>
  <c r="S14" i="2" l="1"/>
  <c r="R14" i="2" a="1"/>
  <c r="R14" i="2" l="1"/>
  <c r="Q14" i="2" a="1"/>
  <c r="Q14" i="2" l="1"/>
  <c r="P14" i="2" a="1"/>
  <c r="P14" i="2" l="1"/>
  <c r="O14" i="2" a="1"/>
  <c r="O14" i="2" l="1"/>
  <c r="N14" i="2" a="1"/>
  <c r="N14" i="2" l="1"/>
  <c r="M14" i="2" a="1"/>
  <c r="M14" i="2" l="1"/>
  <c r="L14" i="2" a="1"/>
  <c r="L14" i="2" l="1"/>
  <c r="K14" i="2" a="1"/>
  <c r="K14" i="2" l="1"/>
  <c r="J14" i="2" a="1"/>
  <c r="J14" i="2" l="1"/>
  <c r="I14" i="2" a="1"/>
  <c r="I14" i="2" l="1"/>
  <c r="H14" i="2" a="1"/>
  <c r="H14" i="2" l="1"/>
  <c r="G14" i="2" a="1"/>
  <c r="G14" i="2" l="1"/>
  <c r="F14" i="2" a="1"/>
  <c r="F14" i="2" l="1"/>
  <c r="E14" i="2" a="1"/>
  <c r="E14" i="2" l="1"/>
  <c r="D14" i="2" a="1"/>
  <c r="D14" i="2" l="1"/>
  <c r="AL13" i="2" a="1"/>
  <c r="AL13" i="2" l="1"/>
  <c r="AK13" i="2" a="1"/>
  <c r="AK13" i="2" l="1"/>
  <c r="AJ13" i="2" a="1"/>
  <c r="AJ13" i="2" l="1"/>
  <c r="AI13" i="2" a="1"/>
  <c r="AI13" i="2" l="1"/>
  <c r="AH13" i="2" a="1"/>
  <c r="AH13" i="2" l="1"/>
  <c r="AG13" i="2" a="1"/>
  <c r="AG13" i="2" l="1"/>
  <c r="AF13" i="2" a="1"/>
  <c r="AF13" i="2" l="1"/>
  <c r="AE13" i="2" a="1"/>
  <c r="AE13" i="2" l="1"/>
  <c r="AD13" i="2" a="1"/>
  <c r="AD13" i="2" l="1"/>
  <c r="AC13" i="2" a="1"/>
  <c r="AC13" i="2" l="1"/>
  <c r="AB13" i="2" a="1"/>
  <c r="AB13" i="2" l="1"/>
  <c r="AA13" i="2" a="1"/>
  <c r="AA13" i="2" l="1"/>
  <c r="Z13" i="2" a="1"/>
  <c r="Z13" i="2" l="1"/>
  <c r="Y13" i="2" a="1"/>
  <c r="Y13" i="2" l="1"/>
  <c r="X13" i="2" a="1"/>
  <c r="X13" i="2" l="1"/>
  <c r="W13" i="2" a="1"/>
  <c r="W13" i="2" l="1"/>
  <c r="V13" i="2" a="1"/>
  <c r="V13" i="2" l="1"/>
  <c r="U13" i="2" a="1"/>
  <c r="U13" i="2" l="1"/>
  <c r="T13" i="2" a="1"/>
  <c r="T13" i="2" l="1"/>
  <c r="S13" i="2" a="1"/>
  <c r="S13" i="2" l="1"/>
  <c r="R13" i="2" a="1"/>
  <c r="R13" i="2" l="1"/>
  <c r="Q13" i="2" a="1"/>
  <c r="Q13" i="2" l="1"/>
  <c r="P13" i="2" a="1"/>
  <c r="P13" i="2" l="1"/>
  <c r="O13" i="2" a="1"/>
  <c r="O13" i="2" l="1"/>
  <c r="N13" i="2" a="1"/>
  <c r="N13" i="2" l="1"/>
  <c r="M13" i="2" a="1"/>
  <c r="M13" i="2" l="1"/>
  <c r="L13" i="2" a="1"/>
  <c r="L13" i="2" l="1"/>
  <c r="K13" i="2" a="1"/>
  <c r="K13" i="2" l="1"/>
  <c r="J13" i="2" a="1"/>
  <c r="J13" i="2" l="1"/>
  <c r="I13" i="2" a="1"/>
  <c r="I13" i="2" l="1"/>
  <c r="H13" i="2" a="1"/>
  <c r="H13" i="2" l="1"/>
  <c r="G13" i="2" a="1"/>
  <c r="G13" i="2" l="1"/>
  <c r="F13" i="2" a="1"/>
  <c r="F13" i="2" l="1"/>
  <c r="E13" i="2" a="1"/>
  <c r="E13" i="2" l="1"/>
  <c r="D13" i="2" a="1"/>
  <c r="D13" i="2" l="1"/>
  <c r="AL12" i="2" a="1"/>
  <c r="AL12" i="2" l="1"/>
  <c r="AK12" i="2" a="1"/>
  <c r="AK12" i="2" l="1"/>
  <c r="AJ12" i="2" a="1"/>
  <c r="AJ12" i="2" l="1"/>
  <c r="AI12" i="2" a="1"/>
  <c r="AI12" i="2" l="1"/>
  <c r="AH12" i="2" a="1"/>
  <c r="AH12" i="2" l="1"/>
  <c r="AG12" i="2" a="1"/>
  <c r="AG12" i="2" l="1"/>
  <c r="AF12" i="2" a="1"/>
  <c r="AF12" i="2" l="1"/>
  <c r="AE12" i="2" a="1"/>
  <c r="AE12" i="2" l="1"/>
  <c r="AD12" i="2" a="1"/>
  <c r="AD12" i="2" l="1"/>
  <c r="AC12" i="2" a="1"/>
  <c r="AC12" i="2" l="1"/>
  <c r="AB12" i="2" a="1"/>
  <c r="AB12" i="2" l="1"/>
  <c r="AA12" i="2" a="1"/>
  <c r="AA12" i="2" l="1"/>
  <c r="Z12" i="2" a="1"/>
  <c r="Z12" i="2" l="1"/>
  <c r="Y12" i="2" a="1"/>
  <c r="Y12" i="2" l="1"/>
  <c r="X12" i="2" a="1"/>
  <c r="X12" i="2" l="1"/>
  <c r="W12" i="2" a="1"/>
  <c r="W12" i="2" l="1"/>
  <c r="V12" i="2" a="1"/>
  <c r="V12" i="2" l="1"/>
  <c r="U12" i="2" a="1"/>
  <c r="U12" i="2" l="1"/>
  <c r="T12" i="2" a="1"/>
  <c r="T12" i="2" l="1"/>
  <c r="S12" i="2" a="1"/>
  <c r="S12" i="2" l="1"/>
  <c r="R12" i="2" a="1"/>
  <c r="R12" i="2" l="1"/>
  <c r="Q12" i="2" a="1"/>
  <c r="Q12" i="2" l="1"/>
  <c r="O12" i="2" a="1"/>
  <c r="O12" i="2" l="1"/>
  <c r="M12" i="2" a="1"/>
  <c r="M12" i="2" l="1"/>
  <c r="L12" i="2" a="1"/>
  <c r="L12" i="2" l="1"/>
  <c r="K12" i="2" a="1"/>
  <c r="K12" i="2" l="1"/>
  <c r="J12" i="2" a="1"/>
  <c r="J12" i="2" l="1"/>
  <c r="I12" i="2" a="1"/>
  <c r="I12" i="2" l="1"/>
  <c r="H12" i="2" a="1"/>
  <c r="H12" i="2" l="1"/>
  <c r="G12" i="2" a="1"/>
  <c r="G12" i="2" l="1"/>
  <c r="F12" i="2" a="1"/>
  <c r="F12" i="2" l="1"/>
  <c r="E12" i="2" a="1"/>
  <c r="E12" i="2" l="1"/>
  <c r="D12" i="2" a="1"/>
  <c r="D12" i="2" l="1"/>
  <c r="AL11" i="2" a="1"/>
  <c r="AL11" i="2" l="1"/>
  <c r="AK11" i="2" a="1"/>
  <c r="AK11" i="2" l="1"/>
  <c r="AJ11" i="2" a="1"/>
  <c r="AJ11" i="2" l="1"/>
  <c r="AI11" i="2" a="1"/>
  <c r="AI11" i="2" l="1"/>
  <c r="AH11" i="2" a="1"/>
  <c r="AH11" i="2" l="1"/>
  <c r="AG11" i="2" a="1"/>
  <c r="AG11" i="2" l="1"/>
  <c r="AF11" i="2" a="1"/>
  <c r="AF11" i="2" l="1"/>
  <c r="AE11" i="2" a="1"/>
  <c r="AE11" i="2" l="1"/>
  <c r="AD11" i="2" a="1"/>
  <c r="AD11" i="2" l="1"/>
  <c r="AC11" i="2" a="1"/>
  <c r="AC11" i="2" l="1"/>
  <c r="AB11" i="2" a="1"/>
  <c r="AB11" i="2" l="1"/>
  <c r="AA11" i="2" a="1"/>
  <c r="AA11" i="2" l="1"/>
  <c r="Z11" i="2" a="1"/>
  <c r="Z11" i="2" l="1"/>
  <c r="Y11" i="2" a="1"/>
  <c r="Y11" i="2" l="1"/>
  <c r="X11" i="2" a="1"/>
  <c r="X11" i="2" l="1"/>
  <c r="W11" i="2" a="1"/>
  <c r="W11" i="2" l="1"/>
  <c r="V11" i="2" a="1"/>
  <c r="V11" i="2" l="1"/>
  <c r="U11" i="2" a="1"/>
  <c r="U11" i="2" l="1"/>
  <c r="T11" i="2" a="1"/>
  <c r="T11" i="2" l="1"/>
  <c r="S11" i="2" a="1"/>
  <c r="S11" i="2" l="1"/>
  <c r="R11" i="2" a="1"/>
  <c r="R11" i="2" l="1"/>
  <c r="Q11" i="2" a="1"/>
  <c r="Q11" i="2" l="1"/>
  <c r="P11" i="2" a="1"/>
  <c r="P11" i="2" l="1"/>
  <c r="O11" i="2" a="1"/>
  <c r="O11" i="2" l="1"/>
  <c r="N11" i="2" a="1"/>
  <c r="N11" i="2" l="1"/>
  <c r="M11" i="2" a="1"/>
  <c r="M11" i="2" l="1"/>
  <c r="L11" i="2" a="1"/>
  <c r="L11" i="2" l="1"/>
  <c r="K11" i="2" a="1"/>
  <c r="K11" i="2" l="1"/>
  <c r="J11" i="2" a="1"/>
  <c r="J11" i="2" l="1"/>
  <c r="I11" i="2" a="1"/>
  <c r="I11" i="2" l="1"/>
  <c r="H11" i="2" a="1"/>
  <c r="H11" i="2" l="1"/>
  <c r="G11" i="2" a="1"/>
  <c r="G11" i="2" l="1"/>
  <c r="F11" i="2" a="1"/>
  <c r="F11" i="2" l="1"/>
  <c r="E11" i="2" a="1"/>
  <c r="E11" i="2" l="1"/>
  <c r="D11" i="2" a="1"/>
  <c r="D11" i="2" l="1"/>
  <c r="AL10" i="2" a="1"/>
  <c r="AL10" i="2" l="1"/>
  <c r="AK10" i="2" a="1"/>
  <c r="AK10" i="2" l="1"/>
  <c r="AJ10" i="2" a="1"/>
  <c r="AJ10" i="2" l="1"/>
  <c r="AI10" i="2" a="1"/>
  <c r="AI10" i="2" l="1"/>
  <c r="AH10" i="2" a="1"/>
  <c r="AH10" i="2" l="1"/>
  <c r="AG10" i="2" a="1"/>
  <c r="AG10" i="2" l="1"/>
  <c r="AF10" i="2" a="1"/>
  <c r="AF10" i="2" l="1"/>
  <c r="AE10" i="2" a="1"/>
  <c r="AE10" i="2" l="1"/>
  <c r="AD10" i="2" a="1"/>
  <c r="AD10" i="2" l="1"/>
  <c r="AC10" i="2" a="1"/>
  <c r="AC10" i="2" l="1"/>
  <c r="AB10" i="2" a="1"/>
  <c r="AB10" i="2" l="1"/>
  <c r="AA10" i="2" a="1"/>
  <c r="AA10" i="2" l="1"/>
  <c r="Z10" i="2" a="1"/>
  <c r="Z10" i="2" l="1"/>
  <c r="Y10" i="2" a="1"/>
  <c r="Y10" i="2" l="1"/>
  <c r="X10" i="2" a="1"/>
  <c r="X10" i="2" l="1"/>
  <c r="W10" i="2" a="1"/>
  <c r="W10" i="2" l="1"/>
  <c r="V10" i="2" a="1"/>
  <c r="V10" i="2" l="1"/>
  <c r="U10" i="2" a="1"/>
  <c r="U10" i="2" l="1"/>
  <c r="T10" i="2" a="1"/>
  <c r="T10" i="2" l="1"/>
  <c r="S10" i="2" a="1"/>
  <c r="S10" i="2" l="1"/>
  <c r="R10" i="2" a="1"/>
  <c r="R10" i="2" l="1"/>
  <c r="Q10" i="2" a="1"/>
  <c r="Q10" i="2" l="1"/>
  <c r="P10" i="2" a="1"/>
  <c r="P10" i="2" l="1"/>
  <c r="O10" i="2" a="1"/>
  <c r="O10" i="2" l="1"/>
  <c r="N10" i="2" a="1"/>
  <c r="N10" i="2" l="1"/>
  <c r="M10" i="2" a="1"/>
  <c r="M10" i="2" l="1"/>
  <c r="L10" i="2" a="1"/>
  <c r="L10" i="2" l="1"/>
  <c r="K10" i="2" a="1"/>
  <c r="K10" i="2" l="1"/>
  <c r="J10" i="2" a="1"/>
  <c r="J10" i="2" l="1"/>
  <c r="I10" i="2" a="1"/>
  <c r="I10" i="2" l="1"/>
  <c r="H10" i="2" a="1"/>
  <c r="H10" i="2" l="1"/>
  <c r="G10" i="2" a="1"/>
  <c r="G10" i="2" l="1"/>
  <c r="F10" i="2" a="1"/>
  <c r="F10" i="2" l="1"/>
  <c r="E10" i="2" a="1"/>
  <c r="E10" i="2" l="1"/>
  <c r="D10" i="2" a="1"/>
  <c r="D10" i="2" l="1"/>
  <c r="AL9" i="2" a="1"/>
  <c r="AL9" i="2" l="1"/>
  <c r="AK9" i="2" a="1"/>
  <c r="AK9" i="2" l="1"/>
  <c r="AJ9" i="2" a="1"/>
  <c r="AJ9" i="2" l="1"/>
  <c r="AI9" i="2" a="1"/>
  <c r="AI9" i="2" l="1"/>
  <c r="AH9" i="2" a="1"/>
  <c r="AH9" i="2" l="1"/>
  <c r="AG9" i="2" a="1"/>
  <c r="AG9" i="2" l="1"/>
  <c r="AF9" i="2" a="1"/>
  <c r="AF9" i="2" l="1"/>
  <c r="AE9" i="2" a="1"/>
  <c r="AE9" i="2" l="1"/>
  <c r="AD9" i="2" a="1"/>
  <c r="AD9" i="2" l="1"/>
  <c r="AC9" i="2" a="1"/>
  <c r="AC9" i="2" l="1"/>
  <c r="AB9" i="2" a="1"/>
  <c r="AB9" i="2" l="1"/>
  <c r="AA9" i="2" a="1"/>
  <c r="AA9" i="2" l="1"/>
  <c r="Z9" i="2" a="1"/>
  <c r="Z9" i="2" l="1"/>
  <c r="Y9" i="2" a="1"/>
  <c r="Y9" i="2" l="1"/>
  <c r="X9" i="2" a="1"/>
  <c r="X9" i="2" l="1"/>
  <c r="W9" i="2" a="1"/>
  <c r="W9" i="2" l="1"/>
  <c r="V9" i="2" a="1"/>
  <c r="V9" i="2" l="1"/>
  <c r="U9" i="2" a="1"/>
  <c r="U9" i="2" l="1"/>
  <c r="T9" i="2" a="1"/>
  <c r="T9" i="2" l="1"/>
  <c r="S9" i="2" a="1"/>
  <c r="S9" i="2" l="1"/>
  <c r="R9" i="2" a="1"/>
  <c r="R9" i="2" l="1"/>
  <c r="Q9" i="2" a="1"/>
  <c r="Q9" i="2" l="1"/>
  <c r="P9" i="2" a="1"/>
  <c r="P9" i="2" l="1"/>
  <c r="O9" i="2" a="1"/>
  <c r="O9" i="2" l="1"/>
  <c r="M9" i="2" a="1"/>
  <c r="M9" i="2" l="1"/>
  <c r="L9" i="2" a="1"/>
  <c r="L9" i="2" l="1"/>
  <c r="K9" i="2" a="1"/>
  <c r="K9" i="2" l="1"/>
  <c r="J9" i="2" a="1"/>
  <c r="J9" i="2" l="1"/>
  <c r="I9" i="2" a="1"/>
  <c r="I9" i="2" l="1"/>
  <c r="H9" i="2" a="1"/>
  <c r="H9" i="2" l="1"/>
  <c r="G9" i="2" a="1"/>
  <c r="G9" i="2" l="1"/>
  <c r="F9" i="2" a="1"/>
  <c r="F9" i="2" l="1"/>
  <c r="E9" i="2" a="1"/>
  <c r="E9" i="2" l="1"/>
  <c r="D9" i="2" a="1"/>
  <c r="D9" i="2" l="1"/>
  <c r="AL8" i="2" a="1"/>
  <c r="AL8" i="2" l="1"/>
  <c r="AK8" i="2" a="1"/>
  <c r="AK8" i="2" l="1"/>
  <c r="AL71" i="2"/>
  <c r="AL42" i="2"/>
  <c r="AJ8" i="2" a="1"/>
  <c r="AJ8" i="2" l="1"/>
  <c r="AK71" i="2"/>
  <c r="AK42" i="2"/>
  <c r="AI8" i="2" a="1"/>
  <c r="AI8" i="2" l="1"/>
  <c r="AJ71" i="2"/>
  <c r="AJ42" i="2"/>
  <c r="AH8" i="2" a="1"/>
  <c r="AH8" i="2" l="1"/>
  <c r="AI71" i="2"/>
  <c r="AI42" i="2"/>
  <c r="AG8" i="2" a="1"/>
  <c r="AG8" i="2" l="1"/>
  <c r="AH71" i="2"/>
  <c r="AH42" i="2"/>
  <c r="AF8" i="2" a="1"/>
  <c r="AF8" i="2" l="1"/>
  <c r="AG71" i="2"/>
  <c r="AG42" i="2"/>
  <c r="AE8" i="2" a="1"/>
  <c r="AE8" i="2" l="1"/>
  <c r="AF71" i="2"/>
  <c r="AF42" i="2"/>
  <c r="AD8" i="2" a="1"/>
  <c r="AD8" i="2" l="1"/>
  <c r="AE71" i="2"/>
  <c r="AE42" i="2"/>
  <c r="AC8" i="2" a="1"/>
  <c r="AC8" i="2" l="1"/>
  <c r="AD71" i="2"/>
  <c r="AD42" i="2"/>
  <c r="AB8" i="2" a="1"/>
  <c r="AB8" i="2" l="1"/>
  <c r="AC71" i="2"/>
  <c r="AC42" i="2"/>
  <c r="AA8" i="2" a="1"/>
  <c r="AA8" i="2" l="1"/>
  <c r="AB71" i="2"/>
  <c r="AB42" i="2"/>
  <c r="Z8" i="2" a="1"/>
  <c r="Z8" i="2" l="1"/>
  <c r="AA71" i="2"/>
  <c r="AA42" i="2"/>
  <c r="Y8" i="2" a="1"/>
  <c r="Y8" i="2" l="1"/>
  <c r="Z71" i="2"/>
  <c r="Z42" i="2"/>
  <c r="X8" i="2" a="1"/>
  <c r="X8" i="2" l="1"/>
  <c r="Y71" i="2"/>
  <c r="Y42" i="2"/>
  <c r="W8" i="2" a="1"/>
  <c r="W8" i="2" l="1"/>
  <c r="X71" i="2"/>
  <c r="X42" i="2"/>
  <c r="V8" i="2" a="1"/>
  <c r="V8" i="2" l="1"/>
  <c r="W71" i="2"/>
  <c r="W42" i="2"/>
  <c r="U8" i="2" a="1"/>
  <c r="U8" i="2" l="1"/>
  <c r="V71" i="2"/>
  <c r="V42" i="2"/>
  <c r="T8" i="2" a="1"/>
  <c r="T8" i="2" l="1"/>
  <c r="U71" i="2"/>
  <c r="U42" i="2"/>
  <c r="S8" i="2" a="1"/>
  <c r="S8" i="2" l="1"/>
  <c r="T71" i="2"/>
  <c r="T42" i="2"/>
  <c r="R8" i="2" a="1"/>
  <c r="R8" i="2" l="1"/>
  <c r="S71" i="2"/>
  <c r="S42" i="2"/>
  <c r="Q8" i="2" a="1"/>
  <c r="Q8" i="2" l="1"/>
  <c r="R71" i="2"/>
  <c r="R42" i="2"/>
  <c r="Q71" i="2" l="1"/>
  <c r="Q42" i="2"/>
  <c r="O8" i="2" a="1"/>
  <c r="O8" i="2" l="1"/>
  <c r="P71" i="2"/>
  <c r="O71" i="2" l="1"/>
  <c r="O42" i="2"/>
  <c r="N71" i="2" l="1"/>
  <c r="N42" i="2"/>
  <c r="L8" i="2" a="1"/>
  <c r="L8" i="2" l="1"/>
  <c r="M71" i="2"/>
  <c r="M42" i="2"/>
  <c r="K8" i="2" a="1"/>
  <c r="K8" i="2" l="1"/>
  <c r="L71" i="2"/>
  <c r="L42" i="2"/>
  <c r="J8" i="2" a="1"/>
  <c r="J8" i="2" l="1"/>
  <c r="K71" i="2"/>
  <c r="K42" i="2"/>
  <c r="I8" i="2" a="1"/>
  <c r="I8" i="2" l="1"/>
  <c r="J71" i="2"/>
  <c r="J42" i="2"/>
  <c r="H8" i="2" a="1"/>
  <c r="H8" i="2" l="1"/>
  <c r="I71" i="2"/>
  <c r="I42" i="2"/>
  <c r="G8" i="2" a="1"/>
  <c r="G8" i="2" l="1"/>
  <c r="H71" i="2"/>
  <c r="H42" i="2"/>
  <c r="F8" i="2" a="1"/>
  <c r="F8" i="2" l="1"/>
  <c r="G71" i="2"/>
  <c r="G42" i="2"/>
  <c r="E8" i="2" a="1"/>
  <c r="E8" i="2" l="1"/>
  <c r="F71" i="2"/>
  <c r="F42" i="2"/>
  <c r="D8" i="2" a="1"/>
  <c r="D8" i="2" l="1"/>
  <c r="E71" i="2"/>
  <c r="E42" i="2"/>
  <c r="D71" i="2" l="1"/>
  <c r="D42" i="2"/>
  <c r="E12" i="3" l="1"/>
  <c r="E18" i="3" s="1"/>
  <c r="E23" i="3" s="1"/>
  <c r="E34" i="3"/>
  <c r="E38" i="3" s="1"/>
  <c r="E57" i="3"/>
  <c r="E60" i="3" s="1"/>
  <c r="L6" i="3" l="1"/>
  <c r="E24" i="3"/>
  <c r="E64" i="3"/>
  <c r="E79" i="3" s="1"/>
  <c r="E81" i="3" s="1"/>
  <c r="E40" i="3"/>
  <c r="E44" i="3" s="1"/>
  <c r="E46" i="3" s="1"/>
  <c r="E47" i="3" s="1"/>
  <c r="E65" i="3" l="1"/>
  <c r="E69" i="3" s="1"/>
  <c r="E83" i="3"/>
  <c r="E87" i="3" s="1"/>
  <c r="E49" i="3"/>
  <c r="C13" i="1"/>
  <c r="E88" i="3" l="1"/>
  <c r="L75" i="3"/>
  <c r="E70" i="3"/>
  <c r="L56" i="3"/>
  <c r="D50" i="3"/>
  <c r="L28" i="3"/>
  <c r="E90" i="3"/>
  <c r="D91" i="3" s="1"/>
  <c r="F50" i="3"/>
  <c r="F9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N8" authorId="0" shapeId="0" xr:uid="{F020AF06-8D1A-45DC-8813-EDA4EB2428D4}">
      <text>
        <r>
          <rPr>
            <b/>
            <sz val="9"/>
            <color indexed="81"/>
            <rFont val="Tahoma"/>
            <charset val="1"/>
          </rPr>
          <t>Mariani, Zach:</t>
        </r>
        <r>
          <rPr>
            <sz val="9"/>
            <color indexed="81"/>
            <rFont val="Tahoma"/>
            <charset val="1"/>
          </rPr>
          <t xml:space="preserve">
VA didn't line up with edited statements, number manually edited to align with statements</t>
        </r>
      </text>
    </comment>
    <comment ref="AI35" authorId="0" shapeId="0" xr:uid="{BD38F788-5407-478F-8279-B28EC6B4A01C}">
      <text>
        <r>
          <rPr>
            <b/>
            <sz val="9"/>
            <color indexed="81"/>
            <rFont val="Tahoma"/>
            <family val="2"/>
          </rPr>
          <t>Mariani, Zach:</t>
        </r>
        <r>
          <rPr>
            <sz val="9"/>
            <color indexed="81"/>
            <rFont val="Tahoma"/>
            <family val="2"/>
          </rPr>
          <t xml:space="preserve">
due to a change in reporting conventions mid year these numbers have to be negative to get to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AK3" authorId="0" shapeId="0" xr:uid="{76FF825C-2A67-4466-A46B-2C9AD08BBBC5}">
      <text>
        <r>
          <rPr>
            <b/>
            <sz val="9"/>
            <color indexed="81"/>
            <rFont val="Tahoma"/>
            <family val="2"/>
          </rPr>
          <t>Mariani, Zach:</t>
        </r>
        <r>
          <rPr>
            <sz val="9"/>
            <color indexed="81"/>
            <rFont val="Tahoma"/>
            <family val="2"/>
          </rPr>
          <t xml:space="preserve">
these numbers come from visible alpha consensus, they give the change in Revenue attributable to price vs volume 
</t>
        </r>
      </text>
    </comment>
    <comment ref="BD4" authorId="0" shapeId="0" xr:uid="{6ADEFAE3-91E9-4E93-94B0-6EF064164D2B}">
      <text>
        <r>
          <rPr>
            <b/>
            <sz val="9"/>
            <color indexed="81"/>
            <rFont val="Tahoma"/>
            <family val="2"/>
          </rPr>
          <t>Mariani, Zach:</t>
        </r>
        <r>
          <rPr>
            <sz val="9"/>
            <color indexed="81"/>
            <rFont val="Tahoma"/>
            <family val="2"/>
          </rPr>
          <t xml:space="preserve">
I'm not 100% sure what's going on here </t>
        </r>
      </text>
    </comment>
    <comment ref="AQ5" authorId="0" shapeId="0" xr:uid="{5CC2C2A0-7128-4E48-95D0-C03CEFA49E50}">
      <text>
        <r>
          <rPr>
            <b/>
            <sz val="9"/>
            <color indexed="81"/>
            <rFont val="Tahoma"/>
            <family val="2"/>
          </rPr>
          <t>Mariani, Zach:</t>
        </r>
        <r>
          <rPr>
            <sz val="9"/>
            <color indexed="81"/>
            <rFont val="Tahoma"/>
            <family val="2"/>
          </rPr>
          <t xml:space="preserve">
this gives information about each specific company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<sst xmlns="http://schemas.openxmlformats.org/spreadsheetml/2006/main" count="752" uniqueCount="464">
  <si>
    <t>Company</t>
  </si>
  <si>
    <t>BBG Ticker</t>
  </si>
  <si>
    <t xml:space="preserve">Keurig Dr Pepper, Inc. </t>
  </si>
  <si>
    <t xml:space="preserve">KDP US Equity </t>
  </si>
  <si>
    <t>Last Reported Earnings</t>
  </si>
  <si>
    <t>Next Earnings</t>
  </si>
  <si>
    <t>3QFY3</t>
  </si>
  <si>
    <t>Days Until Next Earnings</t>
  </si>
  <si>
    <t xml:space="preserve">2QFY23 </t>
  </si>
  <si>
    <t xml:space="preserve">Cost of Sales </t>
  </si>
  <si>
    <t>Gross Profit</t>
  </si>
  <si>
    <t xml:space="preserve">Total OpEx </t>
  </si>
  <si>
    <t xml:space="preserve">Total Revenue </t>
  </si>
  <si>
    <t>SG&amp;A</t>
  </si>
  <si>
    <t xml:space="preserve">EBITDA </t>
  </si>
  <si>
    <t xml:space="preserve">Interest expense </t>
  </si>
  <si>
    <t>EBT</t>
  </si>
  <si>
    <t>Taxes</t>
  </si>
  <si>
    <t>Net Income</t>
  </si>
  <si>
    <t xml:space="preserve">Number of Shares, Basic </t>
  </si>
  <si>
    <t xml:space="preserve">EPS - Basic </t>
  </si>
  <si>
    <t>Number of Shares, Diluted</t>
  </si>
  <si>
    <t xml:space="preserve">EPS - Diluted </t>
  </si>
  <si>
    <t xml:space="preserve">Share Price </t>
  </si>
  <si>
    <t xml:space="preserve">Dividend per share </t>
  </si>
  <si>
    <t>FY-2020</t>
  </si>
  <si>
    <t>FY-2021</t>
  </si>
  <si>
    <t>FY-2022</t>
  </si>
  <si>
    <t>Other Income</t>
  </si>
  <si>
    <t>Income/Loss before tax</t>
  </si>
  <si>
    <t>Total Adjustments to NI</t>
  </si>
  <si>
    <t>Adj NI</t>
  </si>
  <si>
    <t>Q4-FY2021</t>
  </si>
  <si>
    <t>Q3-FY2021</t>
  </si>
  <si>
    <t>Q2-FY2021</t>
  </si>
  <si>
    <t>Q1-FY2021</t>
  </si>
  <si>
    <t>Q1-FY2022</t>
  </si>
  <si>
    <t>Q2-FY2022</t>
  </si>
  <si>
    <t>Q3-FY2022</t>
  </si>
  <si>
    <t>Q4-FY2022</t>
  </si>
  <si>
    <t>Q1-FY2023</t>
  </si>
  <si>
    <t>Q2-FY2023</t>
  </si>
  <si>
    <t>Q4-FY2020</t>
  </si>
  <si>
    <t>Q3-FY2020</t>
  </si>
  <si>
    <t>Q2-FY2020</t>
  </si>
  <si>
    <t>Q1-FY2020</t>
  </si>
  <si>
    <t>FY2019</t>
  </si>
  <si>
    <t>Q4-FY2019</t>
  </si>
  <si>
    <t>Q3-FY2019</t>
  </si>
  <si>
    <t>Q2-FY2019</t>
  </si>
  <si>
    <t>Q1-FY2019</t>
  </si>
  <si>
    <t>FY2018</t>
  </si>
  <si>
    <t>Q4-FY2018</t>
  </si>
  <si>
    <t>Q3-FY2018</t>
  </si>
  <si>
    <t>Q2-FY2018</t>
  </si>
  <si>
    <t>Q1-FY2018</t>
  </si>
  <si>
    <t>FY2017</t>
  </si>
  <si>
    <t>Q4-FY2017</t>
  </si>
  <si>
    <t>Q3-FY2017</t>
  </si>
  <si>
    <t>Q2-FY2017</t>
  </si>
  <si>
    <t>Q1-FY2017</t>
  </si>
  <si>
    <t>FY2016</t>
  </si>
  <si>
    <t>FY2015</t>
  </si>
  <si>
    <t>FY2014</t>
  </si>
  <si>
    <t xml:space="preserve">International </t>
  </si>
  <si>
    <t>Total revenue - US - Refreshment Beverages</t>
  </si>
  <si>
    <t>Total revenue - US - Coffee</t>
  </si>
  <si>
    <t>Total revenue - International</t>
  </si>
  <si>
    <t>VA Ticker</t>
  </si>
  <si>
    <t>KDP_US</t>
  </si>
  <si>
    <t>VA Names</t>
  </si>
  <si>
    <t xml:space="preserve">Refreshment Beverages </t>
  </si>
  <si>
    <t xml:space="preserve">Coffee </t>
  </si>
  <si>
    <t>Volume</t>
  </si>
  <si>
    <t>Price</t>
  </si>
  <si>
    <t>FX</t>
  </si>
  <si>
    <t>Volume growth - US - Refreshment beverages</t>
  </si>
  <si>
    <t>Price growth - US - Refreshment beverages</t>
  </si>
  <si>
    <t>Volume growth - US - Coffee</t>
  </si>
  <si>
    <t>Price growth - US - Coffee</t>
  </si>
  <si>
    <t xml:space="preserve">Volume growth - International </t>
  </si>
  <si>
    <t>Price growth - International</t>
  </si>
  <si>
    <t xml:space="preserve">Forex growth - International </t>
  </si>
  <si>
    <t xml:space="preserve">Operating Margins </t>
  </si>
  <si>
    <t xml:space="preserve">Refreshment  </t>
  </si>
  <si>
    <t xml:space="preserve">Total </t>
  </si>
  <si>
    <t xml:space="preserve">Operating Margin - US - Refreshment beverages </t>
  </si>
  <si>
    <t xml:space="preserve">Operating Margin - US - Coffee  </t>
  </si>
  <si>
    <t>Operating Margin - Operating</t>
  </si>
  <si>
    <t xml:space="preserve">Operating Margin - International </t>
  </si>
  <si>
    <t>Q4</t>
  </si>
  <si>
    <t xml:space="preserve">Q1 </t>
  </si>
  <si>
    <t xml:space="preserve">Q2 </t>
  </si>
  <si>
    <t xml:space="preserve">Q3 </t>
  </si>
  <si>
    <t xml:space="preserve">Q4 </t>
  </si>
  <si>
    <t>Period Ending</t>
  </si>
  <si>
    <t>Report Date</t>
  </si>
  <si>
    <t>Income Statement</t>
  </si>
  <si>
    <t xml:space="preserve">Assets </t>
  </si>
  <si>
    <t xml:space="preserve">Cash &amp; Equivalents </t>
  </si>
  <si>
    <t xml:space="preserve">A/R </t>
  </si>
  <si>
    <t xml:space="preserve">Inventory </t>
  </si>
  <si>
    <t xml:space="preserve">Other current assets </t>
  </si>
  <si>
    <t xml:space="preserve">Total Current Assets </t>
  </si>
  <si>
    <t xml:space="preserve">Current Assets </t>
  </si>
  <si>
    <t>Current long-term obligation</t>
  </si>
  <si>
    <t xml:space="preserve">A/P </t>
  </si>
  <si>
    <t xml:space="preserve">Total current liabilities </t>
  </si>
  <si>
    <t>Long-Term Obligations</t>
  </si>
  <si>
    <t>DTL</t>
  </si>
  <si>
    <t xml:space="preserve">PP&amp;E, net </t>
  </si>
  <si>
    <t xml:space="preserve">Intangibles </t>
  </si>
  <si>
    <t xml:space="preserve">Total non-current assets </t>
  </si>
  <si>
    <t xml:space="preserve">Non-Current Assets </t>
  </si>
  <si>
    <t xml:space="preserve">SE </t>
  </si>
  <si>
    <t xml:space="preserve">Common Stock </t>
  </si>
  <si>
    <t xml:space="preserve">Preferred Stock </t>
  </si>
  <si>
    <t>Retained earnings</t>
  </si>
  <si>
    <t>PIK</t>
  </si>
  <si>
    <t>AOCI</t>
  </si>
  <si>
    <t xml:space="preserve">Treasury stock </t>
  </si>
  <si>
    <t>Total SE</t>
  </si>
  <si>
    <t>NCI</t>
  </si>
  <si>
    <t xml:space="preserve">Total SE </t>
  </si>
  <si>
    <t xml:space="preserve">Check </t>
  </si>
  <si>
    <t>Cash and cash equivalents incl. surplus cash</t>
  </si>
  <si>
    <t>Trade and other receivables</t>
  </si>
  <si>
    <t>Inventories</t>
  </si>
  <si>
    <t>Other current assets</t>
  </si>
  <si>
    <t xml:space="preserve">Total current assets </t>
  </si>
  <si>
    <t>Property, plant and equipment, net</t>
  </si>
  <si>
    <t xml:space="preserve">Intangible assets, net </t>
  </si>
  <si>
    <t xml:space="preserve">Total other non-current assets </t>
  </si>
  <si>
    <t xml:space="preserve">Total assets </t>
  </si>
  <si>
    <t>Current portion of long-term obligations</t>
  </si>
  <si>
    <t>Accounts Payable and other current liabilities</t>
  </si>
  <si>
    <t xml:space="preserve">Total other current liabilities </t>
  </si>
  <si>
    <t>Long-term obligations</t>
  </si>
  <si>
    <t>Deferred tax liabilities - Non-current</t>
  </si>
  <si>
    <t xml:space="preserve">Total other long-term liabilities </t>
  </si>
  <si>
    <t xml:space="preserve">Total liabilities </t>
  </si>
  <si>
    <t xml:space="preserve">Common stock </t>
  </si>
  <si>
    <t>Preferred stock</t>
  </si>
  <si>
    <t>Treasury stock</t>
  </si>
  <si>
    <t>Accumulated other comprehensive loss</t>
  </si>
  <si>
    <t>Total stockholders' equity</t>
  </si>
  <si>
    <t>Total liabilities and stockholders' equity</t>
  </si>
  <si>
    <t>Employee redeemable non-controlling interest and mezzanine equity awards</t>
  </si>
  <si>
    <t xml:space="preserve">Additional paid-in capital </t>
  </si>
  <si>
    <t>Balance Sheet</t>
  </si>
  <si>
    <t>Cash Flow Statement</t>
  </si>
  <si>
    <t xml:space="preserve">Net income </t>
  </si>
  <si>
    <t xml:space="preserve">Other non-cash activities </t>
  </si>
  <si>
    <t xml:space="preserve">Changes in NWC </t>
  </si>
  <si>
    <t>Change in inventories</t>
  </si>
  <si>
    <t xml:space="preserve">Total change in working capital </t>
  </si>
  <si>
    <t xml:space="preserve">Net cash provided by/(used in) operating activities </t>
  </si>
  <si>
    <t>CapEx</t>
  </si>
  <si>
    <t>Acquisitions</t>
  </si>
  <si>
    <t xml:space="preserve">Other investing activities </t>
  </si>
  <si>
    <t>Net cash provided by/(used in) investing activities</t>
  </si>
  <si>
    <t>Repurchase of shares of common stock</t>
  </si>
  <si>
    <t>Total proceeds/(repayment) of debt</t>
  </si>
  <si>
    <t>Dividends paid</t>
  </si>
  <si>
    <t xml:space="preserve">Total other financing activities </t>
  </si>
  <si>
    <t>CFO</t>
  </si>
  <si>
    <t>CFF</t>
  </si>
  <si>
    <t>Change in Cash</t>
  </si>
  <si>
    <t>Exchange Rate effect</t>
  </si>
  <si>
    <t xml:space="preserve">Cash at beginning of period </t>
  </si>
  <si>
    <t xml:space="preserve">Cash at end of period </t>
  </si>
  <si>
    <t>Net income/(losses)</t>
  </si>
  <si>
    <t>Total capex</t>
  </si>
  <si>
    <t>Total other investing activities</t>
  </si>
  <si>
    <t>CFI</t>
  </si>
  <si>
    <t xml:space="preserve">Depreciation and amortization </t>
  </si>
  <si>
    <t>Change in receivables</t>
  </si>
  <si>
    <t xml:space="preserve">Total other changes in working capital </t>
  </si>
  <si>
    <t xml:space="preserve">Acquisition of business net </t>
  </si>
  <si>
    <t xml:space="preserve">Liabilities </t>
  </si>
  <si>
    <t>Short-Term Liabilities</t>
  </si>
  <si>
    <t xml:space="preserve">Other current liabilities </t>
  </si>
  <si>
    <t xml:space="preserve">Long-Term Liabilities </t>
  </si>
  <si>
    <t xml:space="preserve">Other long-term liabilities </t>
  </si>
  <si>
    <t xml:space="preserve">Total Liabilities </t>
  </si>
  <si>
    <t xml:space="preserve">Total Liabilities + SE </t>
  </si>
  <si>
    <t xml:space="preserve">Total other change in working capital </t>
  </si>
  <si>
    <t>Net cash provided by/(used in) financing activities</t>
  </si>
  <si>
    <t>Effect of exchange rate changes on cash and cash equivalents</t>
  </si>
  <si>
    <t>Total proceeds/(repayments) of debt</t>
  </si>
  <si>
    <t xml:space="preserve">Cash and cash equivalents at beginning of period </t>
  </si>
  <si>
    <t xml:space="preserve">Top Down </t>
  </si>
  <si>
    <t xml:space="preserve">Market for Keurig Machines </t>
  </si>
  <si>
    <t xml:space="preserve">Market for Keurig Pods </t>
  </si>
  <si>
    <t xml:space="preserve">Bottoms Up </t>
  </si>
  <si>
    <t>Market for Keurig Machines</t>
  </si>
  <si>
    <t xml:space="preserve">Total US Households </t>
  </si>
  <si>
    <t xml:space="preserve">Percentage which drink coffee weekly </t>
  </si>
  <si>
    <t xml:space="preserve">Keurig Owners </t>
  </si>
  <si>
    <t>Non Keurig Owners</t>
  </si>
  <si>
    <t>Replacement Rate for Current Owners</t>
  </si>
  <si>
    <t>%</t>
  </si>
  <si>
    <t xml:space="preserve">M </t>
  </si>
  <si>
    <t>Yrs</t>
  </si>
  <si>
    <t>Replacement Keurig Machines</t>
  </si>
  <si>
    <t>New Keurig Sales</t>
  </si>
  <si>
    <t>Percentage of NonKeurig Owners who convert (annually)</t>
  </si>
  <si>
    <t>Total Annual Sales of Machines</t>
  </si>
  <si>
    <t xml:space="preserve">Average cost per machine </t>
  </si>
  <si>
    <t>$</t>
  </si>
  <si>
    <t>M</t>
  </si>
  <si>
    <t>Total Average Revenue from Machine Sales</t>
  </si>
  <si>
    <t xml:space="preserve">Current Machines </t>
  </si>
  <si>
    <t xml:space="preserve">2020 US census </t>
  </si>
  <si>
    <t>from Keurig 2021 Investor Day presentation, slide 67</t>
  </si>
  <si>
    <t>assume from online sources…. $60-$200 is range</t>
  </si>
  <si>
    <t xml:space="preserve">total annual revenue for K is in the billions, 1/4 of revenue from machines might seem high </t>
  </si>
  <si>
    <t>Inactive Users</t>
  </si>
  <si>
    <t>Recovered Inactive Users</t>
  </si>
  <si>
    <t>10% assumed, look for other data / information here</t>
  </si>
  <si>
    <t xml:space="preserve">follows from work above on machine market </t>
  </si>
  <si>
    <t>Total HHs ordering Pods Weekly</t>
  </si>
  <si>
    <t xml:space="preserve">NB: key assumption is that each house would not have more than one active Keurig machine at a time </t>
  </si>
  <si>
    <t>Annual New Machines added</t>
  </si>
  <si>
    <t>calc</t>
  </si>
  <si>
    <t xml:space="preserve">Pods ordered per week </t>
  </si>
  <si>
    <t xml:space="preserve">Total pods ordered </t>
  </si>
  <si>
    <t>Value</t>
  </si>
  <si>
    <t>Units</t>
  </si>
  <si>
    <t>Notes</t>
  </si>
  <si>
    <t xml:space="preserve">Cost per pod </t>
  </si>
  <si>
    <t>Total pod revenue, annually</t>
  </si>
  <si>
    <t>pods</t>
  </si>
  <si>
    <t>% of HH ordering weekly</t>
  </si>
  <si>
    <t>assumption</t>
  </si>
  <si>
    <t>M USD</t>
  </si>
  <si>
    <t xml:space="preserve">M USD </t>
  </si>
  <si>
    <t xml:space="preserve">US Population </t>
  </si>
  <si>
    <t xml:space="preserve">US census </t>
  </si>
  <si>
    <t>% adults</t>
  </si>
  <si>
    <t xml:space="preserve">Census </t>
  </si>
  <si>
    <t>% of children who drink coffee</t>
  </si>
  <si>
    <t>% of adults who drink coffee every day</t>
  </si>
  <si>
    <t xml:space="preserve">drive research </t>
  </si>
  <si>
    <t>Pop of coffee drinkers daily</t>
  </si>
  <si>
    <t xml:space="preserve">% who drink coffee at home </t>
  </si>
  <si>
    <t>from Keurig 2021 Investor Day presentation, slide 62</t>
  </si>
  <si>
    <t>Pop of coffee drinkers daily, at home</t>
  </si>
  <si>
    <t xml:space="preserve">% of pop with Keurig at home </t>
  </si>
  <si>
    <t xml:space="preserve">calced from Keurig 2021 Investor Day presentation </t>
  </si>
  <si>
    <t>% of pop with Keurig who uses their Keurig for coffee</t>
  </si>
  <si>
    <t>Coffee drinkers daily, at home, with Keurig, using Keurig</t>
  </si>
  <si>
    <t xml:space="preserve">Cups drank per day </t>
  </si>
  <si>
    <t>cups</t>
  </si>
  <si>
    <t>Cups drank total, at home, with Keurig</t>
  </si>
  <si>
    <t xml:space="preserve">M cups </t>
  </si>
  <si>
    <t xml:space="preserve">Revenue per pod </t>
  </si>
  <si>
    <t>Total revenue from pods</t>
  </si>
  <si>
    <t>US HH drinking coffee weekly at home</t>
  </si>
  <si>
    <t>Percentage that have a coffee machine</t>
  </si>
  <si>
    <t>Annual replacement rate of a coffee machine</t>
  </si>
  <si>
    <t xml:space="preserve">Average cost of Keurig machine </t>
  </si>
  <si>
    <t>yrs</t>
  </si>
  <si>
    <t>US HH added annually</t>
  </si>
  <si>
    <t>Percentage that want a coffee machine, but don't already have one</t>
  </si>
  <si>
    <t>US HH added, getting a coffee machine</t>
  </si>
  <si>
    <t xml:space="preserve">% </t>
  </si>
  <si>
    <t>Total coffee machines being purchased annually</t>
  </si>
  <si>
    <t>% of new coffee machine market to Keurig</t>
  </si>
  <si>
    <t>Total Keurig Revenue from Machines</t>
  </si>
  <si>
    <t xml:space="preserve">from Keurig 2021 Investor Day, they have 45M Keurig HH out of 88M coffee households, we assume constant market share </t>
  </si>
  <si>
    <t>from USAFacts (maybe not the best source)</t>
  </si>
  <si>
    <t>Existing US HH buying a coffee machine for the first time</t>
  </si>
  <si>
    <t xml:space="preserve">we assume that all US hh that would want a coffee machine already have one </t>
  </si>
  <si>
    <t>Top Down, Keurig machine and pod revenue</t>
  </si>
  <si>
    <t xml:space="preserve">Bottoms Up, Keurig machine and pod revenue </t>
  </si>
  <si>
    <t>from various online sources, ranges from 3-5 yrs</t>
  </si>
  <si>
    <t>Keurig 2021 Investor Day presentation, slide 67 says that there are 69% of HH who drink coffee weekly, we assume a much higher share already owns a coffee machine</t>
  </si>
  <si>
    <t>Replacement coffee machines into existing US HH</t>
  </si>
  <si>
    <t>US Refreshment Beverages</t>
  </si>
  <si>
    <t>LRB</t>
  </si>
  <si>
    <t xml:space="preserve">Other </t>
  </si>
  <si>
    <t>US Coffee</t>
  </si>
  <si>
    <t xml:space="preserve">K-Cup Pods </t>
  </si>
  <si>
    <t>Appliances</t>
  </si>
  <si>
    <t xml:space="preserve">Total  </t>
  </si>
  <si>
    <t>CSD</t>
  </si>
  <si>
    <t xml:space="preserve">NCB </t>
  </si>
  <si>
    <t xml:space="preserve">Total Revenue, Revenue Recognition </t>
  </si>
  <si>
    <t>Bernstein Data</t>
  </si>
  <si>
    <t xml:space="preserve">US Single Serve - Avg Unit Price </t>
  </si>
  <si>
    <t>US Single Serve Price as a Multiple of Loose Coffee</t>
  </si>
  <si>
    <t>US Single Serve, Loose - Avg Unit Implied Price</t>
  </si>
  <si>
    <t>Implied Pod Volume (in Millions)</t>
  </si>
  <si>
    <t>Timestamp</t>
  </si>
  <si>
    <t>Column Name</t>
  </si>
  <si>
    <t>K-Cup Pods, Revenue</t>
  </si>
  <si>
    <t>K-Cup Pods, Volume</t>
  </si>
  <si>
    <t>NB: this may stop working if the future periods are expanded or if new item lines are added</t>
  </si>
  <si>
    <t xml:space="preserve">assumed, toggled to get final value to around KDP revenue </t>
  </si>
  <si>
    <t>assume from online sources…. $60-$200 is range, toggled to get into the KDP range</t>
  </si>
  <si>
    <t>assumption, toggled to get HH to the ballpark of KDP numbers</t>
  </si>
  <si>
    <t>Stacks</t>
  </si>
  <si>
    <t>Revenue</t>
  </si>
  <si>
    <t>K-Cup Pods</t>
  </si>
  <si>
    <t>Revenue, 1yr</t>
  </si>
  <si>
    <t>K-Cup Pods, 1yr, revenue growth</t>
  </si>
  <si>
    <t>Appliances, 1yr, revenue growth</t>
  </si>
  <si>
    <t>Retailer Margin</t>
  </si>
  <si>
    <t>Keurig Revenue from pods</t>
  </si>
  <si>
    <t xml:space="preserve">assumption, from Bernstein report </t>
  </si>
  <si>
    <t>assumed, from Bernstein report</t>
  </si>
  <si>
    <t>Retailer margin</t>
  </si>
  <si>
    <t>assumed from Bernstein report</t>
  </si>
  <si>
    <t>assumption based on prices on amzn and Costco, AMZN prices around 0.20-0.30 for cheaper, 0.80 for higher end, Costco is around 0.55 for higher end in bulk, Bernstein report has last listed price at 0.60</t>
  </si>
  <si>
    <t xml:space="preserve">assumed, from Bernstein report says about 30-40 for the coffee market, probably lower for machines…? More research required here </t>
  </si>
  <si>
    <t>Appliances Revenue / Appliances and K-Cups Revenue</t>
  </si>
  <si>
    <t>Appliance Rev over Coffee Rev</t>
  </si>
  <si>
    <t>Guidance</t>
  </si>
  <si>
    <t xml:space="preserve">Constant Currency Net Sales Growth </t>
  </si>
  <si>
    <t xml:space="preserve">Adjusted diluted EPS growth </t>
  </si>
  <si>
    <t>[6%, 7%]</t>
  </si>
  <si>
    <t>[5%, 6%]</t>
  </si>
  <si>
    <t>[5%]</t>
  </si>
  <si>
    <t>lsd</t>
  </si>
  <si>
    <t>msd</t>
  </si>
  <si>
    <t>ldd</t>
  </si>
  <si>
    <t>hsd</t>
  </si>
  <si>
    <t>[7%, 8%]</t>
  </si>
  <si>
    <t>[13%, 15%]</t>
  </si>
  <si>
    <t>Management leverage ratio</t>
  </si>
  <si>
    <t>[4%, 6%]</t>
  </si>
  <si>
    <t>[2%, 3%]</t>
  </si>
  <si>
    <t>[3%, 4%]</t>
  </si>
  <si>
    <t>[3.5, 3.8]</t>
  </si>
  <si>
    <t>[3]</t>
  </si>
  <si>
    <t>[15%, 17%]</t>
  </si>
  <si>
    <t>US HH Using Keurig System (from 22 annual report)</t>
  </si>
  <si>
    <t>Ticker</t>
  </si>
  <si>
    <t>Price vs. Volume, VA Analysis</t>
  </si>
  <si>
    <t>EBITDA</t>
  </si>
  <si>
    <t>Net Debt/</t>
  </si>
  <si>
    <t>% of</t>
  </si>
  <si>
    <t>Mkt</t>
  </si>
  <si>
    <t>Enterprise</t>
  </si>
  <si>
    <t>EV / NTM</t>
  </si>
  <si>
    <t>Delta vs Avg</t>
  </si>
  <si>
    <t>P / NTM</t>
  </si>
  <si>
    <t>2021 - 2023 CAGR</t>
  </si>
  <si>
    <t>Next Q</t>
  </si>
  <si>
    <t>Margin</t>
  </si>
  <si>
    <t>Most Recent Q</t>
  </si>
  <si>
    <t>52-week</t>
  </si>
  <si>
    <t>Diluted</t>
  </si>
  <si>
    <t>Common</t>
  </si>
  <si>
    <t>Preferred</t>
  </si>
  <si>
    <t>NTM</t>
  </si>
  <si>
    <t>Enterprise Value / NTM EBITDA</t>
  </si>
  <si>
    <t>Price / NTM EPS</t>
  </si>
  <si>
    <t>EPS</t>
  </si>
  <si>
    <t>Organic Net Sales</t>
  </si>
  <si>
    <t>Adj EBIT</t>
  </si>
  <si>
    <t>Adj EPS</t>
  </si>
  <si>
    <t>52wk Hi</t>
  </si>
  <si>
    <t>Cap</t>
  </si>
  <si>
    <t>1-yr</t>
  </si>
  <si>
    <t>2-yr</t>
  </si>
  <si>
    <t>Organic Sales (Change from 20-&gt;22)</t>
  </si>
  <si>
    <t>Adj EBIT (2020-2022 CAGR)</t>
  </si>
  <si>
    <t>Adj EPS (2020-2022 CAGR)</t>
  </si>
  <si>
    <t>Description</t>
  </si>
  <si>
    <t>Inv Turnover</t>
  </si>
  <si>
    <t>High</t>
  </si>
  <si>
    <t>Shares</t>
  </si>
  <si>
    <t>Debt</t>
  </si>
  <si>
    <t>&amp; Other</t>
  </si>
  <si>
    <t>Cash</t>
  </si>
  <si>
    <t>1-yr Avg</t>
  </si>
  <si>
    <t>2-yr Avg</t>
  </si>
  <si>
    <t>5-yr Avg</t>
  </si>
  <si>
    <t xml:space="preserve">Full Business </t>
  </si>
  <si>
    <t>North America</t>
  </si>
  <si>
    <t>PEP</t>
  </si>
  <si>
    <t>Average</t>
  </si>
  <si>
    <t>Median</t>
  </si>
  <si>
    <t>Text Ticker</t>
  </si>
  <si>
    <t>KDP</t>
  </si>
  <si>
    <t>Keurig-Dr Pepper</t>
  </si>
  <si>
    <t>Coke</t>
  </si>
  <si>
    <t xml:space="preserve">Pepsi </t>
  </si>
  <si>
    <t>Smucker</t>
  </si>
  <si>
    <t>Starbucks</t>
  </si>
  <si>
    <t>Nestle</t>
  </si>
  <si>
    <t>KO</t>
  </si>
  <si>
    <t>SJM</t>
  </si>
  <si>
    <t>SBUX</t>
  </si>
  <si>
    <t>Refreshment Beverages</t>
  </si>
  <si>
    <t>Coffee</t>
  </si>
  <si>
    <t>Beverages, North America</t>
  </si>
  <si>
    <t>US Retail Coffee</t>
  </si>
  <si>
    <t>FY23 (FY+1)</t>
  </si>
  <si>
    <t>FY24 (FY+2)</t>
  </si>
  <si>
    <t>Same Store Sales, North America, Price is Ticker, Volume is Transaction</t>
  </si>
  <si>
    <t>Powdered and Liquid Beverages, includes coffee and products like Nescau and Milo</t>
  </si>
  <si>
    <t>Difference Between KDP and Peers Mean, All</t>
  </si>
  <si>
    <t xml:space="preserve">Difference Between KDP and Peers Mean, Refreshment Beverages </t>
  </si>
  <si>
    <t xml:space="preserve">Difference Between KDP and Peers Mean, Coffee </t>
  </si>
  <si>
    <t>Current</t>
  </si>
  <si>
    <t>Bull</t>
  </si>
  <si>
    <t>Bear</t>
  </si>
  <si>
    <t>Exisiting US Households</t>
  </si>
  <si>
    <t>New US HH buying coffee machines</t>
  </si>
  <si>
    <t>3-5 yrs from research online, manipulated to get to right current rev from machines</t>
  </si>
  <si>
    <t>Important to Sensitize?</t>
  </si>
  <si>
    <t>no</t>
  </si>
  <si>
    <t>yes</t>
  </si>
  <si>
    <t>% upside and downside</t>
  </si>
  <si>
    <t>brewer volume was down 5.2% annually, this implies to be that there is no conversion happening… source Feb 2023 10k, page 29, we let there be some conversion in order to get current to present reported numbers</t>
  </si>
  <si>
    <t>Inactive Users recovery rate</t>
  </si>
  <si>
    <t>NESN SW</t>
  </si>
  <si>
    <t>from Keurig 2021 Investor Day presentation, slide 67, NB: there are 800k hotel brewers in the US and they are 1st in single serve coffee in offices according to company presentation on 2018/03/20, slide 75</t>
  </si>
  <si>
    <t>Random Notes</t>
  </si>
  <si>
    <t>They have 7 KGM distribution centers and 7 DPS distribution centers, as of report on 2018/03/20</t>
  </si>
  <si>
    <t>Keurig Machine Revenue / TAM</t>
  </si>
  <si>
    <t>current rev</t>
  </si>
  <si>
    <t>assumption, from above, depends on taste profiles</t>
  </si>
  <si>
    <t>NIH</t>
  </si>
  <si>
    <t>Keurig Pod Revenue / TAM</t>
  </si>
  <si>
    <t>Capacity</t>
  </si>
  <si>
    <t>Global 60-kg bags of coffee produced</t>
  </si>
  <si>
    <t>thousands</t>
  </si>
  <si>
    <t>Cost per Pod</t>
  </si>
  <si>
    <t>Pods Ordered / Week</t>
  </si>
  <si>
    <t>TAM for Keurig Pods</t>
  </si>
  <si>
    <t>TAM for Keurig Machines</t>
  </si>
  <si>
    <t>Percentage of Non Keurig Owners Who Switch to Keurig, Annually</t>
  </si>
  <si>
    <t>Years Before Coffee Machine Is Replaced</t>
  </si>
  <si>
    <t>% of People with a Keurig Who Use Their Keurig to Make Coffee at Home</t>
  </si>
  <si>
    <t>Cups per day</t>
  </si>
  <si>
    <t>USDA</t>
  </si>
  <si>
    <t>Roast Weight Reduction</t>
  </si>
  <si>
    <t>Quora</t>
  </si>
  <si>
    <t>Global 60-kg bags of coffee produced, weight post, roasting</t>
  </si>
  <si>
    <t>Grams of coffee per cup</t>
  </si>
  <si>
    <t>grams</t>
  </si>
  <si>
    <t>FullCoffeeRoast</t>
  </si>
  <si>
    <t>Coffees Implied by weight</t>
  </si>
  <si>
    <t>Cups of Coffee</t>
  </si>
  <si>
    <t>Percentage of coffee at home</t>
  </si>
  <si>
    <t>Keurig's Share of the at-home Market</t>
  </si>
  <si>
    <t xml:space="preserve">Price per Pod </t>
  </si>
  <si>
    <t xml:space="preserve">Retailer Margin </t>
  </si>
  <si>
    <t xml:space="preserve">K-Cup Revenue </t>
  </si>
  <si>
    <t xml:space="preserve">Keurig's Number of Coffees </t>
  </si>
  <si>
    <t>US Fraction</t>
  </si>
  <si>
    <t>US Coffee Cups by Global Weight</t>
  </si>
  <si>
    <t>US Coffee Cups by Global Weight by People Days</t>
  </si>
  <si>
    <t>sanity check</t>
  </si>
  <si>
    <t>estimated from Keurigs investor presentation</t>
  </si>
  <si>
    <t>Keurig's Share of the At-Home Market</t>
  </si>
  <si>
    <t>from above</t>
  </si>
  <si>
    <t xml:space="preserve">from above </t>
  </si>
  <si>
    <t xml:space="preserve">calc </t>
  </si>
  <si>
    <t>NB: this assumes that the same weight of beans is used for a Keurig and regular coffee, massive assumption which could use more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</si>
</sst>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_);\(&quot;$&quot;#,##0\)"/>
    <numFmt numFmtId="7" formatCode="&quot;$&quot;#,##0.00_);\(&quot;$&quot;#,##0.00\)"/>
    <numFmt numFmtId="41" formatCode="_(* #,##0_);_(* \(#,##0\);_(* &quot;-&quot;_);_(@_)"/>
    <numFmt numFmtId="164" formatCode="0.0%"/>
    <numFmt numFmtId="165" formatCode="0.0"/>
    <numFmt numFmtId="166" formatCode="0.0\x"/>
    <numFmt numFmtId="167" formatCode="#,##0.0_);\(#,##0.0\)"/>
    <numFmt numFmtId="168" formatCode="&quot;$&quot;#,##0.00"/>
    <numFmt numFmtId="169" formatCode="m/d/yy;@"/>
    <numFmt numFmtId="170" formatCode="#,###.0\x"/>
    <numFmt numFmtId="171" formatCode="#,##0.0\x"/>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4"/>
      <name val="Calibri"/>
      <family val="2"/>
      <scheme val="minor"/>
    </font>
    <font>
      <b/>
      <sz val="14"/>
      <color theme="0"/>
      <name val="Calibri"/>
      <family val="2"/>
      <scheme val="minor"/>
    </font>
    <font>
      <sz val="14"/>
      <color theme="0"/>
      <name val="Calibri"/>
      <family val="2"/>
      <scheme val="minor"/>
    </font>
    <font>
      <sz val="14"/>
      <color theme="1"/>
      <name val="Calibri"/>
      <family val="2"/>
      <scheme val="minor"/>
    </font>
    <font>
      <b/>
      <sz val="11"/>
      <color rgb="FFFF0000"/>
      <name val="Calibri"/>
      <family val="2"/>
      <scheme val="minor"/>
    </font>
    <font>
      <sz val="11"/>
      <color rgb="FF7030A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002060"/>
        <bgColor indexed="64"/>
      </patternFill>
    </fill>
    <fill>
      <patternFill patternType="solid">
        <fgColor rgb="FFFFC000"/>
        <bgColor indexed="64"/>
      </patternFill>
    </fill>
    <fill>
      <patternFill patternType="solid">
        <fgColor theme="7"/>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186">
    <xf numFmtId="0" fontId="0" fillId="0" borderId="0" xfId="0"/>
    <xf numFmtId="15" fontId="0" fillId="0" borderId="0" xfId="0" applyNumberFormat="1"/>
    <xf numFmtId="1" fontId="0" fillId="0" borderId="0" xfId="0" applyNumberForma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xf>
    <xf numFmtId="0" fontId="0" fillId="0" borderId="0" xfId="0" applyAlignment="1">
      <alignment horizontal="left" indent="6"/>
    </xf>
    <xf numFmtId="14" fontId="0" fillId="0" borderId="0" xfId="0" applyNumberFormat="1"/>
    <xf numFmtId="0" fontId="4" fillId="0" borderId="0" xfId="0" applyFont="1"/>
    <xf numFmtId="0" fontId="3" fillId="0" borderId="0" xfId="0" applyFont="1" applyAlignment="1">
      <alignment horizontal="left"/>
    </xf>
    <xf numFmtId="0" fontId="3" fillId="0" borderId="0" xfId="0" applyFont="1"/>
    <xf numFmtId="0" fontId="0" fillId="3" borderId="0" xfId="0" applyFill="1"/>
    <xf numFmtId="0" fontId="4" fillId="3" borderId="0" xfId="0" applyFont="1" applyFill="1"/>
    <xf numFmtId="37" fontId="0" fillId="3" borderId="0" xfId="0" applyNumberFormat="1" applyFill="1"/>
    <xf numFmtId="37" fontId="0" fillId="0" borderId="0" xfId="0" applyNumberFormat="1"/>
    <xf numFmtId="37" fontId="3" fillId="3" borderId="0" xfId="0" applyNumberFormat="1" applyFont="1" applyFill="1"/>
    <xf numFmtId="37" fontId="3" fillId="0" borderId="0" xfId="0" applyNumberFormat="1" applyFont="1"/>
    <xf numFmtId="164" fontId="0" fillId="3" borderId="0" xfId="1" applyNumberFormat="1" applyFont="1" applyFill="1"/>
    <xf numFmtId="164" fontId="0" fillId="0" borderId="0" xfId="1" applyNumberFormat="1" applyFont="1"/>
    <xf numFmtId="0" fontId="5" fillId="0" borderId="0" xfId="0" applyFont="1"/>
    <xf numFmtId="165" fontId="0" fillId="0" borderId="0" xfId="0" applyNumberFormat="1"/>
    <xf numFmtId="2" fontId="0" fillId="0" borderId="0" xfId="0" applyNumberFormat="1"/>
    <xf numFmtId="0" fontId="0" fillId="0" borderId="0" xfId="0" applyAlignment="1">
      <alignment horizontal="center"/>
    </xf>
    <xf numFmtId="0" fontId="2" fillId="2" borderId="0" xfId="0" applyFont="1" applyFill="1"/>
    <xf numFmtId="0" fontId="7" fillId="0" borderId="0" xfId="2"/>
    <xf numFmtId="9" fontId="0" fillId="0" borderId="0" xfId="0" applyNumberFormat="1"/>
    <xf numFmtId="0" fontId="0" fillId="2" borderId="0" xfId="0" applyFill="1"/>
    <xf numFmtId="37" fontId="0" fillId="3" borderId="0" xfId="1" applyNumberFormat="1" applyFont="1" applyFill="1"/>
    <xf numFmtId="37" fontId="0" fillId="0" borderId="0" xfId="1" applyNumberFormat="1" applyFont="1"/>
    <xf numFmtId="37" fontId="3" fillId="0" borderId="0" xfId="0" applyNumberFormat="1" applyFont="1" applyAlignment="1">
      <alignment horizontal="left"/>
    </xf>
    <xf numFmtId="37" fontId="3" fillId="3" borderId="0" xfId="1" applyNumberFormat="1" applyFont="1" applyFill="1"/>
    <xf numFmtId="37" fontId="3" fillId="0" borderId="0" xfId="1" applyNumberFormat="1" applyFont="1"/>
    <xf numFmtId="37" fontId="0" fillId="0" borderId="0" xfId="0" applyNumberFormat="1" applyFont="1" applyAlignment="1">
      <alignment horizontal="left"/>
    </xf>
    <xf numFmtId="37" fontId="4" fillId="0" borderId="0" xfId="0" applyNumberFormat="1" applyFont="1" applyAlignment="1">
      <alignment horizontal="left"/>
    </xf>
    <xf numFmtId="37" fontId="1" fillId="0" borderId="0" xfId="1" applyNumberFormat="1" applyFont="1"/>
    <xf numFmtId="37" fontId="4" fillId="0" borderId="0" xfId="1" applyNumberFormat="1" applyFont="1"/>
    <xf numFmtId="37" fontId="4" fillId="3" borderId="0" xfId="0" applyNumberFormat="1" applyFont="1" applyFill="1"/>
    <xf numFmtId="37" fontId="4" fillId="3" borderId="0" xfId="1" applyNumberFormat="1" applyFont="1" applyFill="1"/>
    <xf numFmtId="0" fontId="0" fillId="0" borderId="0" xfId="0" applyAlignment="1">
      <alignment horizontal="left" indent="8"/>
    </xf>
    <xf numFmtId="0" fontId="3" fillId="3" borderId="0" xfId="0" applyFont="1" applyFill="1"/>
    <xf numFmtId="39" fontId="0" fillId="0" borderId="0" xfId="0" applyNumberFormat="1" applyFont="1" applyAlignment="1">
      <alignment horizontal="left"/>
    </xf>
    <xf numFmtId="39" fontId="3" fillId="0" borderId="0" xfId="0" applyNumberFormat="1" applyFont="1" applyAlignment="1">
      <alignment horizontal="left"/>
    </xf>
    <xf numFmtId="39" fontId="4" fillId="3" borderId="0" xfId="1" applyNumberFormat="1" applyFont="1" applyFill="1"/>
    <xf numFmtId="39" fontId="4" fillId="0" borderId="0" xfId="1" applyNumberFormat="1" applyFont="1"/>
    <xf numFmtId="39" fontId="3" fillId="0" borderId="0" xfId="0" applyNumberFormat="1" applyFont="1"/>
    <xf numFmtId="39" fontId="0" fillId="3" borderId="0" xfId="0" applyNumberFormat="1" applyFont="1" applyFill="1"/>
    <xf numFmtId="39" fontId="1" fillId="0" borderId="0" xfId="1" applyNumberFormat="1" applyFont="1"/>
    <xf numFmtId="39" fontId="0" fillId="0" borderId="0" xfId="0" applyNumberFormat="1" applyFont="1" applyAlignment="1">
      <alignment horizontal="left" indent="2"/>
    </xf>
    <xf numFmtId="37" fontId="0" fillId="0" borderId="0" xfId="0" applyNumberFormat="1" applyFont="1" applyAlignment="1">
      <alignment horizontal="left" indent="2"/>
    </xf>
    <xf numFmtId="37" fontId="0" fillId="3" borderId="0" xfId="0" applyNumberFormat="1" applyFont="1" applyFill="1"/>
    <xf numFmtId="166" fontId="0" fillId="3" borderId="0" xfId="0" applyNumberFormat="1" applyFont="1" applyFill="1"/>
    <xf numFmtId="166" fontId="1" fillId="3" borderId="0" xfId="1" applyNumberFormat="1" applyFont="1" applyFill="1"/>
    <xf numFmtId="166" fontId="1" fillId="0" borderId="0" xfId="1" applyNumberFormat="1" applyFont="1"/>
    <xf numFmtId="37" fontId="12" fillId="0" borderId="0" xfId="1" applyNumberFormat="1" applyFont="1"/>
    <xf numFmtId="37" fontId="12" fillId="3" borderId="0" xfId="1" applyNumberFormat="1" applyFont="1" applyFill="1"/>
    <xf numFmtId="7" fontId="0" fillId="3" borderId="0" xfId="0" applyNumberFormat="1" applyFill="1"/>
    <xf numFmtId="7" fontId="0" fillId="0" borderId="0" xfId="0" applyNumberFormat="1"/>
    <xf numFmtId="37" fontId="5" fillId="0" borderId="0" xfId="1" applyNumberFormat="1" applyFont="1"/>
    <xf numFmtId="39" fontId="0" fillId="0" borderId="0" xfId="0" applyNumberFormat="1"/>
    <xf numFmtId="37" fontId="0" fillId="0" borderId="0" xfId="0" applyNumberFormat="1" applyFont="1" applyAlignment="1">
      <alignment horizontal="left" indent="4"/>
    </xf>
    <xf numFmtId="164" fontId="4" fillId="0" borderId="0" xfId="1" applyNumberFormat="1" applyFont="1"/>
    <xf numFmtId="164" fontId="1" fillId="0" borderId="0" xfId="1" applyNumberFormat="1" applyFont="1"/>
    <xf numFmtId="164" fontId="4" fillId="3" borderId="0" xfId="0" applyNumberFormat="1" applyFont="1" applyFill="1"/>
    <xf numFmtId="164" fontId="4" fillId="3" borderId="0" xfId="1" applyNumberFormat="1" applyFont="1" applyFill="1"/>
    <xf numFmtId="164" fontId="1" fillId="3" borderId="0" xfId="1" applyNumberFormat="1" applyFont="1" applyFill="1"/>
    <xf numFmtId="9" fontId="0" fillId="0" borderId="0" xfId="1" applyFont="1"/>
    <xf numFmtId="168" fontId="0" fillId="3" borderId="0" xfId="0" applyNumberFormat="1" applyFont="1" applyFill="1"/>
    <xf numFmtId="168" fontId="1" fillId="3" borderId="0" xfId="1" applyNumberFormat="1" applyFont="1" applyFill="1"/>
    <xf numFmtId="168" fontId="1" fillId="0" borderId="0" xfId="1" applyNumberFormat="1" applyFont="1"/>
    <xf numFmtId="168" fontId="5" fillId="0" borderId="0" xfId="1" applyNumberFormat="1" applyFont="1"/>
    <xf numFmtId="168" fontId="5" fillId="3" borderId="0" xfId="1" applyNumberFormat="1" applyFont="1" applyFill="1"/>
    <xf numFmtId="37" fontId="1" fillId="0" borderId="0" xfId="1" applyNumberFormat="1" applyFont="1" applyAlignment="1">
      <alignment horizontal="right"/>
    </xf>
    <xf numFmtId="14" fontId="0" fillId="0" borderId="0" xfId="0" applyNumberFormat="1" applyAlignment="1">
      <alignment horizontal="right"/>
    </xf>
    <xf numFmtId="1" fontId="3" fillId="0" borderId="0" xfId="0" applyNumberFormat="1" applyFont="1" applyAlignment="1">
      <alignment horizontal="left"/>
    </xf>
    <xf numFmtId="1" fontId="3" fillId="3" borderId="0" xfId="0" applyNumberFormat="1" applyFont="1" applyFill="1" applyAlignment="1">
      <alignment horizontal="left"/>
    </xf>
    <xf numFmtId="1" fontId="3" fillId="0" borderId="0" xfId="1" applyNumberFormat="1" applyFont="1" applyAlignment="1">
      <alignment horizontal="left"/>
    </xf>
    <xf numFmtId="39" fontId="0" fillId="0" borderId="0" xfId="0" applyNumberFormat="1" applyFont="1" applyAlignment="1">
      <alignment horizontal="right"/>
    </xf>
    <xf numFmtId="39" fontId="0" fillId="3" borderId="0" xfId="0" applyNumberFormat="1" applyFont="1" applyFill="1" applyAlignment="1">
      <alignment horizontal="right"/>
    </xf>
    <xf numFmtId="39" fontId="1" fillId="0" borderId="0" xfId="1" applyNumberFormat="1" applyFont="1" applyAlignment="1">
      <alignment horizontal="right"/>
    </xf>
    <xf numFmtId="9" fontId="0" fillId="3" borderId="0" xfId="0" applyNumberFormat="1" applyFont="1" applyFill="1" applyAlignment="1">
      <alignment horizontal="right"/>
    </xf>
    <xf numFmtId="9" fontId="1" fillId="0" borderId="0" xfId="1" applyFont="1" applyAlignment="1">
      <alignment horizontal="right"/>
    </xf>
    <xf numFmtId="39" fontId="3" fillId="0" borderId="0" xfId="0" applyNumberFormat="1" applyFont="1" applyAlignment="1">
      <alignment horizontal="right"/>
    </xf>
    <xf numFmtId="37" fontId="0" fillId="3" borderId="0" xfId="0" applyNumberFormat="1" applyFont="1" applyFill="1" applyAlignment="1">
      <alignment horizontal="right"/>
    </xf>
    <xf numFmtId="0" fontId="2" fillId="0" borderId="0" xfId="0" applyFont="1" applyFill="1" applyAlignment="1">
      <alignment horizontal="left"/>
    </xf>
    <xf numFmtId="0" fontId="0" fillId="0" borderId="0" xfId="0" applyFill="1"/>
    <xf numFmtId="0" fontId="2" fillId="0" borderId="0" xfId="0" applyFont="1" applyFill="1"/>
    <xf numFmtId="0" fontId="6" fillId="0" borderId="0" xfId="0" applyFont="1" applyFill="1"/>
    <xf numFmtId="37" fontId="12" fillId="3" borderId="0" xfId="0" applyNumberFormat="1" applyFont="1" applyFill="1"/>
    <xf numFmtId="9" fontId="12" fillId="3" borderId="0" xfId="0" applyNumberFormat="1" applyFont="1" applyFill="1" applyAlignment="1">
      <alignment horizontal="right"/>
    </xf>
    <xf numFmtId="9" fontId="12" fillId="0" borderId="0" xfId="1" applyFont="1" applyAlignment="1">
      <alignment horizontal="right"/>
    </xf>
    <xf numFmtId="39" fontId="12" fillId="0" borderId="0" xfId="0" applyNumberFormat="1" applyFont="1" applyAlignment="1">
      <alignment horizontal="right"/>
    </xf>
    <xf numFmtId="9" fontId="12" fillId="0" borderId="0" xfId="1" applyNumberFormat="1" applyFont="1" applyAlignment="1">
      <alignment horizontal="right"/>
    </xf>
    <xf numFmtId="37" fontId="12" fillId="3" borderId="0" xfId="0" applyNumberFormat="1" applyFont="1" applyFill="1" applyAlignment="1">
      <alignment horizontal="right"/>
    </xf>
    <xf numFmtId="37" fontId="12" fillId="0" borderId="0" xfId="1" applyNumberFormat="1" applyFont="1" applyAlignment="1">
      <alignment horizontal="right"/>
    </xf>
    <xf numFmtId="0" fontId="13" fillId="4" borderId="0" xfId="0" applyFont="1" applyFill="1" applyAlignment="1">
      <alignment horizontal="centerContinuous"/>
    </xf>
    <xf numFmtId="0" fontId="14" fillId="4" borderId="0" xfId="0" applyFont="1" applyFill="1" applyAlignment="1">
      <alignment horizontal="centerContinuous"/>
    </xf>
    <xf numFmtId="0" fontId="15" fillId="0" borderId="0" xfId="0" applyFont="1"/>
    <xf numFmtId="0" fontId="3" fillId="0" borderId="0" xfId="0" applyFont="1" applyAlignment="1">
      <alignment horizontal="center"/>
    </xf>
    <xf numFmtId="0" fontId="3" fillId="0" borderId="1" xfId="0" applyFont="1" applyBorder="1" applyAlignment="1">
      <alignment horizontal="centerContinuous"/>
    </xf>
    <xf numFmtId="0" fontId="0" fillId="0" borderId="1" xfId="0" applyBorder="1" applyAlignment="1">
      <alignment horizontal="centerContinuous"/>
    </xf>
    <xf numFmtId="0" fontId="3" fillId="0" borderId="0" xfId="0" applyFont="1" applyAlignment="1">
      <alignment horizontal="centerContinuous"/>
    </xf>
    <xf numFmtId="0" fontId="3" fillId="0" borderId="0" xfId="0" quotePrefix="1" applyFont="1" applyAlignment="1">
      <alignment horizontal="center"/>
    </xf>
    <xf numFmtId="0" fontId="0" fillId="0" borderId="0" xfId="0" applyAlignment="1">
      <alignment horizontal="centerContinuous"/>
    </xf>
    <xf numFmtId="0" fontId="3" fillId="0" borderId="1" xfId="0" applyFont="1" applyBorder="1"/>
    <xf numFmtId="0" fontId="3" fillId="0" borderId="1" xfId="0" applyFont="1" applyBorder="1" applyAlignment="1">
      <alignment horizontal="center"/>
    </xf>
    <xf numFmtId="169" fontId="16" fillId="0" borderId="1" xfId="0" applyNumberFormat="1" applyFont="1" applyBorder="1" applyAlignment="1">
      <alignment horizontal="center"/>
    </xf>
    <xf numFmtId="0" fontId="0" fillId="0" borderId="1" xfId="0" applyBorder="1"/>
    <xf numFmtId="0" fontId="3" fillId="0" borderId="2" xfId="0" applyFont="1" applyBorder="1" applyAlignment="1">
      <alignment horizontal="center"/>
    </xf>
    <xf numFmtId="0" fontId="3" fillId="0" borderId="2" xfId="0" applyFont="1" applyBorder="1" applyAlignment="1">
      <alignment horizontal="center" wrapText="1"/>
    </xf>
    <xf numFmtId="0" fontId="0" fillId="0" borderId="1" xfId="0" applyBorder="1" applyAlignment="1">
      <alignment horizontal="center"/>
    </xf>
    <xf numFmtId="0" fontId="0" fillId="0" borderId="2" xfId="0" quotePrefix="1" applyBorder="1" applyAlignment="1">
      <alignment horizontal="center"/>
    </xf>
    <xf numFmtId="0" fontId="0" fillId="0" borderId="2" xfId="0" applyBorder="1" applyAlignment="1">
      <alignment horizontal="center"/>
    </xf>
    <xf numFmtId="0" fontId="0" fillId="0" borderId="2" xfId="0" applyBorder="1"/>
    <xf numFmtId="9" fontId="0" fillId="0" borderId="0" xfId="0" applyNumberFormat="1" applyAlignment="1">
      <alignment horizontal="center"/>
    </xf>
    <xf numFmtId="5" fontId="0" fillId="0" borderId="0" xfId="0" applyNumberFormat="1"/>
    <xf numFmtId="166" fontId="0" fillId="0" borderId="0" xfId="0" applyNumberFormat="1" applyAlignment="1">
      <alignment horizontal="center"/>
    </xf>
    <xf numFmtId="9" fontId="0" fillId="0" borderId="0" xfId="1" applyFont="1" applyAlignment="1">
      <alignment horizontal="center"/>
    </xf>
    <xf numFmtId="164" fontId="0" fillId="0" borderId="0" xfId="1" applyNumberFormat="1" applyFont="1" applyAlignment="1">
      <alignment horizontal="right"/>
    </xf>
    <xf numFmtId="170" fontId="0" fillId="0" borderId="0" xfId="0" applyNumberFormat="1" applyAlignment="1">
      <alignment horizontal="center"/>
    </xf>
    <xf numFmtId="7" fontId="17" fillId="0" borderId="0" xfId="0" applyNumberFormat="1" applyFont="1" applyAlignment="1">
      <alignment horizontal="center"/>
    </xf>
    <xf numFmtId="0" fontId="17" fillId="0" borderId="0" xfId="0" applyFont="1"/>
    <xf numFmtId="167" fontId="17" fillId="0" borderId="0" xfId="0" applyNumberFormat="1" applyFont="1"/>
    <xf numFmtId="5" fontId="17" fillId="0" borderId="0" xfId="0" applyNumberFormat="1" applyFont="1"/>
    <xf numFmtId="166" fontId="17" fillId="0" borderId="0" xfId="0" applyNumberFormat="1" applyFont="1" applyAlignment="1">
      <alignment horizontal="center"/>
    </xf>
    <xf numFmtId="164" fontId="17" fillId="0" borderId="0" xfId="1" applyNumberFormat="1" applyFont="1"/>
    <xf numFmtId="170" fontId="0" fillId="0" borderId="0" xfId="0" applyNumberFormat="1"/>
    <xf numFmtId="7" fontId="0" fillId="0" borderId="0" xfId="0" applyNumberFormat="1" applyAlignment="1">
      <alignment horizontal="center"/>
    </xf>
    <xf numFmtId="167" fontId="0" fillId="0" borderId="0" xfId="0" applyNumberFormat="1"/>
    <xf numFmtId="0" fontId="3" fillId="6" borderId="3" xfId="0" applyFont="1" applyFill="1" applyBorder="1"/>
    <xf numFmtId="0" fontId="3" fillId="6" borderId="4" xfId="0" applyFont="1" applyFill="1" applyBorder="1"/>
    <xf numFmtId="164" fontId="3" fillId="6" borderId="4" xfId="0" applyNumberFormat="1" applyFont="1" applyFill="1" applyBorder="1"/>
    <xf numFmtId="164" fontId="3" fillId="6" borderId="5" xfId="0" applyNumberFormat="1" applyFont="1" applyFill="1" applyBorder="1"/>
    <xf numFmtId="0" fontId="3" fillId="6" borderId="6" xfId="0" applyFont="1" applyFill="1" applyBorder="1"/>
    <xf numFmtId="0" fontId="3" fillId="6" borderId="0" xfId="0" applyFont="1" applyFill="1" applyBorder="1"/>
    <xf numFmtId="164" fontId="3" fillId="6" borderId="0" xfId="0" applyNumberFormat="1" applyFont="1" applyFill="1" applyBorder="1"/>
    <xf numFmtId="164" fontId="3" fillId="6" borderId="7" xfId="0" applyNumberFormat="1" applyFont="1" applyFill="1" applyBorder="1"/>
    <xf numFmtId="0" fontId="3" fillId="6" borderId="8" xfId="0" applyFont="1" applyFill="1" applyBorder="1"/>
    <xf numFmtId="0" fontId="3" fillId="6" borderId="9" xfId="0" applyFont="1" applyFill="1" applyBorder="1"/>
    <xf numFmtId="164" fontId="3" fillId="6" borderId="9" xfId="0" applyNumberFormat="1" applyFont="1" applyFill="1" applyBorder="1"/>
    <xf numFmtId="164" fontId="3" fillId="6" borderId="10" xfId="0" applyNumberFormat="1" applyFont="1" applyFill="1" applyBorder="1"/>
    <xf numFmtId="5" fontId="3" fillId="5" borderId="3" xfId="0" applyNumberFormat="1" applyFont="1" applyFill="1" applyBorder="1"/>
    <xf numFmtId="0" fontId="3" fillId="5" borderId="4" xfId="0" applyFont="1" applyFill="1" applyBorder="1"/>
    <xf numFmtId="166" fontId="3" fillId="5" borderId="4" xfId="0" applyNumberFormat="1" applyFont="1" applyFill="1" applyBorder="1" applyAlignment="1">
      <alignment horizontal="center"/>
    </xf>
    <xf numFmtId="0" fontId="3" fillId="5" borderId="4" xfId="0" applyFont="1" applyFill="1" applyBorder="1" applyAlignment="1">
      <alignment horizontal="center"/>
    </xf>
    <xf numFmtId="9" fontId="3" fillId="5" borderId="4" xfId="0" applyNumberFormat="1" applyFont="1" applyFill="1" applyBorder="1" applyAlignment="1">
      <alignment horizontal="center"/>
    </xf>
    <xf numFmtId="171" fontId="3" fillId="5" borderId="4" xfId="0" applyNumberFormat="1" applyFont="1" applyFill="1" applyBorder="1" applyAlignment="1">
      <alignment horizontal="center"/>
    </xf>
    <xf numFmtId="166" fontId="3" fillId="5" borderId="5" xfId="0" applyNumberFormat="1" applyFont="1" applyFill="1" applyBorder="1" applyAlignment="1">
      <alignment horizontal="center"/>
    </xf>
    <xf numFmtId="0" fontId="3" fillId="5" borderId="8" xfId="0" applyFont="1" applyFill="1" applyBorder="1"/>
    <xf numFmtId="0" fontId="3" fillId="5" borderId="9" xfId="0" applyFont="1" applyFill="1" applyBorder="1"/>
    <xf numFmtId="166" fontId="3" fillId="5" borderId="9" xfId="0" applyNumberFormat="1" applyFont="1" applyFill="1" applyBorder="1" applyAlignment="1">
      <alignment horizontal="center"/>
    </xf>
    <xf numFmtId="0" fontId="3" fillId="5" borderId="9" xfId="0" applyFont="1" applyFill="1" applyBorder="1" applyAlignment="1">
      <alignment horizontal="center"/>
    </xf>
    <xf numFmtId="9" fontId="3" fillId="5" borderId="9" xfId="0" applyNumberFormat="1" applyFont="1" applyFill="1" applyBorder="1" applyAlignment="1">
      <alignment horizontal="center"/>
    </xf>
    <xf numFmtId="171" fontId="3" fillId="5" borderId="9" xfId="0" applyNumberFormat="1" applyFont="1" applyFill="1" applyBorder="1" applyAlignment="1">
      <alignment horizontal="center"/>
    </xf>
    <xf numFmtId="166" fontId="3" fillId="5" borderId="10" xfId="0" applyNumberFormat="1" applyFont="1" applyFill="1" applyBorder="1" applyAlignment="1">
      <alignment horizontal="center"/>
    </xf>
    <xf numFmtId="0" fontId="2" fillId="2" borderId="0" xfId="0" applyFont="1" applyFill="1" applyAlignment="1"/>
    <xf numFmtId="0" fontId="0" fillId="0" borderId="9" xfId="0" applyBorder="1"/>
    <xf numFmtId="0" fontId="0" fillId="0" borderId="9" xfId="0" applyNumberFormat="1" applyBorder="1"/>
    <xf numFmtId="1" fontId="0" fillId="0" borderId="9" xfId="0" applyNumberFormat="1" applyBorder="1"/>
    <xf numFmtId="1" fontId="0" fillId="0" borderId="0" xfId="0" applyNumberFormat="1" applyBorder="1"/>
    <xf numFmtId="0" fontId="0" fillId="0" borderId="0" xfId="0" applyBorder="1"/>
    <xf numFmtId="0" fontId="0" fillId="0" borderId="3" xfId="0" applyBorder="1"/>
    <xf numFmtId="1" fontId="0" fillId="0" borderId="4" xfId="0" applyNumberFormat="1" applyBorder="1"/>
    <xf numFmtId="0" fontId="0" fillId="0" borderId="5" xfId="0" applyBorder="1"/>
    <xf numFmtId="0" fontId="0" fillId="0" borderId="8" xfId="0" applyBorder="1"/>
    <xf numFmtId="0" fontId="0" fillId="0" borderId="10" xfId="0" applyBorder="1"/>
    <xf numFmtId="165" fontId="0" fillId="0" borderId="9" xfId="1" applyNumberFormat="1" applyFont="1" applyBorder="1"/>
    <xf numFmtId="41" fontId="0" fillId="0" borderId="0" xfId="0" applyNumberFormat="1"/>
    <xf numFmtId="41" fontId="0" fillId="0" borderId="9" xfId="0" applyNumberFormat="1" applyBorder="1"/>
    <xf numFmtId="165" fontId="0" fillId="0" borderId="9" xfId="0" applyNumberFormat="1" applyBorder="1"/>
    <xf numFmtId="167" fontId="0" fillId="0" borderId="9" xfId="1" applyNumberFormat="1" applyFont="1" applyBorder="1"/>
    <xf numFmtId="2" fontId="0" fillId="0" borderId="9" xfId="0" applyNumberFormat="1" applyBorder="1"/>
    <xf numFmtId="37" fontId="0" fillId="0" borderId="9" xfId="0" applyNumberFormat="1" applyBorder="1"/>
    <xf numFmtId="166" fontId="0" fillId="0" borderId="0" xfId="0" applyNumberFormat="1"/>
    <xf numFmtId="168" fontId="0" fillId="0" borderId="0" xfId="0" applyNumberFormat="1"/>
    <xf numFmtId="1" fontId="6" fillId="0" borderId="0" xfId="0" applyNumberFormat="1" applyFont="1"/>
    <xf numFmtId="9" fontId="0" fillId="0" borderId="9" xfId="0" applyNumberFormat="1" applyBorder="1"/>
    <xf numFmtId="164" fontId="0" fillId="0" borderId="0" xfId="0" applyNumberFormat="1"/>
    <xf numFmtId="0" fontId="2" fillId="2" borderId="0" xfId="0" applyFont="1" applyFill="1" applyAlignment="1">
      <alignment horizontal="center"/>
    </xf>
    <xf numFmtId="0" fontId="0" fillId="0" borderId="1" xfId="0" applyBorder="1" applyAlignment="1">
      <alignment horizontal="center"/>
    </xf>
    <xf numFmtId="0" fontId="3" fillId="0" borderId="0" xfId="0" applyFont="1" applyAlignment="1">
      <alignment horizontal="center"/>
    </xf>
    <xf numFmtId="0" fontId="3" fillId="0" borderId="1" xfId="0" applyFont="1" applyBorder="1" applyAlignment="1">
      <alignment horizontal="center"/>
    </xf>
    <xf numFmtId="0" fontId="0" fillId="0" borderId="0" xfId="0" applyAlignment="1">
      <alignment horizontal="right" vertical="center" textRotation="90"/>
    </xf>
    <xf numFmtId="0" fontId="2" fillId="2" borderId="0" xfId="0" applyFont="1" applyFill="1" applyAlignment="1">
      <alignment horizontal="left"/>
    </xf>
    <xf numFmtId="0" fontId="0" fillId="0" borderId="0" xfId="0" applyAlignment="1">
      <alignment horizontal="center"/>
    </xf>
    <xf numFmtId="0" fontId="3" fillId="0" borderId="0" xfId="0" applyFont="1" applyFill="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s">
        <v>#N/A Connection</v>
        <stp/>
        <stp>##V3_BDPV12</stp>
        <stp>SJM Equity</stp>
        <stp>ORGANIC_GROWTH</stp>
        <stp>[Zach MARIANI KDP.xlsx]Comps!R13C107</stp>
        <stp>EQY_FUND_YEAR=2022</stp>
        <tr r="DC13" s="5"/>
      </tp>
      <tp t="s">
        <v>#N/A Connection</v>
        <stp/>
        <stp>##V3_BDPV12</stp>
        <stp>SJM Equity</stp>
        <stp>ORGANIC_GROWTH</stp>
        <stp>[Zach MARIANI KDP.xlsx]Comps!R13C105</stp>
        <stp>EQY_FUND_YEAR=2021</stp>
        <tr r="DA13" s="5"/>
      </tp>
      <tp t="s">
        <v>#N/A Connection</v>
        <stp/>
        <stp>##V3_BDPV12</stp>
        <stp>SJM Equity</stp>
        <stp>ORGANIC_GROWTH</stp>
        <stp>[Zach MARIANI KDP.xlsx]Comps!R13C103</stp>
        <stp>EQY_FUND_YEAR=2020</stp>
        <tr r="CY13" s="5"/>
      </tp>
    </main>
    <main first="bofaddin.rtdserver">
      <tp t="s">
        <v>#N/A Requesting Data...4228261230</v>
        <stp/>
        <stp>BQL|18142538141810389751</stp>
        <tr r="AD4" s="2"/>
        <tr r="AE4" s="2"/>
      </tp>
    </main>
    <main first="bloomberg.rtd">
      <tp t="s">
        <v>#N/A Connection</v>
        <stp/>
        <stp>##V3_BDPV12</stp>
        <stp>KDP Equity</stp>
        <stp>INTERVAL_AVG</stp>
        <stp>[Zach MARIANI KDP.xlsx]Comps!R7C77</stp>
        <stp>MARKET_DATA_OVERRIDE=BEST_PE_RATIO</stp>
        <stp xml:space="preserve">BEST_FPERIOD_OVERRIDE=1TY </stp>
        <stp xml:space="preserve">CALC_INTERVAL=5Y </stp>
        <tr r="BY7" s="5"/>
      </tp>
      <tp t="s">
        <v>#N/A Connection</v>
        <stp/>
        <stp>##V3_BDPV12</stp>
        <stp>KDP Equity</stp>
        <stp>INTERVAL_HIGH</stp>
        <stp>[Zach MARIANI KDP mobile.xlsx]Comps!R7C53</stp>
        <stp>CALC_INTERVAL=52W</stp>
        <stp>END_DATE_OVERRIDE</stp>
        <stp>20230909</stp>
        <tr r="BA7" s="5"/>
      </tp>
      <tp t="s">
        <v>#N/A Connection</v>
        <stp/>
        <stp>##V3_BDPV12</stp>
        <stp>KDP Equity</stp>
        <stp>EQY_SH_OUT</stp>
        <stp>[Zach MARIANI KDP.xlsx]Comps!R7C55</stp>
        <tr r="BC7" s="5"/>
      </tp>
    </main>
    <main first="bofaddin.rtdserver">
      <tp t="s">
        <v>#N/A Requesting Data...1954968870</v>
        <stp/>
        <stp>BQL|14491150612551900945</stp>
        <tr r="AF4" s="2"/>
      </tp>
      <tp t="s">
        <v>#N/A Requesting Data...2678694481</v>
        <stp/>
        <stp>BQL|10192655779644145949</stp>
        <tr r="V4" s="2"/>
      </tp>
    </main>
    <main first="bloomberg.rtd">
      <tp t="s">
        <v>#N/A Connection</v>
        <stp/>
        <stp>##V3_BDPV12</stp>
        <stp>KO Equity</stp>
        <stp>BEST_SALES</stp>
        <stp>[Zach MARIANI KDP.xlsx]Comps!R11C85</stp>
        <stp>BEST_FPERIOD_OVERRIDE=23BC</stp>
        <tr r="CG11" s="5"/>
      </tp>
    </main>
    <main first="bofaddin.rtdserver">
      <tp t="s">
        <v>#N/A Requesting Data...3470523973</v>
        <stp/>
        <stp>BQL|15690938415417618168</stp>
        <tr r="AI4" s="2"/>
        <tr r="AJ4" s="2"/>
      </tp>
    </main>
    <main first="bloomberg.rtd">
      <tp t="s">
        <v>#N/A Connection</v>
        <stp/>
        <stp>##V3_BDPV12</stp>
        <stp>KO Equity</stp>
        <stp>BEST_SALES</stp>
        <stp>[Zach MARIANI KDP.xlsx]Comps!R11C83</stp>
        <stp>BEST_FPERIOD_OVERRIDE=22BC</stp>
        <tr r="CE11" s="5"/>
      </tp>
      <tp t="s">
        <v>#N/A Connection</v>
        <stp/>
        <stp>##V3_BDPV12</stp>
        <stp>KDP Equity</stp>
        <stp>INTERVAL_AVG</stp>
        <stp>[Zach MARIANI KDP.xlsx]Comps!R7C75</stp>
        <stp>MARKET_DATA_OVERRIDE=BEST_PE_RATIO</stp>
        <stp xml:space="preserve">BEST_FPERIOD_OVERRIDE=1TY </stp>
        <stp xml:space="preserve">CALC_INTERVAL=2Y </stp>
        <tr r="BW7" s="5"/>
      </tp>
      <tp t="s">
        <v>#N/A Connection</v>
        <stp/>
        <stp>##V3_BDPV12</stp>
        <stp xml:space="preserve">KDP US Equity </stp>
        <stp>ANNOUNCEMENT_DT</stp>
        <stp>[Zach MARIANI KDP.xlsx]Tower!R5C7</stp>
        <stp xml:space="preserve">FUND_PER=Q1 </stp>
        <stp>EQY_FUND_YEAR=2017</stp>
        <tr r="G5" s="2"/>
      </tp>
      <tp t="s">
        <v>#N/A Connection</v>
        <stp/>
        <stp>##V3_BDPV12</stp>
        <stp xml:space="preserve">KDP US Equity </stp>
        <stp>ANNOUNCEMENT_DT</stp>
        <stp>[Zach MARIANI KDP.xlsx]Tower!R5C8</stp>
        <stp xml:space="preserve">FUND_PER=Q2 </stp>
        <stp>EQY_FUND_YEAR=2017</stp>
        <tr r="H5" s="2"/>
      </tp>
      <tp t="s">
        <v>#N/A Connection</v>
        <stp/>
        <stp>##V3_BDPV12</stp>
        <stp xml:space="preserve">KDP US Equity </stp>
        <stp>ANNOUNCEMENT_DT</stp>
        <stp>[Zach MARIANI KDP.xlsx]Tower!R5C9</stp>
        <stp xml:space="preserve">FUND_PER=Q3 </stp>
        <stp>EQY_FUND_YEAR=2017</stp>
        <tr r="I5" s="2"/>
      </tp>
      <tp t="s">
        <v>#N/A Connection</v>
        <stp/>
        <stp>##V3_BDPV12</stp>
        <stp>KO Equity</stp>
        <stp>BEST_SALES</stp>
        <stp>[Zach MARIANI KDP.xlsx]Comps!R11C81</stp>
        <stp>BEST_FPERIOD_OVERRIDE=21BC</stp>
        <tr r="CC11" s="5"/>
      </tp>
      <tp t="s">
        <v>#N/A Connection</v>
        <stp/>
        <stp>##V3_BDPV12</stp>
        <stp>KDP Equity</stp>
        <stp>INTERVAL_AVG</stp>
        <stp>[Zach MARIANI KDP.xlsx]Comps!R7C73</stp>
        <stp>MARKET_DATA_OVERRIDE=BEST_PE_RATIO</stp>
        <stp xml:space="preserve">BEST_FPERIOD_OVERRIDE=1TY </stp>
        <stp xml:space="preserve">CALC_INTERVAL=1Y </stp>
        <tr r="BU7" s="5"/>
      </tp>
      <tp t="s">
        <v>#N/A Connection</v>
        <stp/>
        <stp>##V3_BDPV12</stp>
        <stp>NESN SW Equity</stp>
        <stp>BEST_EBITDA</stp>
        <stp>[Zach MARIANI KDP.xlsx]Comps!R15C65</stp>
        <stp>BEST_FPERIOD_OVERRIDE=1TY</stp>
        <tr r="BM15" s="5"/>
      </tp>
      <tp t="s">
        <v>#N/A Connection</v>
        <stp/>
        <stp>##V3_BDPV12</stp>
        <stp>PEP Equity</stp>
        <stp>IS_ADJ_EBIT_OP_INC_AS_REPORTED</stp>
        <stp>[Zach MARIANI KDP.xlsx]Comps!R12C115</stp>
        <stp>EQY_FUND_YEAR=2022</stp>
        <tr r="DK12" s="5"/>
      </tp>
      <tp t="s">
        <v>#N/A Connection</v>
        <stp/>
        <stp>##V3_BDPV12</stp>
        <stp>PEP Equity</stp>
        <stp>IS_ADJ_EBIT_OP_INC_AS_REPORTED</stp>
        <stp>[Zach MARIANI KDP.xlsx]Comps!R12C113</stp>
        <stp>EQY_FUND_YEAR=2021</stp>
        <tr r="DI12" s="5"/>
      </tp>
      <tp t="s">
        <v>#N/A Connection</v>
        <stp/>
        <stp>##V3_BDPV12</stp>
        <stp>PEP Equity</stp>
        <stp>IS_ADJ_EBIT_OP_INC_AS_REPORTED</stp>
        <stp>[Zach MARIANI KDP.xlsx]Comps!R12C111</stp>
        <stp>EQY_FUND_YEAR=2020</stp>
        <tr r="DG12" s="5"/>
      </tp>
      <tp t="s">
        <v>#N/A Connection</v>
        <stp/>
        <stp>##V3_BDPV12</stp>
        <stp>KO Equity</stp>
        <stp>BEST_SALES</stp>
        <stp>[Zach MARIANI KDP.xlsx]Comps!R11C79</stp>
        <stp>BEST_FPERIOD_OVERRIDE=20BC</stp>
        <tr r="CA11" s="5"/>
      </tp>
      <tp t="s">
        <v>#N/A Connection</v>
        <stp/>
        <stp>##V3_BDPV12</stp>
        <stp>PEP Equity</stp>
        <stp>IS_ADJ_EBIT_OP_INC_AS_REPORTED</stp>
        <stp>[Zach MARIANI KDP.xlsx]Comps!R12C117</stp>
        <stp>EQY_FUND_YEAR=-0FY</stp>
        <tr r="DM12" s="5"/>
      </tp>
      <tp t="s">
        <v>#N/A Connection</v>
        <stp/>
        <stp>##V3_BDPV12</stp>
        <stp>PEP Equity</stp>
        <stp>BS_SH_OUT</stp>
        <stp>[Zach MARIANI KDP.xlsx]Comps!R12C56</stp>
        <tr r="BD12" s="5"/>
      </tp>
    </main>
    <main first="bofaddin.rtdserver">
      <tp t="s">
        <v>#N/A Requesting Data...4280496708</v>
        <stp/>
        <stp>BQL|12991633807821334297</stp>
        <tr r="G4" s="2"/>
      </tp>
    </main>
    <main first="bloomberg.rtd">
      <tp t="s">
        <v>#N/A Connection</v>
        <stp/>
        <stp>##V3_BDPV12</stp>
        <stp>SJM Equity</stp>
        <stp>BS_SH_OUT</stp>
        <stp>[Zach MARIANI KDP.xlsx]Comps!R13C56</stp>
        <tr r="BD13" s="5"/>
      </tp>
    </main>
    <main first="bofaddin.rtdserver">
      <tp t="s">
        <v>#N/A Requesting Data...3330878878</v>
        <stp/>
        <stp>BQL|11617178943094547602</stp>
        <tr r="AG4" s="2"/>
      </tp>
    </main>
    <main first="bloomberg.rtd">
      <tp t="s">
        <v>#N/A Connection</v>
        <stp/>
        <stp>##V3_BDPV12</stp>
        <stp>PEP Equity</stp>
        <stp>PX_LAST</stp>
        <stp>[Zach MARIANI KDP.xlsx]Comps!R12C5</stp>
        <tr r="E12" s="5"/>
      </tp>
    </main>
    <main first="bofaddin.rtdserver">
      <tp t="s">
        <v>#N/A Requesting Data...3385006789</v>
        <stp/>
        <stp>BQL|14868082660755695226</stp>
        <tr r="O4" s="2"/>
        <tr r="P4" s="2"/>
      </tp>
      <tp t="s">
        <v>#N/A Requesting Data...3625034550</v>
        <stp/>
        <stp>BQL|17347428470702005366</stp>
        <tr r="AC4" s="2"/>
      </tp>
      <tp t="s">
        <v>#N/A Requesting Data...4144549893</v>
        <stp/>
        <stp>BQL|10698058473853753004</stp>
        <tr r="N4" s="2"/>
      </tp>
      <tp t="s">
        <v>#N/A Requesting Data...2465975839</v>
        <stp/>
        <stp>BQL|13352767630532119153</stp>
        <tr r="AH4" s="2"/>
      </tp>
    </main>
    <main first="bloomberg.rtd">
      <tp t="s">
        <v>#N/A Connection</v>
        <stp/>
        <stp>##V3_BDPV12</stp>
        <stp>KO US Equity</stp>
        <stp>INVENT_TURN</stp>
        <stp>[Zach MARIANI KDP.xlsx]Comps!R11C45</stp>
        <tr r="AS11" s="5"/>
      </tp>
    </main>
    <main first="bofaddin.rtdserver">
      <tp t="s">
        <v>#N/A Requesting Data...3239252679</v>
        <stp/>
        <stp>BQL|15995706394212373804</stp>
        <tr r="D4" s="2"/>
      </tp>
      <tp t="s">
        <v>#N/A Requesting Data...3645575813</v>
        <stp/>
        <stp>BQL|16606300128463322577</stp>
        <tr r="S4" s="2"/>
      </tp>
    </main>
    <main first="bloomberg.rtd">
      <tp t="s">
        <v>#N/A Connection</v>
        <stp/>
        <stp>##V3_BDPV12</stp>
        <stp>SBUX Equity</stp>
        <stp>ORGANIC_GROWTH</stp>
        <stp>[Zach MARIANI KDP.xlsx]Comps!R14C103</stp>
        <stp>EQY_FUND_YEAR=2020</stp>
        <tr r="CY14" s="5"/>
      </tp>
      <tp t="s">
        <v>#N/A Connection</v>
        <stp/>
        <stp>##V3_BDPV12</stp>
        <stp>SBUX Equity</stp>
        <stp>ORGANIC_GROWTH</stp>
        <stp>[Zach MARIANI KDP.xlsx]Comps!R14C105</stp>
        <stp>EQY_FUND_YEAR=2021</stp>
        <tr r="DA14" s="5"/>
      </tp>
      <tp t="s">
        <v>#N/A Connection</v>
        <stp/>
        <stp>##V3_BDPV12</stp>
        <stp>SBUX Equity</stp>
        <stp>ORGANIC_GROWTH</stp>
        <stp>[Zach MARIANI KDP.xlsx]Comps!R14C107</stp>
        <stp>EQY_FUND_YEAR=2022</stp>
        <tr r="DC14" s="5"/>
      </tp>
      <tp t="s">
        <v>#N/A Connection</v>
        <stp/>
        <stp>##V3_BDPV12</stp>
        <stp>KDP Equity</stp>
        <stp>BEST_EPS</stp>
        <stp>[Zach MARIANI KDP.xlsx]Comps!R7C95</stp>
        <stp>BEST_FPERIOD_OVERRIDE=20BC</stp>
        <tr r="CQ7" s="5"/>
      </tp>
      <tp t="s">
        <v>#N/A Connection</v>
        <stp/>
        <stp>##V3_BDPV12</stp>
        <stp>KDP Equity</stp>
        <stp>BEST_EPS</stp>
        <stp>[Zach MARIANI KDP.xlsx]Comps!R7C97</stp>
        <stp>BEST_FPERIOD_OVERRIDE=21BC</stp>
        <tr r="CS7" s="5"/>
      </tp>
      <tp t="s">
        <v>#N/A Connection</v>
        <stp/>
        <stp>##V3_BDPV12</stp>
        <stp>KDP Equity</stp>
        <stp>BEST_EPS</stp>
        <stp>[Zach MARIANI KDP.xlsx]Comps!R7C99</stp>
        <stp>BEST_FPERIOD_OVERRIDE=22BC</stp>
        <tr r="CU7" s="5"/>
      </tp>
      <tp t="s">
        <v>#N/A Connection</v>
        <stp/>
        <stp>##V3_BDPV12</stp>
        <stp>SBUX Equity</stp>
        <stp>IS_ADJ_EBIT_OP_INC_AS_REPORTED</stp>
        <stp>[Zach MARIANI KDP.xlsx]Comps!R14C115</stp>
        <stp>EQY_FUND_YEAR=2022</stp>
        <tr r="DK14" s="5"/>
      </tp>
      <tp t="s">
        <v>#N/A Connection</v>
        <stp/>
        <stp>##V3_BDPV12</stp>
        <stp>SBUX Equity</stp>
        <stp>IS_ADJ_EBIT_OP_INC_AS_REPORTED</stp>
        <stp>[Zach MARIANI KDP.xlsx]Comps!R14C113</stp>
        <stp>EQY_FUND_YEAR=2021</stp>
        <tr r="DI14" s="5"/>
      </tp>
      <tp t="s">
        <v>#N/A Connection</v>
        <stp/>
        <stp>##V3_BDPV12</stp>
        <stp>SBUX Equity</stp>
        <stp>IS_ADJ_EBIT_OP_INC_AS_REPORTED</stp>
        <stp>[Zach MARIANI KDP.xlsx]Comps!R14C111</stp>
        <stp>EQY_FUND_YEAR=2020</stp>
        <tr r="DG14" s="5"/>
      </tp>
      <tp t="s">
        <v>#N/A Connection</v>
        <stp/>
        <stp>##V3_BDPV12</stp>
        <stp>SBUX Equity</stp>
        <stp>IS_ADJ_EBIT_OP_INC_AS_REPORTED</stp>
        <stp>[Zach MARIANI KDP.xlsx]Comps!R14C117</stp>
        <stp>EQY_FUND_YEAR=-0FY</stp>
        <tr r="DM14" s="5"/>
      </tp>
      <tp t="s">
        <v>#N/A Connection</v>
        <stp/>
        <stp>##V3_BDPV12</stp>
        <stp>SJM Equity</stp>
        <stp>BEST_SALES</stp>
        <stp>[Zach MARIANI KDP.xlsx]Comps!R13C83</stp>
        <stp>BEST_FPERIOD_OVERRIDE=22BC</stp>
        <tr r="CE13" s="5"/>
      </tp>
      <tp t="s">
        <v>#N/A Connection</v>
        <stp/>
        <stp>##V3_BDPV12</stp>
        <stp>SJM Equity</stp>
        <stp>BEST_SALES</stp>
        <stp>[Zach MARIANI KDP.xlsx]Comps!R13C85</stp>
        <stp>BEST_FPERIOD_OVERRIDE=23BC</stp>
        <tr r="CG13" s="5"/>
      </tp>
      <tp t="s">
        <v>#N/A Connection</v>
        <stp/>
        <stp>##V3_BDPV12</stp>
        <stp>SJM Equity</stp>
        <stp>PX_LAST</stp>
        <stp>[Zach MARIANI KDP.xlsx]Comps!R13C5</stp>
        <tr r="E13" s="5"/>
      </tp>
      <tp t="s">
        <v>#N/A Connection</v>
        <stp/>
        <stp>##V3_BDPV12</stp>
        <stp>SJM Equity</stp>
        <stp>BEST_SALES</stp>
        <stp>[Zach MARIANI KDP.xlsx]Comps!R13C79</stp>
        <stp>BEST_FPERIOD_OVERRIDE=20BC</stp>
        <tr r="CA13" s="5"/>
      </tp>
      <tp t="s">
        <v>#N/A Connection</v>
        <stp/>
        <stp>##V3_BDPV12</stp>
        <stp xml:space="preserve">KDP US Equity </stp>
        <stp>ANNOUNCEMENT_DT</stp>
        <stp>[Zach MARIANI KDP.xlsx]Tower!R5C21</stp>
        <stp xml:space="preserve">FUND_PER=Q4 </stp>
        <stp>EQY_FUND_YEAR=2019</stp>
        <tr r="U5" s="2"/>
      </tp>
      <tp t="s">
        <v>#N/A Connection</v>
        <stp/>
        <stp>##V3_BDPV12</stp>
        <stp xml:space="preserve">KDP US Equity </stp>
        <stp>ANNOUNCEMENT_DT</stp>
        <stp>[Zach MARIANI KDP.xlsx]Tower!R5C20</stp>
        <stp xml:space="preserve">FUND_PER=Q4 </stp>
        <stp>EQY_FUND_YEAR=2019</stp>
        <tr r="T5" s="2"/>
      </tp>
      <tp t="s">
        <v>#N/A Connection</v>
        <stp/>
        <stp>##V3_BDPV12</stp>
        <stp xml:space="preserve">KDP US Equity </stp>
        <stp>ANNOUNCEMENT_DT</stp>
        <stp>[Zach MARIANI KDP.xlsx]Tower!R5C11</stp>
        <stp xml:space="preserve">FUND_PER=Q4 </stp>
        <stp>EQY_FUND_YEAR=2017</stp>
        <tr r="K5" s="2"/>
      </tp>
      <tp t="s">
        <v>#N/A Connection</v>
        <stp/>
        <stp>##V3_BDPV12</stp>
        <stp xml:space="preserve">KDP US Equity </stp>
        <stp>ANNOUNCEMENT_DT</stp>
        <stp>[Zach MARIANI KDP.xlsx]Tower!R5C26</stp>
        <stp xml:space="preserve">FUND_PER=Q4 </stp>
        <stp>EQY_FUND_YEAR=2020</stp>
        <tr r="Z5" s="2"/>
      </tp>
      <tp t="s">
        <v>#N/A Connection</v>
        <stp/>
        <stp>##V3_BDPV12</stp>
        <stp xml:space="preserve">KDP US Equity </stp>
        <stp>ANNOUNCEMENT_DT</stp>
        <stp>[Zach MARIANI KDP.xlsx]Tower!R5C10</stp>
        <stp xml:space="preserve">FUND_PER=Q4 </stp>
        <stp>EQY_FUND_YEAR=2017</stp>
        <tr r="J5" s="2"/>
      </tp>
      <tp t="s">
        <v>#N/A Connection</v>
        <stp/>
        <stp>##V3_BDPV12</stp>
        <stp xml:space="preserve">KDP US Equity </stp>
        <stp>ANNOUNCEMENT_DT</stp>
        <stp>[Zach MARIANI KDP.xlsx]Tower!R5C18</stp>
        <stp xml:space="preserve">FUND_PER=Q2 </stp>
        <stp>EQY_FUND_YEAR=2019</stp>
        <tr r="R5" s="2"/>
      </tp>
      <tp t="s">
        <v>#N/A Connection</v>
        <stp/>
        <stp>##V3_BDPV12</stp>
        <stp xml:space="preserve">KDP US Equity </stp>
        <stp>ANNOUNCEMENT_DT</stp>
        <stp>[Zach MARIANI KDP.xlsx]Tower!R5C19</stp>
        <stp xml:space="preserve">FUND_PER=Q3 </stp>
        <stp>EQY_FUND_YEAR=2019</stp>
        <tr r="S5" s="2"/>
      </tp>
      <tp t="s">
        <v>#N/A Connection</v>
        <stp/>
        <stp>##V3_BDPV12</stp>
        <stp xml:space="preserve">KDP US Equity </stp>
        <stp>ANNOUNCEMENT_DT</stp>
        <stp>[Zach MARIANI KDP.xlsx]Tower!R5C22</stp>
        <stp xml:space="preserve">FUND_PER=Q1 </stp>
        <stp>EQY_FUND_YEAR=2020</stp>
        <tr r="V5" s="2"/>
      </tp>
      <tp t="s">
        <v>#N/A Connection</v>
        <stp/>
        <stp>##V3_BDPV12</stp>
        <stp xml:space="preserve">KDP US Equity </stp>
        <stp>ANNOUNCEMENT_DT</stp>
        <stp>[Zach MARIANI KDP.xlsx]Tower!R5C23</stp>
        <stp xml:space="preserve">FUND_PER=Q2 </stp>
        <stp>EQY_FUND_YEAR=2020</stp>
        <tr r="W5" s="2"/>
      </tp>
      <tp t="s">
        <v>#N/A Connection</v>
        <stp/>
        <stp>##V3_BDPV12</stp>
        <stp xml:space="preserve">KDP US Equity </stp>
        <stp>ANNOUNCEMENT_DT</stp>
        <stp>[Zach MARIANI KDP.xlsx]Tower!R5C25</stp>
        <stp xml:space="preserve">FUND_PER=Q4 </stp>
        <stp>EQY_FUND_YEAR=2020</stp>
        <tr r="Y5" s="2"/>
      </tp>
      <tp t="s">
        <v>#N/A Connection</v>
        <stp/>
        <stp>##V3_BDPV12</stp>
        <stp xml:space="preserve">KDP US Equity </stp>
        <stp>ANNOUNCEMENT_DT</stp>
        <stp>[Zach MARIANI KDP.xlsx]Tower!R5C24</stp>
        <stp xml:space="preserve">FUND_PER=Q3 </stp>
        <stp>EQY_FUND_YEAR=2020</stp>
        <tr r="X5" s="2"/>
      </tp>
      <tp t="s">
        <v>#N/A Connection</v>
        <stp/>
        <stp>##V3_BDPV12</stp>
        <stp xml:space="preserve">KDP US Equity </stp>
        <stp>ANNOUNCEMENT_DT</stp>
        <stp>[Zach MARIANI KDP.xlsx]Tower!R5C27</stp>
        <stp xml:space="preserve">FUND_PER=Q1 </stp>
        <stp>EQY_FUND_YEAR=2021</stp>
        <tr r="AA5" s="2"/>
      </tp>
      <tp t="s">
        <v>#N/A Connection</v>
        <stp/>
        <stp>##V3_BDPV12</stp>
        <stp xml:space="preserve">KDP US Equity </stp>
        <stp>ANNOUNCEMENT_DT</stp>
        <stp>[Zach MARIANI KDP.xlsx]Tower!R5C16</stp>
        <stp xml:space="preserve">FUND_PER=Q4 </stp>
        <stp>EQY_FUND_YEAR=2018</stp>
        <tr r="P5" s="2"/>
      </tp>
      <tp t="s">
        <v>#N/A Connection</v>
        <stp/>
        <stp>##V3_BDPV12</stp>
        <stp xml:space="preserve">KDP US Equity </stp>
        <stp>ANNOUNCEMENT_DT</stp>
        <stp>[Zach MARIANI KDP.xlsx]Tower!R5C12</stp>
        <stp xml:space="preserve">FUND_PER=Q1 </stp>
        <stp>EQY_FUND_YEAR=2018</stp>
        <tr r="L5" s="2"/>
      </tp>
      <tp t="s">
        <v>#N/A Connection</v>
        <stp/>
        <stp>##V3_BDPV12</stp>
        <stp xml:space="preserve">KDP US Equity </stp>
        <stp>ANNOUNCEMENT_DT</stp>
        <stp>[Zach MARIANI KDP.xlsx]Tower!R5C28</stp>
        <stp xml:space="preserve">FUND_PER=Q2 </stp>
        <stp>EQY_FUND_YEAR=2021</stp>
        <tr r="AB5" s="2"/>
      </tp>
      <tp t="s">
        <v>#N/A Connection</v>
        <stp/>
        <stp>##V3_BDPV12</stp>
        <stp xml:space="preserve">KDP US Equity </stp>
        <stp>ANNOUNCEMENT_DT</stp>
        <stp>[Zach MARIANI KDP.xlsx]Tower!R5C29</stp>
        <stp xml:space="preserve">FUND_PER=Q3 </stp>
        <stp>EQY_FUND_YEAR=2021</stp>
        <tr r="AC5" s="2"/>
      </tp>
      <tp t="s">
        <v>#N/A Connection</v>
        <stp/>
        <stp>##V3_BDPV12</stp>
        <stp xml:space="preserve">KDP US Equity </stp>
        <stp>ANNOUNCEMENT_DT</stp>
        <stp>[Zach MARIANI KDP.xlsx]Tower!R5C13</stp>
        <stp xml:space="preserve">FUND_PER=Q2 </stp>
        <stp>EQY_FUND_YEAR=2018</stp>
        <tr r="M5" s="2"/>
      </tp>
      <tp t="s">
        <v>#N/A Connection</v>
        <stp/>
        <stp>##V3_BDPV12</stp>
        <stp xml:space="preserve">KDP US Equity </stp>
        <stp>ANNOUNCEMENT_DT</stp>
        <stp>[Zach MARIANI KDP.xlsx]Tower!R5C15</stp>
        <stp xml:space="preserve">FUND_PER=Q4 </stp>
        <stp>EQY_FUND_YEAR=2018</stp>
        <tr r="O5" s="2"/>
      </tp>
      <tp t="s">
        <v>#N/A Connection</v>
        <stp/>
        <stp>##V3_BDPV12</stp>
        <stp xml:space="preserve">KDP US Equity </stp>
        <stp>ANNOUNCEMENT_DT</stp>
        <stp>[Zach MARIANI KDP.xlsx]Tower!R5C14</stp>
        <stp xml:space="preserve">FUND_PER=Q3 </stp>
        <stp>EQY_FUND_YEAR=2018</stp>
        <tr r="N5" s="2"/>
      </tp>
      <tp t="s">
        <v>#N/A Connection</v>
        <stp/>
        <stp>##V3_BDPV12</stp>
        <stp xml:space="preserve">KDP US Equity </stp>
        <stp>ANNOUNCEMENT_DT</stp>
        <stp>[Zach MARIANI KDP.xlsx]Tower!R5C17</stp>
        <stp xml:space="preserve">FUND_PER=Q1 </stp>
        <stp>EQY_FUND_YEAR=2019</stp>
        <tr r="Q5" s="2"/>
      </tp>
      <tp t="s">
        <v>#N/A Connection</v>
        <stp/>
        <stp>##V3_BDPV12</stp>
        <stp xml:space="preserve">KDP US Equity </stp>
        <stp>ANNOUNCEMENT_DT</stp>
        <stp>[Zach MARIANI KDP.xlsx]Tower!R5C33</stp>
        <stp xml:space="preserve">FUND_PER=Q2 </stp>
        <stp>EQY_FUND_YEAR=2022</stp>
        <tr r="AG5" s="2"/>
      </tp>
      <tp t="s">
        <v>#N/A Connection</v>
        <stp/>
        <stp>##V3_BDPV12</stp>
        <stp xml:space="preserve">KDP US Equity </stp>
        <stp>ANNOUNCEMENT_DT</stp>
        <stp>[Zach MARIANI KDP.xlsx]Tower!R5C35</stp>
        <stp xml:space="preserve">FUND_PER=Q4 </stp>
        <stp>EQY_FUND_YEAR=2022</stp>
        <tr r="AI5" s="2"/>
      </tp>
      <tp t="s">
        <v>#N/A Connection</v>
        <stp/>
        <stp>##V3_BDPV12</stp>
        <stp xml:space="preserve">KDP US Equity </stp>
        <stp>ANNOUNCEMENT_DT</stp>
        <stp>[Zach MARIANI KDP.xlsx]Tower!R5C36</stp>
        <stp xml:space="preserve">FUND_PER=Q4 </stp>
        <stp>EQY_FUND_YEAR=2022</stp>
        <tr r="AJ5" s="2"/>
      </tp>
      <tp t="s">
        <v>#N/A Connection</v>
        <stp/>
        <stp>##V3_BDPV12</stp>
        <stp xml:space="preserve">KDP US Equity </stp>
        <stp>ANNOUNCEMENT_DT</stp>
        <stp>[Zach MARIANI KDP.xlsx]Tower!R5C32</stp>
        <stp xml:space="preserve">FUND_PER=Q1 </stp>
        <stp>EQY_FUND_YEAR=2022</stp>
        <tr r="AF5" s="2"/>
      </tp>
      <tp t="s">
        <v>#N/A Connection</v>
        <stp/>
        <stp>##V3_BDPV12</stp>
        <stp xml:space="preserve">KDP US Equity </stp>
        <stp>ANNOUNCEMENT_DT</stp>
        <stp>[Zach MARIANI KDP.xlsx]Tower!R5C31</stp>
        <stp xml:space="preserve">FUND_PER=Q4 </stp>
        <stp>EQY_FUND_YEAR=2021</stp>
        <tr r="AE5" s="2"/>
      </tp>
      <tp t="s">
        <v>#N/A Connection</v>
        <stp/>
        <stp>##V3_BDPV12</stp>
        <stp xml:space="preserve">KDP US Equity </stp>
        <stp>ANNOUNCEMENT_DT</stp>
        <stp>[Zach MARIANI KDP.xlsx]Tower!R5C30</stp>
        <stp xml:space="preserve">FUND_PER=Q4 </stp>
        <stp>EQY_FUND_YEAR=2021</stp>
        <tr r="AD5" s="2"/>
      </tp>
      <tp t="s">
        <v>#N/A Connection</v>
        <stp/>
        <stp>##V3_BDPV12</stp>
        <stp xml:space="preserve">KDP US Equity </stp>
        <stp>ANNOUNCEMENT_DT</stp>
        <stp>[Zach MARIANI KDP.xlsx]Tower!R5C34</stp>
        <stp xml:space="preserve">FUND_PER=Q3 </stp>
        <stp>EQY_FUND_YEAR=2022</stp>
        <tr r="AH5" s="2"/>
      </tp>
      <tp t="s">
        <v>#N/A Connection</v>
        <stp/>
        <stp>##V3_BDPV12</stp>
        <stp xml:space="preserve">KDP US Equity </stp>
        <stp>ANNOUNCEMENT_DT</stp>
        <stp>[Zach MARIANI KDP.xlsx]Tower!R5C37</stp>
        <stp xml:space="preserve">FUND_PER=Q1 </stp>
        <stp>EQY_FUND_YEAR=2023</stp>
        <tr r="AK5" s="2"/>
      </tp>
      <tp t="s">
        <v>#N/A Connection</v>
        <stp/>
        <stp>##V3_BDPV12</stp>
        <stp xml:space="preserve">KDP US Equity </stp>
        <stp>ANNOUNCEMENT_DT</stp>
        <stp>[Zach MARIANI KDP.xlsx]Tower!R5C38</stp>
        <stp xml:space="preserve">FUND_PER=Q2 </stp>
        <stp>EQY_FUND_YEAR=2023</stp>
        <tr r="AL5" s="2"/>
      </tp>
      <tp t="s">
        <v>#N/A Connection</v>
        <stp/>
        <stp>##V3_BDPV12</stp>
        <stp>SJM Equity</stp>
        <stp>BEST_SALES</stp>
        <stp>[Zach MARIANI KDP.xlsx]Comps!R13C81</stp>
        <stp>BEST_FPERIOD_OVERRIDE=21BC</stp>
        <tr r="CC13" s="5"/>
      </tp>
      <tp t="s">
        <v>#N/A Connection</v>
        <stp/>
        <stp>##V3_BDPV12</stp>
        <stp>KDP Equity</stp>
        <stp>INTERVAL_AVG</stp>
        <stp>[Zach MARIANI KDP.xlsx]Comps!R7C71</stp>
        <stp>MARKET_DATA_OVERRIDE=BEST_CUR_EV_TO_EBITDA</stp>
        <stp xml:space="preserve">BEST_FPERIOD_OVERRIDE=1TY </stp>
        <stp xml:space="preserve">CALC_INTERVAL=5Y </stp>
        <tr r="BS7" s="5"/>
      </tp>
      <tp t="s">
        <v>#N/A Connection</v>
        <stp/>
        <stp>##V3_BDPV12</stp>
        <stp>NESN SW Equity</stp>
        <stp>BEST_EPS</stp>
        <stp>[Zach MARIANI KDP.xlsx]Comps!R15C95</stp>
        <stp>BEST_FPERIOD_OVERRIDE=20BC</stp>
        <tr r="CQ15" s="5"/>
      </tp>
      <tp t="s">
        <v>#N/A Connection</v>
        <stp/>
        <stp>##V3_BDPV12</stp>
        <stp>SBUX Equity</stp>
        <stp>BEST_EBITDA</stp>
        <stp>[Zach MARIANI KDP.xlsx]Comps!R14C65</stp>
        <stp>BEST_FPERIOD_OVERRIDE=1TY</stp>
        <tr r="BM14" s="5"/>
      </tp>
      <tp t="s">
        <v>#N/A Connection</v>
        <stp/>
        <stp>##V3_BDPV12</stp>
        <stp>PEP Equity</stp>
        <stp>BEST_SALES</stp>
        <stp>[Zach MARIANI KDP.xlsx]Comps!R12C79</stp>
        <stp>BEST_FPERIOD_OVERRIDE=20BC</stp>
        <tr r="CA12" s="5"/>
      </tp>
      <tp t="s">
        <v>#N/A Connection</v>
        <stp/>
        <stp>##V3_BDPV12</stp>
        <stp>NESN SW Equity</stp>
        <stp>BEST_EPS</stp>
        <stp>[Zach MARIANI KDP.xlsx]Comps!R15C97</stp>
        <stp>BEST_FPERIOD_OVERRIDE=21BC</stp>
        <tr r="CS15" s="5"/>
      </tp>
      <tp t="s">
        <v>#N/A Connection</v>
        <stp/>
        <stp>##V3_BDPV12</stp>
        <stp>NESN SW US Equity</stp>
        <stp>INVENT_TURN</stp>
        <stp>[Zach MARIANI KDP.xlsx]Comps!R15C45</stp>
        <tr r="AS15" s="5"/>
      </tp>
      <tp t="s">
        <v>#N/A Connection</v>
        <stp/>
        <stp>##V3_BDPV12</stp>
        <stp>PEP Equity</stp>
        <stp>BEST_SALES</stp>
        <stp>[Zach MARIANI KDP.xlsx]Comps!R12C81</stp>
        <stp>BEST_FPERIOD_OVERRIDE=21BC</stp>
        <tr r="CC12" s="5"/>
      </tp>
      <tp t="s">
        <v>#N/A Connection</v>
        <stp/>
        <stp>##V3_BDPV12</stp>
        <stp>SJM Equity</stp>
        <stp>IS_ADJ_EBIT_OP_INC_AS_REPORTED</stp>
        <stp>[Zach MARIANI KDP.xlsx]Comps!R13C111</stp>
        <stp>EQY_FUND_YEAR=2020</stp>
        <tr r="DG13" s="5"/>
      </tp>
      <tp t="s">
        <v>#N/A Connection</v>
        <stp/>
        <stp>##V3_BDPV12</stp>
        <stp>SJM Equity</stp>
        <stp>IS_ADJ_EBIT_OP_INC_AS_REPORTED</stp>
        <stp>[Zach MARIANI KDP.xlsx]Comps!R13C113</stp>
        <stp>EQY_FUND_YEAR=2021</stp>
        <tr r="DI13" s="5"/>
      </tp>
      <tp t="s">
        <v>#N/A Connection</v>
        <stp/>
        <stp>##V3_BDPV12</stp>
        <stp>SJM Equity</stp>
        <stp>IS_ADJ_EBIT_OP_INC_AS_REPORTED</stp>
        <stp>[Zach MARIANI KDP.xlsx]Comps!R13C115</stp>
        <stp>EQY_FUND_YEAR=2022</stp>
        <tr r="DK13" s="5"/>
      </tp>
      <tp t="s">
        <v>#N/A Connection</v>
        <stp/>
        <stp>##V3_BDPV12</stp>
        <stp>NESN SW Equity</stp>
        <stp>BEST_EPS</stp>
        <stp>[Zach MARIANI KDP.xlsx]Comps!R15C99</stp>
        <stp>BEST_FPERIOD_OVERRIDE=22BC</stp>
        <tr r="CU15" s="5"/>
      </tp>
      <tp t="s">
        <v>#N/A Connection</v>
        <stp/>
        <stp>##V3_BDPV12</stp>
        <stp>SJM Equity</stp>
        <stp>IS_ADJ_EBIT_OP_INC_AS_REPORTED</stp>
        <stp>[Zach MARIANI KDP.xlsx]Comps!R13C117</stp>
        <stp>EQY_FUND_YEAR=-0FY</stp>
        <tr r="DM13" s="5"/>
      </tp>
      <tp t="s">
        <v>#N/A Connection</v>
        <stp/>
        <stp>##V3_BDPV12</stp>
        <stp>PEP Equity</stp>
        <stp>BEST_SALES</stp>
        <stp>[Zach MARIANI KDP.xlsx]Comps!R12C83</stp>
        <stp>BEST_FPERIOD_OVERRIDE=22BC</stp>
        <tr r="CE12" s="5"/>
      </tp>
      <tp t="s">
        <v>#N/A Connection</v>
        <stp/>
        <stp>##V3_BDPV12</stp>
        <stp>KO Equity</stp>
        <stp>BS_SH_OUT</stp>
        <stp>[Zach MARIANI KDP.xlsx]Comps!R11C56</stp>
        <tr r="BD11" s="5"/>
      </tp>
      <tp t="s">
        <v>#N/A Connection</v>
        <stp/>
        <stp>##V3_BDPV12</stp>
        <stp>PEP Equity</stp>
        <stp>BEST_SALES</stp>
        <stp>[Zach MARIANI KDP.xlsx]Comps!R12C85</stp>
        <stp>BEST_FPERIOD_OVERRIDE=23BC</stp>
        <tr r="CG12" s="5"/>
      </tp>
      <tp t="s">
        <v>#N/A Connection</v>
        <stp/>
        <stp>##V3_BDPV12</stp>
        <stp>KDP Equity</stp>
        <stp>INTERVAL_AVG</stp>
        <stp>[Zach MARIANI KDP.xlsx]Comps!R7C67</stp>
        <stp>MARKET_DATA_OVERRIDE=BEST_CUR_EV_TO_EBITDA</stp>
        <stp xml:space="preserve">BEST_FPERIOD_OVERRIDE=1TY </stp>
        <stp xml:space="preserve">CALC_INTERVAL=1Y </stp>
        <tr r="BO7" s="5"/>
      </tp>
      <tp t="s">
        <v>#N/A Connection</v>
        <stp/>
        <stp>##V3_BDPV12</stp>
        <stp>PEP Equity</stp>
        <stp>ORGANIC_GROWTH</stp>
        <stp>[Zach MARIANI KDP.xlsx]Comps!R12C103</stp>
        <stp>EQY_FUND_YEAR=2020</stp>
        <tr r="CY12" s="5"/>
      </tp>
      <tp t="s">
        <v>#N/A Connection</v>
        <stp/>
        <stp>##V3_BDPV12</stp>
        <stp>PEP Equity</stp>
        <stp>ORGANIC_GROWTH</stp>
        <stp>[Zach MARIANI KDP.xlsx]Comps!R12C105</stp>
        <stp>EQY_FUND_YEAR=2021</stp>
        <tr r="DA12" s="5"/>
      </tp>
      <tp t="s">
        <v>#N/A Connection</v>
        <stp/>
        <stp>##V3_BDPV12</stp>
        <stp>PEP Equity</stp>
        <stp>ORGANIC_GROWTH</stp>
        <stp>[Zach MARIANI KDP.xlsx]Comps!R12C107</stp>
        <stp>EQY_FUND_YEAR=2022</stp>
        <tr r="DC12" s="5"/>
      </tp>
      <tp t="s">
        <v>#N/A Connection</v>
        <stp/>
        <stp>##V3_BDPV12</stp>
        <stp>KDP Equity</stp>
        <stp>INTERVAL_AVG</stp>
        <stp>[Zach MARIANI KDP.xlsx]Comps!R7C69</stp>
        <stp>MARKET_DATA_OVERRIDE=BEST_CUR_EV_TO_EBITDA</stp>
        <stp xml:space="preserve">BEST_FPERIOD_OVERRIDE=1TY </stp>
        <stp xml:space="preserve">CALC_INTERVAL=2Y </stp>
        <tr r="BQ7" s="5"/>
      </tp>
      <tp t="s">
        <v>#N/A Connection</v>
        <stp/>
        <stp>##V3_BDPV12</stp>
        <stp>SBUX Equity</stp>
        <stp>PX_LAST</stp>
        <stp>[Zach MARIANI KDP.xlsx]Comps!R14C5</stp>
        <tr r="E14" s="5"/>
      </tp>
    </main>
    <main first="bloomberg.rtd">
      <tp t="s">
        <v>#N/A Connection</v>
        <stp/>
        <stp>##V3_BDPV12</stp>
        <stp>SBUX Equity</stp>
        <stp>BS_PFD_EQY</stp>
        <stp>[Zach MARIANI KDP.xlsx]Comps!R14C60</stp>
        <stp>FUND_PER=Q</stp>
        <tr r="BH14" s="5"/>
      </tp>
      <tp t="s">
        <v>#N/A Connection</v>
        <stp/>
        <stp>##V3_BDPV12</stp>
        <stp>KDP Equity</stp>
        <stp>BS_PFD_EQY</stp>
        <stp>[Zach MARIANI KDP.xlsx]Comps!R7C60</stp>
        <stp>FUND_PER=Q</stp>
        <tr r="BH7" s="5"/>
      </tp>
      <tp t="s">
        <v>#N/A Connection</v>
        <stp/>
        <stp>##V3_BDPV12</stp>
        <stp>SJM Equity</stp>
        <stp>BEST_EPS</stp>
        <stp>[Zach MARIANI KDP.xlsx]Comps!R13C64</stp>
        <stp>BEST_FPERIOD_OVERRIDE=1TY</stp>
        <tr r="BL13" s="5"/>
      </tp>
      <tp t="s">
        <v>#N/A Connection</v>
        <stp/>
        <stp>##V3_BDPV12</stp>
        <stp>SBUX Equity</stp>
        <stp>INTERVAL_HIGH</stp>
        <stp>[Zach MARIANI KDP mobile.xlsx]Comps!R14C53</stp>
        <stp>CALC_INTERVAL=52W</stp>
        <stp>END_DATE_OVERRIDE</stp>
        <stp>20230909</stp>
        <tr r="BA14" s="5"/>
      </tp>
      <tp t="s">
        <v>#N/A Connection</v>
        <stp/>
        <stp>##V3_BDPV12</stp>
        <stp>SJM Equity</stp>
        <stp>EQY_SH_OUT</stp>
        <stp>[Zach MARIANI KDP.xlsx]Comps!R13C55</stp>
        <tr r="BC13" s="5"/>
      </tp>
      <tp t="s">
        <v>#N/A Connection</v>
        <stp/>
        <stp>##V3_BDPV12</stp>
        <stp>PEP Equity</stp>
        <stp>SHORT_AND_LONG_TERM_DEBT</stp>
        <stp>[Zach MARIANI KDP.xlsx]Comps!R12C58</stp>
        <stp>FUND_PER=Q</stp>
        <tr r="BF12" s="5"/>
      </tp>
      <tp t="s">
        <v>#N/A Connection</v>
        <stp/>
        <stp>##V3_BDPV12</stp>
        <stp>KDP Equity</stp>
        <stp>BEST_EPS</stp>
        <stp>[Zach MARIANI KDP.xlsx]Comps!R7C101</stp>
        <stp>BEST_FPERIOD_OVERRIDE=23BC</stp>
        <tr r="CW7" s="5"/>
      </tp>
      <tp t="s">
        <v>#N/A Connection</v>
        <stp/>
        <stp>##V3_BDPV12</stp>
        <stp>SBUX Equity</stp>
        <stp>SHORT_AND_LONG_TERM_DEBT</stp>
        <stp>[Zach MARIANI KDP.xlsx]Comps!R14C58</stp>
        <stp>FUND_PER=Q</stp>
        <tr r="BF14" s="5"/>
      </tp>
      <tp t="s">
        <v>#N/A Connection</v>
        <stp/>
        <stp>##V3_BDPV12</stp>
        <stp>SJM Equity</stp>
        <stp>SHORT_AND_LONG_TERM_DEBT</stp>
        <stp>[Zach MARIANI KDP.xlsx]Comps!R13C58</stp>
        <stp>FUND_PER=Q</stp>
        <tr r="BF13" s="5"/>
      </tp>
      <tp t="s">
        <v>#N/A Connection</v>
        <stp/>
        <stp>##V3_BDPV12</stp>
        <stp>SJM Equity</stp>
        <stp>MINORITY_NONCONTROLLING_INTEREST</stp>
        <stp>[Zach MARIANI KDP.xlsx]Comps!R13C60</stp>
        <stp>FUND_PER=Q</stp>
        <tr r="BH13" s="5"/>
      </tp>
      <tp t="s">
        <v>#N/A Connection</v>
        <stp/>
        <stp>##V3_BDPV12</stp>
        <stp>SBUX Equity</stp>
        <stp>MINORITY_NONCONTROLLING_INTEREST</stp>
        <stp>[Zach MARIANI KDP.xlsx]Comps!R14C60</stp>
        <stp>FUND_PER=Q</stp>
        <tr r="BH14" s="5"/>
      </tp>
      <tp t="s">
        <v>#N/A Connection</v>
        <stp/>
        <stp>##V3_BDPV12</stp>
        <stp>KDP Equity</stp>
        <stp>IS_ADJ_EBIT_OP_INC_AS_REPORTED</stp>
        <stp>[Zach MARIANI KDP.xlsx]Comps!R7C111</stp>
        <stp>EQY_FUND_YEAR=2020</stp>
        <tr r="DG7" s="5"/>
      </tp>
      <tp t="s">
        <v>#N/A Connection</v>
        <stp/>
        <stp>##V3_BDPV12</stp>
        <stp>KDP Equity</stp>
        <stp>IS_ADJ_EBIT_OP_INC_AS_REPORTED</stp>
        <stp>[Zach MARIANI KDP.xlsx]Comps!R7C113</stp>
        <stp>EQY_FUND_YEAR=2021</stp>
        <tr r="DI7" s="5"/>
      </tp>
      <tp t="s">
        <v>#N/A Connection</v>
        <stp/>
        <stp>##V3_BDPV12</stp>
        <stp>KDP Equity</stp>
        <stp>IS_ADJ_EBIT_OP_INC_AS_REPORTED</stp>
        <stp>[Zach MARIANI KDP.xlsx]Comps!R7C115</stp>
        <stp>EQY_FUND_YEAR=2022</stp>
        <tr r="DK7" s="5"/>
      </tp>
      <tp t="s">
        <v>#N/A Connection</v>
        <stp/>
        <stp>##V3_BDPV12</stp>
        <stp>KDP Equity</stp>
        <stp>IS_ADJ_EBIT_OP_INC_AS_REPORTED</stp>
        <stp>[Zach MARIANI KDP.xlsx]Comps!R7C117</stp>
        <stp>EQY_FUND_YEAR=-0FY</stp>
        <tr r="DM7" s="5"/>
      </tp>
      <tp t="s">
        <v>#N/A Connection</v>
        <stp/>
        <stp>##V3_BDPV12</stp>
        <stp>PEP Equity</stp>
        <stp>BEST_EBITDA</stp>
        <stp>[Zach MARIANI KDP.xlsx]Comps!R12C87</stp>
        <stp>BEST_FPERIOD_OVERRIDE=20BC</stp>
        <tr r="CI12" s="5"/>
      </tp>
      <tp t="s">
        <v>#N/A Connection</v>
        <stp/>
        <stp>##V3_BDPV12</stp>
        <stp>PEP Equity</stp>
        <stp>MINORITY_NONCONTROLLING_INTEREST</stp>
        <stp>[Zach MARIANI KDP.xlsx]Comps!R12C60</stp>
        <stp>FUND_PER=Q</stp>
        <tr r="BH12" s="5"/>
      </tp>
      <tp t="s">
        <v>#N/A Connection</v>
        <stp/>
        <stp>##V3_BDPV12</stp>
        <stp>PEP Equity</stp>
        <stp>BEST_EBITDA</stp>
        <stp>[Zach MARIANI KDP.xlsx]Comps!R12C89</stp>
        <stp>BEST_FPERIOD_OVERRIDE=21BC</stp>
        <tr r="CK12" s="5"/>
      </tp>
      <tp t="s">
        <v>#N/A Connection</v>
        <stp/>
        <stp>##V3_BDPV12</stp>
        <stp>SBUX Equity</stp>
        <stp>EQY_SH_OUT</stp>
        <stp>[Zach MARIANI KDP.xlsx]Comps!R14C55</stp>
        <tr r="BC14" s="5"/>
      </tp>
      <tp t="s">
        <v>#N/A Connection</v>
        <stp/>
        <stp>##V3_BDPV12</stp>
        <stp>PEP Equity</stp>
        <stp>BEST_EBITDA</stp>
        <stp>[Zach MARIANI KDP.xlsx]Comps!R12C91</stp>
        <stp>BEST_FPERIOD_OVERRIDE=22BC</stp>
        <tr r="CM12" s="5"/>
      </tp>
      <tp t="s">
        <v>#N/A Connection</v>
        <stp/>
        <stp>##V3_BDPV12</stp>
        <stp>KO Equity</stp>
        <stp>ORGANIC_GROWTH</stp>
        <stp>[Zach MARIANI KDP.xlsx]Comps!R11C109</stp>
        <stp>EQY_FUND_RELATIVE_PERIOD=-0FY</stp>
        <tr r="DE11" s="5"/>
      </tp>
      <tp t="s">
        <v>#N/A Connection</v>
        <stp/>
        <stp>##V3_BDPV12</stp>
        <stp>NESN SW Equity</stp>
        <stp>IS_ADJUSTED_EPS_AS_REPORTED</stp>
        <stp>[Zach MARIANI KDP.xlsx]Comps!R15C119</stp>
        <stp>EQY_FUND_YEAR=2020</stp>
        <tr r="DO15" s="5"/>
      </tp>
      <tp t="s">
        <v>#N/A Connection</v>
        <stp/>
        <stp>##V3_BDPV12</stp>
        <stp>NESN SW Equity</stp>
        <stp>IS_ADJUSTED_EPS_AS_REPORTED</stp>
        <stp>[Zach MARIANI KDP.xlsx]Comps!R15C123</stp>
        <stp>EQY_FUND_YEAR=2022</stp>
        <tr r="DS15" s="5"/>
      </tp>
      <tp t="s">
        <v>#N/A Connection</v>
        <stp/>
        <stp>##V3_BDPV12</stp>
        <stp>NESN SW Equity</stp>
        <stp>IS_ADJUSTED_EPS_AS_REPORTED</stp>
        <stp>[Zach MARIANI KDP.xlsx]Comps!R15C121</stp>
        <stp>EQY_FUND_YEAR=2021</stp>
        <tr r="DQ15" s="5"/>
      </tp>
      <tp t="s">
        <v>#N/A Connection</v>
        <stp/>
        <stp>##V3_BDPV12</stp>
        <stp>NESN SW Equity</stp>
        <stp>IS_ADJUSTED_EPS_AS_REPORTED</stp>
        <stp>[Zach MARIANI KDP.xlsx]Comps!R15C125</stp>
        <stp>EQY_FUND_YEAR=-0FY</stp>
        <tr r="DU15" s="5"/>
      </tp>
      <tp t="s">
        <v>#N/A Connection</v>
        <stp/>
        <stp>##V3_BDPV12</stp>
        <stp>PEP Equity</stp>
        <stp>BEST_EBITDA</stp>
        <stp>[Zach MARIANI KDP.xlsx]Comps!R12C93</stp>
        <stp>BEST_FPERIOD_OVERRIDE=23BC</stp>
        <tr r="CO12" s="5"/>
      </tp>
      <tp t="s">
        <v>#N/A Connection</v>
        <stp/>
        <stp>##V3_BDPV12</stp>
        <stp>KO Equity</stp>
        <stp>CASH_AND_MARKETABLE_SECURITIES</stp>
        <stp>[Zach MARIANI KDP.xlsx]Comps!R11C62</stp>
        <stp>FUND_PER=Q</stp>
        <tr r="BJ11" s="5"/>
      </tp>
      <tp t="s">
        <v>#N/A Connection</v>
        <stp/>
        <stp>##V3_BDPV12</stp>
        <stp>SBUX Equity</stp>
        <stp>BEST_EPS</stp>
        <stp>[Zach MARIANI KDP.xlsx]Comps!R14C64</stp>
        <stp>BEST_FPERIOD_OVERRIDE=1TY</stp>
        <tr r="BL14" s="5"/>
      </tp>
      <tp t="s">
        <v>#N/A Connection</v>
        <stp/>
        <stp>##V3_BDPV12</stp>
        <stp>KDP Equity</stp>
        <stp>BS_SH_OUT</stp>
        <stp>[Zach MARIANI KDP.xlsx]Comps!R7C56</stp>
        <tr r="BD7" s="5"/>
      </tp>
      <tp t="s">
        <v>#N/A Connection</v>
        <stp/>
        <stp>##V3_BDPV12</stp>
        <stp>KO Equity</stp>
        <stp>MINORITY_NONCONTROLLING_INTEREST</stp>
        <stp>[Zach MARIANI KDP.xlsx]Comps!R11C60</stp>
        <stp>FUND_PER=Q</stp>
        <tr r="BH11" s="5"/>
      </tp>
      <tp t="s">
        <v>#N/A Connection</v>
        <stp/>
        <stp>##V3_BDPV12</stp>
        <stp>KDP US Equity</stp>
        <stp>INVENT_TURN</stp>
        <stp>[Zach MARIANI KDP.xlsx]Comps!R7C45</stp>
        <tr r="AS7" s="5"/>
      </tp>
      <tp t="s">
        <v>#N/A Connection</v>
        <stp/>
        <stp>##V3_BDPV12</stp>
        <stp>PEP Equity</stp>
        <stp>CASH_AND_MARKETABLE_SECURITIES</stp>
        <stp>[Zach MARIANI KDP.xlsx]Comps!R12C62</stp>
        <stp>FUND_PER=Q</stp>
        <tr r="BJ12" s="5"/>
      </tp>
      <tp t="s">
        <v>#N/A Connection</v>
        <stp/>
        <stp>##V3_BDPV12</stp>
        <stp>SJM Equity</stp>
        <stp>BEST_EBITDA</stp>
        <stp>[Zach MARIANI KDP.xlsx]Comps!R13C87</stp>
        <stp>BEST_FPERIOD_OVERRIDE=20BC</stp>
        <tr r="CI13" s="5"/>
      </tp>
      <tp t="s">
        <v>#N/A Connection</v>
        <stp/>
        <stp>##V3_BDPV12</stp>
        <stp>PEP Equity</stp>
        <stp>ORGANIC_GROWTH</stp>
        <stp>[Zach MARIANI KDP.xlsx]Comps!R12C109</stp>
        <stp>EQY_FUND_RELATIVE_PERIOD=-0FY</stp>
        <tr r="DE12" s="5"/>
      </tp>
      <tp t="s">
        <v>#N/A Connection</v>
        <stp/>
        <stp>##V3_BDPV12</stp>
        <stp>SJM Equity</stp>
        <stp>BEST_EBITDA</stp>
        <stp>[Zach MARIANI KDP.xlsx]Comps!R13C89</stp>
        <stp>BEST_FPERIOD_OVERRIDE=21BC</stp>
        <tr r="CK13" s="5"/>
      </tp>
      <tp t="s">
        <v>#N/A Connection</v>
        <stp/>
        <stp>##V3_BDPV12</stp>
        <stp>SJM Equity</stp>
        <stp>BEST_EBITDA</stp>
        <stp>[Zach MARIANI KDP.xlsx]Comps!R13C91</stp>
        <stp>BEST_FPERIOD_OVERRIDE=22BC</stp>
        <tr r="CM13" s="5"/>
      </tp>
      <tp t="s">
        <v>#N/A Connection</v>
        <stp/>
        <stp>##V3_BDPV12</stp>
        <stp>KDP Equity</stp>
        <stp>ORGANIC_GROWTH</stp>
        <stp>[Zach MARIANI KDP.xlsx]Comps!R7C107</stp>
        <stp>EQY_FUND_YEAR=2022</stp>
        <tr r="DC7" s="5"/>
      </tp>
      <tp t="s">
        <v>#N/A Connection</v>
        <stp/>
        <stp>##V3_BDPV12</stp>
        <stp>KDP Equity</stp>
        <stp>ORGANIC_GROWTH</stp>
        <stp>[Zach MARIANI KDP.xlsx]Comps!R7C105</stp>
        <stp>EQY_FUND_YEAR=2021</stp>
        <tr r="DA7" s="5"/>
      </tp>
      <tp t="s">
        <v>#N/A Connection</v>
        <stp/>
        <stp>##V3_BDPV12</stp>
        <stp>KDP Equity</stp>
        <stp>ORGANIC_GROWTH</stp>
        <stp>[Zach MARIANI KDP.xlsx]Comps!R7C103</stp>
        <stp>EQY_FUND_YEAR=2020</stp>
        <tr r="CY7" s="5"/>
      </tp>
      <tp t="s">
        <v>#N/A Connection</v>
        <stp/>
        <stp>##V3_BDPV12</stp>
        <stp>SJM Equity</stp>
        <stp>BEST_EBITDA</stp>
        <stp>[Zach MARIANI KDP.xlsx]Comps!R13C93</stp>
        <stp>BEST_FPERIOD_OVERRIDE=23BC</stp>
        <tr r="CO13" s="5"/>
      </tp>
      <tp t="s">
        <v>#N/A Connection</v>
        <stp/>
        <stp>##V3_BDPV12</stp>
        <stp>PEP Equity</stp>
        <stp>EQY_SH_OUT</stp>
        <stp>[Zach MARIANI KDP.xlsx]Comps!R12C55</stp>
        <tr r="BC12" s="5"/>
      </tp>
      <tp t="s">
        <v>#N/A Connection</v>
        <stp/>
        <stp>##V3_BDPV12</stp>
        <stp>SJM Equity</stp>
        <stp>ORGANIC_GROWTH</stp>
        <stp>[Zach MARIANI KDP.xlsx]Comps!R13C109</stp>
        <stp>EQY_FUND_RELATIVE_PERIOD=-0FY</stp>
        <tr r="DE13" s="5"/>
      </tp>
      <tp t="s">
        <v>#N/A Connection</v>
        <stp/>
        <stp>##V3_BDPV12</stp>
        <stp>NESN SW Equity</stp>
        <stp>INTERVAL_HIGH</stp>
        <stp>[Zach MARIANI KDP mobile.xlsx]Comps!R15C53</stp>
        <stp>CALC_INTERVAL=52W</stp>
        <stp>END_DATE_OVERRIDE</stp>
        <stp>20230909</stp>
        <tr r="BA15" s="5"/>
      </tp>
      <tp t="s">
        <v>#N/A Connection</v>
        <stp/>
        <stp>##V3_BDPV12</stp>
        <stp>NESN SW Equity</stp>
        <stp>BS_PFD_EQY</stp>
        <stp>[Zach MARIANI KDP.xlsx]Comps!R15C60</stp>
        <stp>FUND_PER=Q</stp>
        <tr r="BH15" s="5"/>
      </tp>
      <tp t="s">
        <v>#N/A Connection</v>
        <stp/>
        <stp>##V3_BDPV12</stp>
        <stp>SJM Equity</stp>
        <stp>CASH_AND_MARKETABLE_SECURITIES</stp>
        <stp>[Zach MARIANI KDP.xlsx]Comps!R13C62</stp>
        <stp>FUND_PER=Q</stp>
        <tr r="BJ13" s="5"/>
      </tp>
      <tp t="s">
        <v>#N/A Connection</v>
        <stp/>
        <stp>##V3_BDPV12</stp>
        <stp>SBUX Equity</stp>
        <stp>BEST_EBITDA</stp>
        <stp>[Zach MARIANI KDP.xlsx]Comps!R14C89</stp>
        <stp>BEST_FPERIOD_OVERRIDE=21BC</stp>
        <tr r="CK14" s="5"/>
      </tp>
      <tp t="s">
        <v>#N/A Connection</v>
        <stp/>
        <stp>##V3_BDPV12</stp>
        <stp>SBUX Equity</stp>
        <stp>BEST_EBITDA</stp>
        <stp>[Zach MARIANI KDP.xlsx]Comps!R14C87</stp>
        <stp>BEST_FPERIOD_OVERRIDE=20BC</stp>
        <tr r="CI14" s="5"/>
      </tp>
      <tp t="s">
        <v>#N/A Connection</v>
        <stp/>
        <stp>##V3_BDPV12</stp>
        <stp>PEP Equity</stp>
        <stp>BEST_EPS</stp>
        <stp>[Zach MARIANI KDP.xlsx]Comps!R12C64</stp>
        <stp>BEST_FPERIOD_OVERRIDE=1TY</stp>
        <tr r="BL12" s="5"/>
      </tp>
      <tp t="s">
        <v>#N/A Connection</v>
        <stp/>
        <stp>##V3_BDPV12</stp>
        <stp>SBUX Equity</stp>
        <stp>BEST_EBITDA</stp>
        <stp>[Zach MARIANI KDP.xlsx]Comps!R14C93</stp>
        <stp>BEST_FPERIOD_OVERRIDE=23BC</stp>
        <tr r="CO14" s="5"/>
      </tp>
      <tp t="s">
        <v>#N/A Connection</v>
        <stp/>
        <stp>##V3_BDPV12</stp>
        <stp>KO Equity</stp>
        <stp>SHORT_AND_LONG_TERM_DEBT</stp>
        <stp>[Zach MARIANI KDP.xlsx]Comps!R11C58</stp>
        <stp>FUND_PER=Q</stp>
        <tr r="BF11" s="5"/>
      </tp>
      <tp t="s">
        <v>#N/A Connection</v>
        <stp/>
        <stp>##V3_BDPV12</stp>
        <stp>SBUX Equity</stp>
        <stp>BEST_EBITDA</stp>
        <stp>[Zach MARIANI KDP.xlsx]Comps!R14C91</stp>
        <stp>BEST_FPERIOD_OVERRIDE=22BC</stp>
        <tr r="CM14" s="5"/>
      </tp>
      <tp t="s">
        <v>#N/A Connection</v>
        <stp/>
        <stp>##V3_BDPV12</stp>
        <stp>KDP Equity</stp>
        <stp>BEST_EPS</stp>
        <stp>[Zach MARIANI KDP.xlsx]Comps!R7C64</stp>
        <stp>BEST_FPERIOD_OVERRIDE=1TY</stp>
        <tr r="BL7" s="5"/>
      </tp>
      <tp t="s">
        <v>#N/A Connection</v>
        <stp/>
        <stp>##V3_BDPV12</stp>
        <stp>KDP Equity</stp>
        <stp>IS_ADJUSTED_EPS_AS_REPORTED</stp>
        <stp>[Zach MARIANI KDP.xlsx]Comps!R7C125</stp>
        <stp>EQY_FUND_YEAR=-0FY</stp>
        <tr r="DU7" s="5"/>
      </tp>
      <tp t="s">
        <v>#N/A Connection</v>
        <stp/>
        <stp>##V3_BDPV12</stp>
        <stp>KDP Equity</stp>
        <stp>IS_ADJUSTED_EPS_AS_REPORTED</stp>
        <stp>[Zach MARIANI KDP.xlsx]Comps!R7C123</stp>
        <stp>EQY_FUND_YEAR=2022</stp>
        <tr r="DS7" s="5"/>
      </tp>
      <tp t="s">
        <v>#N/A Connection</v>
        <stp/>
        <stp>##V3_BDPV12</stp>
        <stp>KDP Equity</stp>
        <stp>IS_ADJUSTED_EPS_AS_REPORTED</stp>
        <stp>[Zach MARIANI KDP.xlsx]Comps!R7C119</stp>
        <stp>EQY_FUND_YEAR=2020</stp>
        <tr r="DO7" s="5"/>
      </tp>
      <tp t="s">
        <v>#N/A Connection</v>
        <stp/>
        <stp>##V3_BDPV12</stp>
        <stp>KDP Equity</stp>
        <stp>IS_ADJUSTED_EPS_AS_REPORTED</stp>
        <stp>[Zach MARIANI KDP.xlsx]Comps!R7C121</stp>
        <stp>EQY_FUND_YEAR=2021</stp>
        <tr r="DQ7" s="5"/>
      </tp>
    </main>
    <main first="bofaddin.rtdserver">
      <tp t="s">
        <v>#N/A Requesting Data...3005412974</v>
        <stp/>
        <stp>BQL|9917232970670630196</stp>
        <tr r="H4" s="2"/>
      </tp>
      <tp t="s">
        <v>#N/A Requesting Data...2950038498</v>
        <stp/>
        <stp>BQL|1889244054369133059</stp>
        <tr r="J4" s="2"/>
        <tr r="K4" s="2"/>
      </tp>
      <tp t="s">
        <v>#N/A Requesting Data...3472724757</v>
        <stp/>
        <stp>BQL|9900330413474044771</stp>
        <tr r="F4" s="2"/>
      </tp>
    </main>
    <main first="bloomberg.rtd">
      <tp t="s">
        <v>#N/A Connection</v>
        <stp/>
        <stp>##V3_BDPV12</stp>
        <stp>KO Equity</stp>
        <stp>IS_ADJ_EBIT_OP_INC_AS_REPORTED</stp>
        <stp>[Zach MARIANI KDP.xlsx]Comps!R11C111</stp>
        <stp>EQY_FUND_YEAR=2020</stp>
        <tr r="DG11" s="5"/>
      </tp>
      <tp t="s">
        <v>#N/A Connection</v>
        <stp/>
        <stp>##V3_BDPV12</stp>
        <stp>KO Equity</stp>
        <stp>IS_ADJ_EBIT_OP_INC_AS_REPORTED</stp>
        <stp>[Zach MARIANI KDP.xlsx]Comps!R11C113</stp>
        <stp>EQY_FUND_YEAR=2021</stp>
        <tr r="DI11" s="5"/>
      </tp>
      <tp t="s">
        <v>#N/A Connection</v>
        <stp/>
        <stp>##V3_BDPV12</stp>
        <stp>KO Equity</stp>
        <stp>IS_ADJ_EBIT_OP_INC_AS_REPORTED</stp>
        <stp>[Zach MARIANI KDP.xlsx]Comps!R11C115</stp>
        <stp>EQY_FUND_YEAR=2022</stp>
        <tr r="DK11" s="5"/>
      </tp>
      <tp t="s">
        <v>#N/A Connection</v>
        <stp/>
        <stp>##V3_BDPV12</stp>
        <stp>KO Equity</stp>
        <stp>IS_ADJ_EBIT_OP_INC_AS_REPORTED</stp>
        <stp>[Zach MARIANI KDP.xlsx]Comps!R11C117</stp>
        <stp>EQY_FUND_YEAR=-0FY</stp>
        <tr r="DM11" s="5"/>
      </tp>
    </main>
    <main first="bofaddin.rtdserver">
      <tp t="s">
        <v>#N/A Requesting Data...3710036040</v>
        <stp/>
        <stp>BQL|9885988633239599355</stp>
        <tr r="R4" s="2"/>
      </tp>
      <tp t="s">
        <v>#N/A Requesting Data...2697709442</v>
        <stp/>
        <stp>BQL|3106602426508324586</stp>
        <tr r="AA4" s="2"/>
      </tp>
      <tp t="s">
        <v>#N/A Requesting Data...3733230170</v>
        <stp/>
        <stp>BQL|8139570943097147568</stp>
        <tr r="Y4" s="2"/>
        <tr r="Z4" s="2"/>
      </tp>
      <tp t="s">
        <v>#N/A Requesting Data...3950479303</v>
        <stp/>
        <stp>BQL|3822411194792454807</stp>
        <tr r="W4" s="2"/>
      </tp>
      <tp t="s">
        <v>#N/A Requesting Data...4268039949</v>
        <stp/>
        <stp>BQL|4447837635808418339</stp>
        <tr r="L4" s="2"/>
      </tp>
    </main>
    <main first="bloomberg.rtd">
      <tp t="s">
        <v>#N/A Connection</v>
        <stp/>
        <stp>##V3_BDPV12</stp>
        <stp>KO Equity</stp>
        <stp>BEST_EBITDA</stp>
        <stp>[Zach MARIANI KDP.xlsx]Comps!R11C65</stp>
        <stp>BEST_FPERIOD_OVERRIDE=1TY</stp>
        <tr r="BM11" s="5"/>
      </tp>
    </main>
    <main first="bofaddin.rtdserver">
      <tp t="s">
        <v>#N/A Requesting Data...3799948735</v>
        <stp/>
        <stp>BQL|6198735487549015453</stp>
        <tr r="AB4" s="2"/>
      </tp>
    </main>
    <main first="bloomberg.rtd">
      <tp t="s">
        <v>#N/A Connection</v>
        <stp/>
        <stp>##V3_BDPV12</stp>
        <stp>KDP Equity</stp>
        <stp>BEST_SALES</stp>
        <stp>[Zach MARIANI KDP.xlsx]Comps!R7C85</stp>
        <stp>BEST_FPERIOD_OVERRIDE=23BC</stp>
        <tr r="CG7" s="5"/>
      </tp>
      <tp t="s">
        <v>#N/A Connection</v>
        <stp/>
        <stp>##V3_BDPV12</stp>
        <stp>NESN SW Equity</stp>
        <stp>ORGANIC_GROWTH</stp>
        <stp>[Zach MARIANI KDP.xlsx]Comps!R15C107</stp>
        <stp>EQY_FUND_YEAR=2022</stp>
        <tr r="DC15" s="5"/>
      </tp>
      <tp t="s">
        <v>#N/A Connection</v>
        <stp/>
        <stp>##V3_BDPV12</stp>
        <stp>NESN SW Equity</stp>
        <stp>ORGANIC_GROWTH</stp>
        <stp>[Zach MARIANI KDP.xlsx]Comps!R15C103</stp>
        <stp>EQY_FUND_YEAR=2020</stp>
        <tr r="CY15" s="5"/>
      </tp>
      <tp t="s">
        <v>#N/A Connection</v>
        <stp/>
        <stp>##V3_BDPV12</stp>
        <stp>NESN SW Equity</stp>
        <stp>ORGANIC_GROWTH</stp>
        <stp>[Zach MARIANI KDP.xlsx]Comps!R15C105</stp>
        <stp>EQY_FUND_YEAR=2021</stp>
        <tr r="DA15" s="5"/>
      </tp>
      <tp t="s">
        <v>#N/A Connection</v>
        <stp/>
        <stp>##V3_BDPV12</stp>
        <stp>KDP Equity</stp>
        <stp>BEST_SALES</stp>
        <stp>[Zach MARIANI KDP.xlsx]Comps!R7C83</stp>
        <stp>BEST_FPERIOD_OVERRIDE=22BC</stp>
        <tr r="CE7" s="5"/>
      </tp>
      <tp t="s">
        <v>#N/A Connection</v>
        <stp/>
        <stp>##V3_BDPV12</stp>
        <stp>NESN SW Equity</stp>
        <stp>INTERVAL_AVG</stp>
        <stp>[Zach MARIANI KDP.xlsx]Comps!R15C75</stp>
        <stp>MARKET_DATA_OVERRIDE=BEST_PE_RATIO</stp>
        <stp xml:space="preserve">BEST_FPERIOD_OVERRIDE=1TY </stp>
        <stp xml:space="preserve">CALC_INTERVAL=2Y </stp>
        <tr r="BW15" s="5"/>
      </tp>
      <tp t="s">
        <v>#N/A Connection</v>
        <stp/>
        <stp>##V3_BDPV12</stp>
        <stp>KDP Equity</stp>
        <stp>BEST_SALES</stp>
        <stp>[Zach MARIANI KDP.xlsx]Comps!R7C81</stp>
        <stp>BEST_FPERIOD_OVERRIDE=21BC</stp>
        <tr r="CC7" s="5"/>
      </tp>
      <tp t="s">
        <v>#N/A Connection</v>
        <stp/>
        <stp>##V3_BDPV12</stp>
        <stp>KO Equity</stp>
        <stp>PX_LAST</stp>
        <stp>[Zach MARIANI KDP.xlsx]Comps!R11C5</stp>
        <tr r="E11" s="5"/>
      </tp>
      <tp t="s">
        <v>#N/A Connection</v>
        <stp/>
        <stp>##V3_BDPV12</stp>
        <stp>NESN SW Equity</stp>
        <stp>INTERVAL_AVG</stp>
        <stp>[Zach MARIANI KDP.xlsx]Comps!R15C73</stp>
        <stp>MARKET_DATA_OVERRIDE=BEST_PE_RATIO</stp>
        <stp xml:space="preserve">BEST_FPERIOD_OVERRIDE=1TY </stp>
        <stp xml:space="preserve">CALC_INTERVAL=1Y </stp>
        <tr r="BU15" s="5"/>
      </tp>
    </main>
    <main first="bofaddin.rtdserver">
      <tp t="s">
        <v>#N/A Requesting Data...4205767954</v>
        <stp/>
        <stp>BQL|8650321901654704807</stp>
        <tr r="Q4" s="2"/>
      </tp>
    </main>
    <main first="bloomberg.rtd">
      <tp t="s">
        <v>#N/A Connection</v>
        <stp/>
        <stp>##V3_BDPV12</stp>
        <stp>KDP Equity</stp>
        <stp>BEST_SALES</stp>
        <stp>[Zach MARIANI KDP.xlsx]Comps!R7C79</stp>
        <stp>BEST_FPERIOD_OVERRIDE=20BC</stp>
        <tr r="CA7" s="5"/>
      </tp>
      <tp t="s">
        <v>#N/A Connection</v>
        <stp/>
        <stp>##V3_BDPV12</stp>
        <stp>SBUX Equity</stp>
        <stp>BS_SH_OUT</stp>
        <stp>[Zach MARIANI KDP.xlsx]Comps!R14C56</stp>
        <tr r="BD14" s="5"/>
      </tp>
    </main>
    <main first="bofaddin.rtdserver">
      <tp t="s">
        <v>#N/A Requesting Data...2907140611</v>
        <stp/>
        <stp>BQL|6443007035293689640</stp>
        <tr r="M4" s="2"/>
      </tp>
    </main>
    <main first="bloomberg.rtd">
      <tp t="s">
        <v>#N/A Connection</v>
        <stp/>
        <stp>##V3_BDPV12</stp>
        <stp>NESN SW Equity</stp>
        <stp>BEST_SALES</stp>
        <stp>[Zach MARIANI KDP.xlsx]Comps!R15C79</stp>
        <stp>BEST_FPERIOD_OVERRIDE=20BC</stp>
        <tr r="CA15" s="5"/>
      </tp>
      <tp t="s">
        <v>#N/A Connection</v>
        <stp/>
        <stp>##V3_BDPV12</stp>
        <stp>KO Equity</stp>
        <stp>BEST_EPS</stp>
        <stp>[Zach MARIANI KDP.xlsx]Comps!R11C95</stp>
        <stp>BEST_FPERIOD_OVERRIDE=20BC</stp>
        <tr r="CQ11" s="5"/>
      </tp>
      <tp t="s">
        <v>#N/A Connection</v>
        <stp/>
        <stp>##V3_BDPV12</stp>
        <stp>PEP US Equity</stp>
        <stp>INVENT_TURN</stp>
        <stp>[Zach MARIANI KDP.xlsx]Comps!R12C45</stp>
        <tr r="AS12" s="5"/>
      </tp>
    </main>
    <main first="bofaddin.rtdserver">
      <tp t="s">
        <v>#N/A Requesting Data...2528232013</v>
        <stp/>
        <stp>BQL|4328837883183060606</stp>
        <tr r="E4" s="2"/>
      </tp>
    </main>
    <main first="bloomberg.rtd">
      <tp t="s">
        <v>#N/A Connection</v>
        <stp/>
        <stp>##V3_BDPV12</stp>
        <stp>NESN SW Equity</stp>
        <stp>BEST_SALES</stp>
        <stp>[Zach MARIANI KDP.xlsx]Comps!R15C81</stp>
        <stp>BEST_FPERIOD_OVERRIDE=21BC</stp>
        <tr r="CC15" s="5"/>
      </tp>
      <tp t="s">
        <v>#N/A Connection</v>
        <stp/>
        <stp>##V3_BDPV12</stp>
        <stp>KO Equity</stp>
        <stp>BEST_EPS</stp>
        <stp>[Zach MARIANI KDP.xlsx]Comps!R11C97</stp>
        <stp>BEST_FPERIOD_OVERRIDE=21BC</stp>
        <tr r="CS11" s="5"/>
      </tp>
    </main>
    <main first="bofaddin.rtdserver">
      <tp t="s">
        <v>#N/A Requesting Data...2645027268</v>
        <stp/>
        <stp>BQL|5375849393925843331</stp>
        <tr r="AL4" s="2"/>
      </tp>
    </main>
    <main first="bloomberg.rtd">
      <tp t="s">
        <v>#N/A Connection</v>
        <stp/>
        <stp>##V3_BDPV12</stp>
        <stp>NESN SW Equity</stp>
        <stp>BEST_SALES</stp>
        <stp>[Zach MARIANI KDP.xlsx]Comps!R15C83</stp>
        <stp>BEST_FPERIOD_OVERRIDE=22BC</stp>
        <tr r="CE15" s="5"/>
      </tp>
      <tp t="s">
        <v>#N/A Connection</v>
        <stp/>
        <stp>##V3_BDPV12</stp>
        <stp>KO Equity</stp>
        <stp>BEST_EPS</stp>
        <stp>[Zach MARIANI KDP.xlsx]Comps!R11C99</stp>
        <stp>BEST_FPERIOD_OVERRIDE=22BC</stp>
        <tr r="CU11" s="5"/>
      </tp>
      <tp t="s">
        <v>#N/A Connection</v>
        <stp/>
        <stp>##V3_BDPV12</stp>
        <stp>NESN SW Equity</stp>
        <stp>INTERVAL_AVG</stp>
        <stp>[Zach MARIANI KDP.xlsx]Comps!R15C77</stp>
        <stp>MARKET_DATA_OVERRIDE=BEST_PE_RATIO</stp>
        <stp xml:space="preserve">BEST_FPERIOD_OVERRIDE=1TY </stp>
        <stp xml:space="preserve">CALC_INTERVAL=5Y </stp>
        <tr r="BY15" s="5"/>
      </tp>
    </main>
    <main first="bofaddin.rtdserver">
      <tp t="s">
        <v>#N/A Requesting Data...3801411637</v>
        <stp/>
        <stp>BQL|1298960848829170636</stp>
        <tr r="I4" s="2"/>
      </tp>
    </main>
    <main first="bloomberg.rtd">
      <tp t="s">
        <v>#N/A Connection</v>
        <stp/>
        <stp>##V3_BDPV12</stp>
        <stp>NESN SW Equity</stp>
        <stp>BEST_SALES</stp>
        <stp>[Zach MARIANI KDP.xlsx]Comps!R15C85</stp>
        <stp>BEST_FPERIOD_OVERRIDE=23BC</stp>
        <tr r="CG15" s="5"/>
      </tp>
      <tp t="s">
        <v>#N/A Connection</v>
        <stp/>
        <stp>##V3_BDPV12</stp>
        <stp>SJM US Equity</stp>
        <stp>INVENT_TURN</stp>
        <stp>[Zach MARIANI KDP.xlsx]Comps!R13C45</stp>
        <tr r="AS13" s="5"/>
      </tp>
      <tp t="s">
        <v>#N/A Connection</v>
        <stp/>
        <stp>##V3_BDPV12</stp>
        <stp>SBUX Equity</stp>
        <stp>BEST_SALES</stp>
        <stp>[Zach MARIANI KDP.xlsx]Comps!R14C83</stp>
        <stp>BEST_FPERIOD_OVERRIDE=22BC</stp>
        <tr r="CE14" s="5"/>
      </tp>
      <tp t="s">
        <v>#N/A Connection</v>
        <stp/>
        <stp>##V3_BDPV12</stp>
        <stp>NESN SW Equity</stp>
        <stp>INTERVAL_AVG</stp>
        <stp>[Zach MARIANI KDP.xlsx]Comps!R15C67</stp>
        <stp>MARKET_DATA_OVERRIDE=BEST_CUR_EV_TO_EBITDA</stp>
        <stp xml:space="preserve">BEST_FPERIOD_OVERRIDE=1TY </stp>
        <stp xml:space="preserve">CALC_INTERVAL=1Y </stp>
        <tr r="BO15" s="5"/>
      </tp>
      <tp t="s">
        <v>#N/A Connection</v>
        <stp/>
        <stp>##V3_BDPV12</stp>
        <stp>SBUX Equity</stp>
        <stp>BEST_SALES</stp>
        <stp>[Zach MARIANI KDP.xlsx]Comps!R14C85</stp>
        <stp>BEST_FPERIOD_OVERRIDE=23BC</stp>
        <tr r="CG14" s="5"/>
      </tp>
      <tp t="s">
        <v>#N/A Connection</v>
        <stp/>
        <stp>##V3_BDPV12</stp>
        <stp>SBUX Equity</stp>
        <stp>BEST_SALES</stp>
        <stp>[Zach MARIANI KDP.xlsx]Comps!R14C79</stp>
        <stp>BEST_FPERIOD_OVERRIDE=20BC</stp>
        <tr r="CA14" s="5"/>
      </tp>
      <tp t="s">
        <v>#N/A Connection</v>
        <stp/>
        <stp>##V3_BDPV12</stp>
        <stp>KO Equity</stp>
        <stp>BEST_EPS</stp>
        <stp>[Zach MARIANI KDP.xlsx]Comps!R11C101</stp>
        <stp>BEST_FPERIOD_OVERRIDE=23BC</stp>
        <tr r="CW11" s="5"/>
      </tp>
      <tp t="s">
        <v>#N/A Connection</v>
        <stp/>
        <stp>##V3_BDPV12</stp>
        <stp>NESN SW Equity</stp>
        <stp>IS_ADJ_EBIT_OP_INC_AS_REPORTED</stp>
        <stp>[Zach MARIANI KDP.xlsx]Comps!R15C117</stp>
        <stp>EQY_FUND_YEAR=-0FY</stp>
        <tr r="DM15" s="5"/>
      </tp>
      <tp t="s">
        <v>#N/A Connection</v>
        <stp/>
        <stp>##V3_BDPV12</stp>
        <stp>KDP Equity</stp>
        <stp>MINORITY_NONCONTROLLING_INTEREST</stp>
        <stp>[Zach MARIANI KDP.xlsx]Comps!R7C60</stp>
        <stp>FUND_PER=Q</stp>
        <tr r="BH7" s="5"/>
      </tp>
      <tp t="s">
        <v>#N/A Connection</v>
        <stp/>
        <stp>##V3_BDPV12</stp>
        <stp>NESN SW Equity</stp>
        <stp>IS_ADJ_EBIT_OP_INC_AS_REPORTED</stp>
        <stp>[Zach MARIANI KDP.xlsx]Comps!R15C113</stp>
        <stp>EQY_FUND_YEAR=2021</stp>
        <tr r="DI15" s="5"/>
      </tp>
      <tp t="s">
        <v>#N/A Connection</v>
        <stp/>
        <stp>##V3_BDPV12</stp>
        <stp>NESN SW Equity</stp>
        <stp>IS_ADJ_EBIT_OP_INC_AS_REPORTED</stp>
        <stp>[Zach MARIANI KDP.xlsx]Comps!R15C111</stp>
        <stp>EQY_FUND_YEAR=2020</stp>
        <tr r="DG15" s="5"/>
      </tp>
      <tp t="s">
        <v>#N/A Connection</v>
        <stp/>
        <stp>##V3_BDPV12</stp>
        <stp>NESN SW Equity</stp>
        <stp>IS_ADJ_EBIT_OP_INC_AS_REPORTED</stp>
        <stp>[Zach MARIANI KDP.xlsx]Comps!R15C115</stp>
        <stp>EQY_FUND_YEAR=2022</stp>
        <tr r="DK15" s="5"/>
      </tp>
      <tp t="s">
        <v>#N/A Connection</v>
        <stp/>
        <stp>##V3_BDPV12</stp>
        <stp>SBUX Equity</stp>
        <stp>BEST_SALES</stp>
        <stp>[Zach MARIANI KDP.xlsx]Comps!R14C81</stp>
        <stp>BEST_FPERIOD_OVERRIDE=21BC</stp>
        <tr r="CC14" s="5"/>
      </tp>
      <tp t="s">
        <v>#N/A Connection</v>
        <stp/>
        <stp>##V3_BDPV12</stp>
        <stp>NESN SW Equity</stp>
        <stp>INTERVAL_AVG</stp>
        <stp>[Zach MARIANI KDP.xlsx]Comps!R15C69</stp>
        <stp>MARKET_DATA_OVERRIDE=BEST_CUR_EV_TO_EBITDA</stp>
        <stp xml:space="preserve">BEST_FPERIOD_OVERRIDE=1TY </stp>
        <stp xml:space="preserve">CALC_INTERVAL=2Y </stp>
        <tr r="BQ15" s="5"/>
      </tp>
      <tp t="s">
        <v>#N/A Connection</v>
        <stp/>
        <stp>##V3_BDPV12</stp>
        <stp>PEP Equity</stp>
        <stp>BEST_EPS</stp>
        <stp>[Zach MARIANI KDP.xlsx]Comps!R12C101</stp>
        <stp>BEST_FPERIOD_OVERRIDE=23BC</stp>
        <tr r="CW12" s="5"/>
      </tp>
      <tp t="s">
        <v>#N/A Connection</v>
        <stp/>
        <stp>##V3_BDPV12</stp>
        <stp>NESN SW Equity</stp>
        <stp>BS_SH_OUT</stp>
        <stp>[Zach MARIANI KDP.xlsx]Comps!R15C56</stp>
        <tr r="BD15" s="5"/>
      </tp>
      <tp t="s">
        <v>#N/A Connection</v>
        <stp/>
        <stp>##V3_BDPV12</stp>
        <stp>PEP Equity</stp>
        <stp>BEST_EBITDA</stp>
        <stp>[Zach MARIANI KDP.xlsx]Comps!R12C65</stp>
        <stp>BEST_FPERIOD_OVERRIDE=1TY</stp>
        <tr r="BM12" s="5"/>
      </tp>
      <tp t="s">
        <v>#N/A Connection</v>
        <stp/>
        <stp>##V3_BDPV12</stp>
        <stp>SBUX Equity</stp>
        <stp>BEST_EPS</stp>
        <stp>[Zach MARIANI KDP.xlsx]Comps!R14C101</stp>
        <stp>BEST_FPERIOD_OVERRIDE=23BC</stp>
        <tr r="CW14" s="5"/>
      </tp>
      <tp t="s">
        <v>#N/A Connection</v>
        <stp/>
        <stp>##V3_BDPV12</stp>
        <stp>SBUX Equity</stp>
        <stp>BEST_EPS</stp>
        <stp>[Zach MARIANI KDP.xlsx]Comps!R14C95</stp>
        <stp>BEST_FPERIOD_OVERRIDE=20BC</stp>
        <tr r="CQ14" s="5"/>
      </tp>
      <tp t="s">
        <v>#N/A Connection</v>
        <stp/>
        <stp>##V3_BDPV12</stp>
        <stp>PEP Equity</stp>
        <stp>BEST_EPS</stp>
        <stp>[Zach MARIANI KDP.xlsx]Comps!R12C97</stp>
        <stp>BEST_FPERIOD_OVERRIDE=21BC</stp>
        <tr r="CS12" s="5"/>
      </tp>
      <tp t="s">
        <v>#N/A Connection</v>
        <stp/>
        <stp>##V3_BDPV12</stp>
        <stp>SJM Equity</stp>
        <stp>BEST_EPS</stp>
        <stp>[Zach MARIANI KDP.xlsx]Comps!R13C95</stp>
        <stp>BEST_FPERIOD_OVERRIDE=20BC</stp>
        <tr r="CQ13" s="5"/>
      </tp>
      <tp t="s">
        <v>#N/A Connection</v>
        <stp/>
        <stp>##V3_BDPV12</stp>
        <stp>NESN SW Equity</stp>
        <stp>INTERVAL_AVG</stp>
        <stp>[Zach MARIANI KDP.xlsx]Comps!R15C71</stp>
        <stp>MARKET_DATA_OVERRIDE=BEST_CUR_EV_TO_EBITDA</stp>
        <stp xml:space="preserve">BEST_FPERIOD_OVERRIDE=1TY </stp>
        <stp xml:space="preserve">CALC_INTERVAL=5Y </stp>
        <tr r="BS15" s="5"/>
      </tp>
      <tp t="s">
        <v>#N/A Connection</v>
        <stp/>
        <stp>##V3_BDPV12</stp>
        <stp>SBUX Equity</stp>
        <stp>BEST_EPS</stp>
        <stp>[Zach MARIANI KDP.xlsx]Comps!R14C97</stp>
        <stp>BEST_FPERIOD_OVERRIDE=21BC</stp>
        <tr r="CS14" s="5"/>
      </tp>
      <tp t="s">
        <v>#N/A Connection</v>
        <stp/>
        <stp>##V3_BDPV12</stp>
        <stp>PEP Equity</stp>
        <stp>BEST_EPS</stp>
        <stp>[Zach MARIANI KDP.xlsx]Comps!R12C95</stp>
        <stp>BEST_FPERIOD_OVERRIDE=20BC</stp>
        <tr r="CQ12" s="5"/>
      </tp>
      <tp t="s">
        <v>#N/A Connection</v>
        <stp/>
        <stp>##V3_BDPV12</stp>
        <stp>SJM Equity</stp>
        <stp>BEST_EPS</stp>
        <stp>[Zach MARIANI KDP.xlsx]Comps!R13C97</stp>
        <stp>BEST_FPERIOD_OVERRIDE=21BC</stp>
        <tr r="CS13" s="5"/>
      </tp>
      <tp t="s">
        <v>#N/A Connection</v>
        <stp/>
        <stp>##V3_BDPV12</stp>
        <stp>SBUX Equity</stp>
        <stp>BEST_EPS</stp>
        <stp>[Zach MARIANI KDP.xlsx]Comps!R14C99</stp>
        <stp>BEST_FPERIOD_OVERRIDE=22BC</stp>
        <tr r="CU14" s="5"/>
      </tp>
      <tp t="s">
        <v>#N/A Connection</v>
        <stp/>
        <stp>##V3_BDPV12</stp>
        <stp>SJM Equity</stp>
        <stp>BEST_EPS</stp>
        <stp>[Zach MARIANI KDP.xlsx]Comps!R13C99</stp>
        <stp>BEST_FPERIOD_OVERRIDE=22BC</stp>
        <tr r="CU13" s="5"/>
      </tp>
      <tp t="s">
        <v>#N/A Connection</v>
        <stp/>
        <stp>##V3_BDPV12</stp>
        <stp>SJM Equity</stp>
        <stp>BEST_EPS</stp>
        <stp>[Zach MARIANI KDP.xlsx]Comps!R13C101</stp>
        <stp>BEST_FPERIOD_OVERRIDE=23BC</stp>
        <tr r="CW13" s="5"/>
      </tp>
      <tp t="s">
        <v>#N/A Connection</v>
        <stp/>
        <stp>##V3_BDPV12</stp>
        <stp>PEP Equity</stp>
        <stp>BEST_EPS</stp>
        <stp>[Zach MARIANI KDP.xlsx]Comps!R12C99</stp>
        <stp>BEST_FPERIOD_OVERRIDE=22BC</stp>
        <tr r="CU12" s="5"/>
      </tp>
      <tp t="s">
        <v>#N/A Connection</v>
        <stp/>
        <stp>##V3_BDPV12</stp>
        <stp>NESN SW Equity</stp>
        <stp>PX_LAST</stp>
        <stp>[Zach MARIANI KDP.xlsx]Comps!R15C5</stp>
        <tr r="E15" s="5"/>
      </tp>
      <tp t="s">
        <v>#N/A Connection</v>
        <stp/>
        <stp>##V3_BDPV12</stp>
        <stp>SBUX US Equity</stp>
        <stp>INVENT_TURN</stp>
        <stp>[Zach MARIANI KDP.xlsx]Comps!R14C45</stp>
        <tr r="AS14" s="5"/>
      </tp>
      <tp t="s">
        <v>#N/A Connection</v>
        <stp/>
        <stp>##V3_BDPV12</stp>
        <stp>SJM Equity</stp>
        <stp>BEST_EBITDA</stp>
        <stp>[Zach MARIANI KDP.xlsx]Comps!R13C65</stp>
        <stp>BEST_FPERIOD_OVERRIDE=1TY</stp>
        <tr r="BM13" s="5"/>
      </tp>
      <tp t="s">
        <v>#N/A Connection</v>
        <stp/>
        <stp>##V3_BDPV12</stp>
        <stp xml:space="preserve">KDP US Equity </stp>
        <stp>ANNOUNCEMENT_DT</stp>
        <stp>[Zach MARIANI KDP.xlsx]Tower!R5C4</stp>
        <stp>FUND_PER=Q4</stp>
        <stp>EQY_FUND_YEAR=2014</stp>
        <tr r="D5" s="2"/>
      </tp>
      <tp t="s">
        <v>#N/A Connection</v>
        <stp/>
        <stp>##V3_BDPV12</stp>
        <stp xml:space="preserve">KDP US Equity </stp>
        <stp>ANNOUNCEMENT_DT</stp>
        <stp>[Zach MARIANI KDP.xlsx]Tower!R5C5</stp>
        <stp>FUND_PER=Q4</stp>
        <stp>EQY_FUND_YEAR=2015</stp>
        <tr r="E5" s="2"/>
      </tp>
      <tp t="s">
        <v>#N/A Connection</v>
        <stp/>
        <stp>##V3_BDPV12</stp>
        <stp xml:space="preserve">KDP US Equity </stp>
        <stp>ANNOUNCEMENT_DT</stp>
        <stp>[Zach MARIANI KDP.xlsx]Tower!R5C6</stp>
        <stp>FUND_PER=Q4</stp>
        <stp>EQY_FUND_YEAR=2016</stp>
        <tr r="F5" s="2"/>
      </tp>
      <tp t="s">
        <v>#N/A Connection</v>
        <stp/>
        <stp>##V3_BDPV12</stp>
        <stp>KDP Equity</stp>
        <stp>BEST_EBITDA</stp>
        <stp>[Zach MARIANI KDP.xlsx]Comps!R7C65</stp>
        <stp>BEST_FPERIOD_OVERRIDE=1TY</stp>
        <tr r="BM7" s="5"/>
      </tp>
      <tp t="s">
        <v>#N/A Connection</v>
        <stp/>
        <stp>##V3_BDPV12</stp>
        <stp>KO Equity</stp>
        <stp>ORGANIC_GROWTH</stp>
        <stp>[Zach MARIANI KDP.xlsx]Comps!R11C107</stp>
        <stp>EQY_FUND_YEAR=2022</stp>
        <tr r="DC11" s="5"/>
      </tp>
      <tp t="s">
        <v>#N/A Connection</v>
        <stp/>
        <stp>##V3_BDPV12</stp>
        <stp>KO Equity</stp>
        <stp>ORGANIC_GROWTH</stp>
        <stp>[Zach MARIANI KDP.xlsx]Comps!R11C105</stp>
        <stp>EQY_FUND_YEAR=2021</stp>
        <tr r="DA11" s="5"/>
      </tp>
      <tp t="s">
        <v>#N/A Connection</v>
        <stp/>
        <stp>##V3_BDPV12</stp>
        <stp>KO Equity</stp>
        <stp>ORGANIC_GROWTH</stp>
        <stp>[Zach MARIANI KDP.xlsx]Comps!R11C103</stp>
        <stp>EQY_FUND_YEAR=2020</stp>
        <tr r="CY11" s="5"/>
      </tp>
      <tp t="s">
        <v>#N/A Connection</v>
        <stp/>
        <stp>##V3_BDPV12</stp>
        <stp>KDP Equity</stp>
        <stp>PX_LAST</stp>
        <stp>[Zach MARIANI KDP.xlsx]Comps!R7C5</stp>
        <tr r="E7" s="5"/>
      </tp>
      <tp t="s">
        <v>#N/A Connection</v>
        <stp/>
        <stp>##V3_BDPV12</stp>
        <stp>SJM Equity</stp>
        <stp>INTERVAL_HIGH</stp>
        <stp>[Zach MARIANI KDP mobile.xlsx]Comps!R13C53</stp>
        <stp>CALC_INTERVAL=52W</stp>
        <stp>END_DATE_OVERRIDE</stp>
        <stp>20230909</stp>
        <tr r="BA13" s="5"/>
      </tp>
      <tp t="s">
        <v>#N/A Connection</v>
        <stp/>
        <stp>##V3_BDPV12</stp>
        <stp>SJM Equity</stp>
        <stp>IS_ADJUSTED_EPS_AS_REPORTED</stp>
        <stp>[Zach MARIANI KDP.xlsx]Comps!R13C119</stp>
        <stp>EQY_FUND_YEAR=2020</stp>
        <tr r="DO13" s="5"/>
      </tp>
      <tp t="s">
        <v>#N/A Connection</v>
        <stp/>
        <stp>##V3_BDPV12</stp>
        <stp>SJM Equity</stp>
        <stp>IS_ADJUSTED_EPS_AS_REPORTED</stp>
        <stp>[Zach MARIANI KDP.xlsx]Comps!R13C123</stp>
        <stp>EQY_FUND_YEAR=2022</stp>
        <tr r="DS13" s="5"/>
      </tp>
      <tp t="s">
        <v>#N/A Connection</v>
        <stp/>
        <stp>##V3_BDPV12</stp>
        <stp>SJM Equity</stp>
        <stp>IS_ADJUSTED_EPS_AS_REPORTED</stp>
        <stp>[Zach MARIANI KDP.xlsx]Comps!R13C121</stp>
        <stp>EQY_FUND_YEAR=2021</stp>
        <tr r="DQ13" s="5"/>
      </tp>
      <tp t="s">
        <v>#N/A Connection</v>
        <stp/>
        <stp>##V3_BDPV12</stp>
        <stp>PEP Equity</stp>
        <stp>IS_ADJUSTED_EPS_AS_REPORTED</stp>
        <stp>[Zach MARIANI KDP.xlsx]Comps!R12C121</stp>
        <stp>EQY_FUND_YEAR=2021</stp>
        <tr r="DQ12" s="5"/>
      </tp>
      <tp t="s">
        <v>#N/A Connection</v>
        <stp/>
        <stp>##V3_BDPV12</stp>
        <stp>PEP Equity</stp>
        <stp>IS_ADJUSTED_EPS_AS_REPORTED</stp>
        <stp>[Zach MARIANI KDP.xlsx]Comps!R12C123</stp>
        <stp>EQY_FUND_YEAR=2022</stp>
        <tr r="DS12" s="5"/>
      </tp>
      <tp t="s">
        <v>#N/A Connection</v>
        <stp/>
        <stp>##V3_BDPV12</stp>
        <stp>PEP Equity</stp>
        <stp>IS_ADJUSTED_EPS_AS_REPORTED</stp>
        <stp>[Zach MARIANI KDP.xlsx]Comps!R12C119</stp>
        <stp>EQY_FUND_YEAR=2020</stp>
        <tr r="DO12" s="5"/>
      </tp>
      <tp t="s">
        <v>#N/A Connection</v>
        <stp/>
        <stp>##V3_BDPV12</stp>
        <stp>SJM Equity</stp>
        <stp>IS_ADJUSTED_EPS_AS_REPORTED</stp>
        <stp>[Zach MARIANI KDP.xlsx]Comps!R13C125</stp>
        <stp>EQY_FUND_YEAR=-0FY</stp>
        <tr r="DU13" s="5"/>
      </tp>
      <tp t="s">
        <v>#N/A Connection</v>
        <stp/>
        <stp>##V3_BDPV12</stp>
        <stp>PEP Equity</stp>
        <stp>IS_ADJUSTED_EPS_AS_REPORTED</stp>
        <stp>[Zach MARIANI KDP.xlsx]Comps!R12C125</stp>
        <stp>EQY_FUND_YEAR=-0FY</stp>
        <tr r="DU12" s="5"/>
      </tp>
      <tp t="s">
        <v>#N/A Connection</v>
        <stp/>
        <stp>##V3_BDPV12</stp>
        <stp>NESN SW Equity</stp>
        <stp>ORGANIC_GROWTH</stp>
        <stp>[Zach MARIANI KDP.xlsx]Comps!R15C109</stp>
        <stp>EQY_FUND_RELATIVE_PERIOD=-0FY</stp>
        <tr r="DE15" s="5"/>
      </tp>
    </main>
    <main first="bofaddin.rtdserver">
      <tp t="s">
        <v>#N/A Requesting Data...4163801496</v>
        <stp/>
        <stp>BQL|625053866786342741</stp>
        <tr r="T4" s="2"/>
        <tr r="U4" s="2"/>
      </tp>
    </main>
    <main first="bloomberg.rtd">
      <tp t="s">
        <v>#N/A Connection</v>
        <stp/>
        <stp>##V3_BDPV12</stp>
        <stp>NESN SW Equity</stp>
        <stp>MINORITY_NONCONTROLLING_INTEREST</stp>
        <stp>[Zach MARIANI KDP.xlsx]Comps!R15C60</stp>
        <stp>FUND_PER=Q</stp>
        <tr r="BH15" s="5"/>
      </tp>
      <tp t="s">
        <v>#N/A Connection</v>
        <stp/>
        <stp>##V3_BDPV12</stp>
        <stp>SJM Equity</stp>
        <stp>BS_PFD_EQY</stp>
        <stp>[Zach MARIANI KDP.xlsx]Comps!R13C60</stp>
        <stp>FUND_PER=Q</stp>
        <tr r="BH13" s="5"/>
      </tp>
      <tp t="s">
        <v>#N/A Connection</v>
        <stp/>
        <stp>##V3_BDPV12</stp>
        <stp>NESN SW Equity</stp>
        <stp>CASH_AND_MARKETABLE_SECURITIES</stp>
        <stp>[Zach MARIANI KDP.xlsx]Comps!R15C62</stp>
        <stp>FUND_PER=Q</stp>
        <tr r="BJ15" s="5"/>
      </tp>
      <tp t="s">
        <v>#N/A Connection</v>
        <stp/>
        <stp>##V3_BDPV12</stp>
        <stp>SBUX Equity</stp>
        <stp>IS_ADJUSTED_EPS_AS_REPORTED</stp>
        <stp>[Zach MARIANI KDP.xlsx]Comps!R14C121</stp>
        <stp>EQY_FUND_YEAR=2021</stp>
        <tr r="DQ14" s="5"/>
      </tp>
      <tp t="s">
        <v>#N/A Connection</v>
        <stp/>
        <stp>##V3_BDPV12</stp>
        <stp>SBUX Equity</stp>
        <stp>IS_ADJUSTED_EPS_AS_REPORTED</stp>
        <stp>[Zach MARIANI KDP.xlsx]Comps!R14C123</stp>
        <stp>EQY_FUND_YEAR=2022</stp>
        <tr r="DS14" s="5"/>
      </tp>
      <tp t="s">
        <v>#N/A Connection</v>
        <stp/>
        <stp>##V3_BDPV12</stp>
        <stp>SBUX Equity</stp>
        <stp>IS_ADJUSTED_EPS_AS_REPORTED</stp>
        <stp>[Zach MARIANI KDP.xlsx]Comps!R14C119</stp>
        <stp>EQY_FUND_YEAR=2020</stp>
        <tr r="DO14" s="5"/>
      </tp>
      <tp t="s">
        <v>#N/A Connection</v>
        <stp/>
        <stp>##V3_BDPV12</stp>
        <stp>SBUX Equity</stp>
        <stp>IS_ADJUSTED_EPS_AS_REPORTED</stp>
        <stp>[Zach MARIANI KDP.xlsx]Comps!R14C125</stp>
        <stp>EQY_FUND_YEAR=-0FY</stp>
        <tr r="DU14" s="5"/>
      </tp>
      <tp t="s">
        <v>#N/A Connection</v>
        <stp/>
        <stp>##V3_BDPV12</stp>
        <stp>PEP Equity</stp>
        <stp>BS_PFD_EQY</stp>
        <stp>[Zach MARIANI KDP.xlsx]Comps!R12C60</stp>
        <stp>FUND_PER=Q</stp>
        <tr r="BH12" s="5"/>
      </tp>
      <tp t="s">
        <v>#N/A Connection</v>
        <stp/>
        <stp>##V3_BDPV12</stp>
        <stp>KO Equity</stp>
        <stp>BEST_EBITDA</stp>
        <stp>[Zach MARIANI KDP.xlsx]Comps!R11C87</stp>
        <stp>BEST_FPERIOD_OVERRIDE=20BC</stp>
        <tr r="CI11" s="5"/>
      </tp>
      <tp t="s">
        <v>#N/A Connection</v>
        <stp/>
        <stp>##V3_BDPV12</stp>
        <stp>SJM Equity</stp>
        <stp>INTERVAL_AVG</stp>
        <stp>[Zach MARIANI KDP.xlsx]Comps!R13C71</stp>
        <stp>MARKET_DATA_OVERRIDE=BEST_CUR_EV_TO_EBITDA</stp>
        <stp xml:space="preserve">BEST_FPERIOD_OVERRIDE=1TY </stp>
        <stp xml:space="preserve">CALC_INTERVAL=5Y </stp>
        <tr r="BS13" s="5"/>
      </tp>
      <tp t="s">
        <v>#N/A Connection</v>
        <stp/>
        <stp>##V3_BDPV12</stp>
        <stp>KO Equity</stp>
        <stp>INTERVAL_AVG</stp>
        <stp>[Zach MARIANI KDP.xlsx]Comps!R11C67</stp>
        <stp>MARKET_DATA_OVERRIDE=BEST_CUR_EV_TO_EBITDA</stp>
        <stp xml:space="preserve">BEST_FPERIOD_OVERRIDE=1TY </stp>
        <stp xml:space="preserve">CALC_INTERVAL=1Y </stp>
        <tr r="BO11" s="5"/>
      </tp>
      <tp t="s">
        <v>#N/A Connection</v>
        <stp/>
        <stp>##V3_BDPV12</stp>
        <stp>KO Equity</stp>
        <stp>BEST_EBITDA</stp>
        <stp>[Zach MARIANI KDP.xlsx]Comps!R11C89</stp>
        <stp>BEST_FPERIOD_OVERRIDE=21BC</stp>
        <tr r="CK11" s="5"/>
      </tp>
      <tp t="s">
        <v>#N/A Connection</v>
        <stp/>
        <stp>##V3_BDPV12</stp>
        <stp>KDP Equity</stp>
        <stp>SHORT_AND_LONG_TERM_DEBT</stp>
        <stp>[Zach MARIANI KDP.xlsx]Comps!R7C58</stp>
        <stp>FUND_PER=Q</stp>
        <tr r="BF7" s="5"/>
      </tp>
      <tp t="s">
        <v>#N/A Connection</v>
        <stp/>
        <stp>##V3_BDPV12</stp>
        <stp>PEP Equity</stp>
        <stp>INTERVAL_AVG</stp>
        <stp>[Zach MARIANI KDP.xlsx]Comps!R12C71</stp>
        <stp>MARKET_DATA_OVERRIDE=BEST_CUR_EV_TO_EBITDA</stp>
        <stp xml:space="preserve">BEST_FPERIOD_OVERRIDE=1TY </stp>
        <stp xml:space="preserve">CALC_INTERVAL=5Y </stp>
        <tr r="BS12" s="5"/>
      </tp>
      <tp t="s">
        <v>#N/A Connection</v>
        <stp/>
        <stp>##V3_BDPV12</stp>
        <stp>KO Equity</stp>
        <stp>INTERVAL_AVG</stp>
        <stp>[Zach MARIANI KDP.xlsx]Comps!R11C69</stp>
        <stp>MARKET_DATA_OVERRIDE=BEST_CUR_EV_TO_EBITDA</stp>
        <stp xml:space="preserve">BEST_FPERIOD_OVERRIDE=1TY </stp>
        <stp xml:space="preserve">CALC_INTERVAL=2Y </stp>
        <tr r="BQ11" s="5"/>
      </tp>
      <tp t="s">
        <v>#N/A Connection</v>
        <stp/>
        <stp>##V3_BDPV12</stp>
        <stp>KO Equity</stp>
        <stp>BEST_EBITDA</stp>
        <stp>[Zach MARIANI KDP.xlsx]Comps!R11C91</stp>
        <stp>BEST_FPERIOD_OVERRIDE=22BC</stp>
        <tr r="CM11" s="5"/>
      </tp>
    </main>
    <main first="bofaddin.rtdserver">
      <tp t="s">
        <v>#N/A Requesting Data...2838710135</v>
        <stp/>
        <stp>BQL|355483022930590961</stp>
        <tr r="X4" s="2"/>
      </tp>
    </main>
    <main first="bloomberg.rtd">
      <tp t="s">
        <v>#N/A Connection</v>
        <stp/>
        <stp>##V3_BDPV12</stp>
        <stp>NESN SW Equity</stp>
        <stp>BEST_EPS</stp>
        <stp>[Zach MARIANI KDP.xlsx]Comps!R15C101</stp>
        <stp>BEST_FPERIOD_OVERRIDE=23BC</stp>
        <tr r="CW15" s="5"/>
      </tp>
      <tp t="s">
        <v>#N/A Connection</v>
        <stp/>
        <stp>##V3_BDPV12</stp>
        <stp>SBUX Equity</stp>
        <stp>INTERVAL_AVG</stp>
        <stp>[Zach MARIANI KDP.xlsx]Comps!R14C71</stp>
        <stp>MARKET_DATA_OVERRIDE=BEST_CUR_EV_TO_EBITDA</stp>
        <stp xml:space="preserve">BEST_FPERIOD_OVERRIDE=1TY </stp>
        <stp xml:space="preserve">CALC_INTERVAL=5Y </stp>
        <tr r="BS14" s="5"/>
      </tp>
      <tp t="s">
        <v>#N/A Connection</v>
        <stp/>
        <stp>##V3_BDPV12</stp>
        <stp>NESN SW Equity</stp>
        <stp>BEST_EPS</stp>
        <stp>[Zach MARIANI KDP.xlsx]Comps!R15C64</stp>
        <stp>BEST_FPERIOD_OVERRIDE=1TY</stp>
        <tr r="BL15" s="5"/>
      </tp>
      <tp t="s">
        <v>#N/A Connection</v>
        <stp/>
        <stp>##V3_BDPV12</stp>
        <stp>NESN SW Equity</stp>
        <stp>SHORT_AND_LONG_TERM_DEBT</stp>
        <stp>[Zach MARIANI KDP.xlsx]Comps!R15C58</stp>
        <stp>FUND_PER=Q</stp>
        <tr r="BF15" s="5"/>
      </tp>
      <tp t="s">
        <v>#N/A Connection</v>
        <stp/>
        <stp>##V3_BDPV12</stp>
        <stp>KO Equity</stp>
        <stp>BEST_EBITDA</stp>
        <stp>[Zach MARIANI KDP.xlsx]Comps!R11C93</stp>
        <stp>BEST_FPERIOD_OVERRIDE=23BC</stp>
        <tr r="CO11" s="5"/>
      </tp>
      <tp t="s">
        <v>#N/A Connection</v>
        <stp/>
        <stp>##V3_BDPV12</stp>
        <stp>NESN SW Equity</stp>
        <stp>EQY_SH_OUT</stp>
        <stp>[Zach MARIANI KDP.xlsx]Comps!R15C55</stp>
        <tr r="BC15" s="5"/>
      </tp>
      <tp t="s">
        <v>#N/A Connection</v>
        <stp/>
        <stp>##V3_BDPV12</stp>
        <stp>SJM Equity</stp>
        <stp>INTERVAL_AVG</stp>
        <stp>[Zach MARIANI KDP.xlsx]Comps!R13C67</stp>
        <stp>MARKET_DATA_OVERRIDE=BEST_CUR_EV_TO_EBITDA</stp>
        <stp xml:space="preserve">BEST_FPERIOD_OVERRIDE=1TY </stp>
        <stp xml:space="preserve">CALC_INTERVAL=1Y </stp>
        <tr r="BO13" s="5"/>
      </tp>
      <tp t="s">
        <v>#N/A Connection</v>
        <stp/>
        <stp>##V3_BDPV12</stp>
        <stp>PEP Equity</stp>
        <stp>INTERVAL_AVG</stp>
        <stp>[Zach MARIANI KDP.xlsx]Comps!R12C69</stp>
        <stp>MARKET_DATA_OVERRIDE=BEST_CUR_EV_TO_EBITDA</stp>
        <stp xml:space="preserve">BEST_FPERIOD_OVERRIDE=1TY </stp>
        <stp xml:space="preserve">CALC_INTERVAL=2Y </stp>
        <tr r="BQ12" s="5"/>
      </tp>
      <tp t="s">
        <v>#N/A Connection</v>
        <stp/>
        <stp>##V3_BDPV12</stp>
        <stp>KO Equity</stp>
        <stp>INTERVAL_AVG</stp>
        <stp>[Zach MARIANI KDP.xlsx]Comps!R11C71</stp>
        <stp>MARKET_DATA_OVERRIDE=BEST_CUR_EV_TO_EBITDA</stp>
        <stp xml:space="preserve">BEST_FPERIOD_OVERRIDE=1TY </stp>
        <stp xml:space="preserve">CALC_INTERVAL=5Y </stp>
        <tr r="BS11" s="5"/>
      </tp>
      <tp t="s">
        <v>#N/A Connection</v>
        <stp/>
        <stp>##V3_BDPV12</stp>
        <stp>SBUX Equity</stp>
        <stp>INTERVAL_AVG</stp>
        <stp>[Zach MARIANI KDP.xlsx]Comps!R14C69</stp>
        <stp>MARKET_DATA_OVERRIDE=BEST_CUR_EV_TO_EBITDA</stp>
        <stp xml:space="preserve">BEST_FPERIOD_OVERRIDE=1TY </stp>
        <stp xml:space="preserve">CALC_INTERVAL=2Y </stp>
        <tr r="BQ14" s="5"/>
      </tp>
      <tp t="s">
        <v>#N/A Connection</v>
        <stp/>
        <stp>##V3_BDPV12</stp>
        <stp>SJM Equity</stp>
        <stp>INTERVAL_AVG</stp>
        <stp>[Zach MARIANI KDP.xlsx]Comps!R13C69</stp>
        <stp>MARKET_DATA_OVERRIDE=BEST_CUR_EV_TO_EBITDA</stp>
        <stp xml:space="preserve">BEST_FPERIOD_OVERRIDE=1TY </stp>
        <stp xml:space="preserve">CALC_INTERVAL=2Y </stp>
        <tr r="BQ13" s="5"/>
      </tp>
      <tp t="s">
        <v>#N/A Connection</v>
        <stp/>
        <stp>##V3_BDPV12</stp>
        <stp>PEP Equity</stp>
        <stp>INTERVAL_AVG</stp>
        <stp>[Zach MARIANI KDP.xlsx]Comps!R12C67</stp>
        <stp>MARKET_DATA_OVERRIDE=BEST_CUR_EV_TO_EBITDA</stp>
        <stp xml:space="preserve">BEST_FPERIOD_OVERRIDE=1TY </stp>
        <stp xml:space="preserve">CALC_INTERVAL=1Y </stp>
        <tr r="BO12" s="5"/>
      </tp>
      <tp t="s">
        <v>#N/A Connection</v>
        <stp/>
        <stp>##V3_BDPV12</stp>
        <stp>SBUX Equity</stp>
        <stp>INTERVAL_AVG</stp>
        <stp>[Zach MARIANI KDP.xlsx]Comps!R14C67</stp>
        <stp>MARKET_DATA_OVERRIDE=BEST_CUR_EV_TO_EBITDA</stp>
        <stp xml:space="preserve">BEST_FPERIOD_OVERRIDE=1TY </stp>
        <stp xml:space="preserve">CALC_INTERVAL=1Y </stp>
        <tr r="BO14" s="5"/>
      </tp>
      <tp t="s">
        <v>#N/A Connection</v>
        <stp/>
        <stp>##V3_BDPV12</stp>
        <stp>PEP Equity</stp>
        <stp>INTERVAL_HIGH</stp>
        <stp>[Zach MARIANI KDP mobile.xlsx]Comps!R12C53</stp>
        <stp>CALC_INTERVAL=52W</stp>
        <stp>END_DATE_OVERRIDE</stp>
        <stp>20230909</stp>
        <tr r="BA12" s="5"/>
      </tp>
    </main>
    <main first="bofaddin.rtdserver">
      <tp t="s">
        <v>#N/A Requesting Data...3583812046</v>
        <stp/>
        <stp>BQL|900886445075804391</stp>
        <tr r="AK4" s="2"/>
      </tp>
    </main>
    <main first="bloomberg.rtd">
      <tp t="s">
        <v>#N/A Connection</v>
        <stp/>
        <stp>##V3_BDPV12</stp>
        <stp>KO Equity</stp>
        <stp>INTERVAL_AVG</stp>
        <stp>[Zach MARIANI KDP.xlsx]Comps!R11C75</stp>
        <stp>MARKET_DATA_OVERRIDE=BEST_PE_RATIO</stp>
        <stp xml:space="preserve">BEST_FPERIOD_OVERRIDE=1TY </stp>
        <stp xml:space="preserve">CALC_INTERVAL=2Y </stp>
        <tr r="BW11" s="5"/>
      </tp>
      <tp t="s">
        <v>#N/A Connection</v>
        <stp/>
        <stp>##V3_BDPV12</stp>
        <stp>PEP Equity</stp>
        <stp>INTERVAL_AVG</stp>
        <stp>[Zach MARIANI KDP.xlsx]Comps!R12C77</stp>
        <stp>MARKET_DATA_OVERRIDE=BEST_PE_RATIO</stp>
        <stp xml:space="preserve">BEST_FPERIOD_OVERRIDE=1TY </stp>
        <stp xml:space="preserve">CALC_INTERVAL=5Y </stp>
        <tr r="BY12" s="5"/>
      </tp>
      <tp t="s">
        <v>#N/A Connection</v>
        <stp/>
        <stp>##V3_BDPV12</stp>
        <stp>SBUX Equity</stp>
        <stp>INTERVAL_AVG</stp>
        <stp>[Zach MARIANI KDP.xlsx]Comps!R14C77</stp>
        <stp>MARKET_DATA_OVERRIDE=BEST_PE_RATIO</stp>
        <stp xml:space="preserve">BEST_FPERIOD_OVERRIDE=1TY </stp>
        <stp xml:space="preserve">CALC_INTERVAL=5Y </stp>
        <tr r="BY14" s="5"/>
      </tp>
      <tp t="s">
        <v>#N/A Connection</v>
        <stp/>
        <stp>##V3_BDPV12</stp>
        <stp>KO Equity</stp>
        <stp>INTERVAL_HIGH</stp>
        <stp>[Zach MARIANI KDP mobile.xlsx]Comps!R11C53</stp>
        <stp>CALC_INTERVAL=52W</stp>
        <stp>END_DATE_OVERRIDE</stp>
        <stp>20230909</stp>
        <tr r="BA11" s="5"/>
      </tp>
      <tp t="s">
        <v>#N/A Connection</v>
        <stp/>
        <stp>##V3_BDPV12</stp>
        <stp>KO Equity</stp>
        <stp>INTERVAL_AVG</stp>
        <stp>[Zach MARIANI KDP.xlsx]Comps!R11C73</stp>
        <stp>MARKET_DATA_OVERRIDE=BEST_PE_RATIO</stp>
        <stp xml:space="preserve">BEST_FPERIOD_OVERRIDE=1TY </stp>
        <stp xml:space="preserve">CALC_INTERVAL=1Y </stp>
        <tr r="BU11" s="5"/>
      </tp>
      <tp t="s">
        <v>#N/A Connection</v>
        <stp/>
        <stp>##V3_BDPV12</stp>
        <stp>SJM Equity</stp>
        <stp>INTERVAL_AVG</stp>
        <stp>[Zach MARIANI KDP.xlsx]Comps!R13C77</stp>
        <stp>MARKET_DATA_OVERRIDE=BEST_PE_RATIO</stp>
        <stp xml:space="preserve">BEST_FPERIOD_OVERRIDE=1TY </stp>
        <stp xml:space="preserve">CALC_INTERVAL=5Y </stp>
        <tr r="BY13" s="5"/>
      </tp>
      <tp t="s">
        <v>#N/A Connection</v>
        <stp/>
        <stp>##V3_BDPV12</stp>
        <stp>SJM Equity</stp>
        <stp>INTERVAL_AVG</stp>
        <stp>[Zach MARIANI KDP.xlsx]Comps!R13C75</stp>
        <stp>MARKET_DATA_OVERRIDE=BEST_PE_RATIO</stp>
        <stp xml:space="preserve">BEST_FPERIOD_OVERRIDE=1TY </stp>
        <stp xml:space="preserve">CALC_INTERVAL=2Y </stp>
        <tr r="BW13" s="5"/>
      </tp>
      <tp t="s">
        <v>#N/A Connection</v>
        <stp/>
        <stp>##V3_BDPV12</stp>
        <stp>PEP Equity</stp>
        <stp>INTERVAL_AVG</stp>
        <stp>[Zach MARIANI KDP.xlsx]Comps!R12C73</stp>
        <stp>MARKET_DATA_OVERRIDE=BEST_PE_RATIO</stp>
        <stp xml:space="preserve">BEST_FPERIOD_OVERRIDE=1TY </stp>
        <stp xml:space="preserve">CALC_INTERVAL=1Y </stp>
        <tr r="BU12" s="5"/>
      </tp>
      <tp t="s">
        <v>#N/A Connection</v>
        <stp/>
        <stp>##V3_BDPV12</stp>
        <stp>SBUX Equity</stp>
        <stp>INTERVAL_AVG</stp>
        <stp>[Zach MARIANI KDP.xlsx]Comps!R14C73</stp>
        <stp>MARKET_DATA_OVERRIDE=BEST_PE_RATIO</stp>
        <stp xml:space="preserve">BEST_FPERIOD_OVERRIDE=1TY </stp>
        <stp xml:space="preserve">CALC_INTERVAL=1Y </stp>
        <tr r="BU14" s="5"/>
      </tp>
      <tp t="s">
        <v>#N/A Connection</v>
        <stp/>
        <stp>##V3_BDPV12</stp>
        <stp>KO Equity</stp>
        <stp>INTERVAL_AVG</stp>
        <stp>[Zach MARIANI KDP.xlsx]Comps!R11C77</stp>
        <stp>MARKET_DATA_OVERRIDE=BEST_PE_RATIO</stp>
        <stp xml:space="preserve">BEST_FPERIOD_OVERRIDE=1TY </stp>
        <stp xml:space="preserve">CALC_INTERVAL=5Y </stp>
        <tr r="BY11" s="5"/>
      </tp>
      <tp t="s">
        <v>#N/A Connection</v>
        <stp/>
        <stp>##V3_BDPV12</stp>
        <stp>SJM Equity</stp>
        <stp>INTERVAL_AVG</stp>
        <stp>[Zach MARIANI KDP.xlsx]Comps!R13C73</stp>
        <stp>MARKET_DATA_OVERRIDE=BEST_PE_RATIO</stp>
        <stp xml:space="preserve">BEST_FPERIOD_OVERRIDE=1TY </stp>
        <stp xml:space="preserve">CALC_INTERVAL=1Y </stp>
        <tr r="BU13" s="5"/>
      </tp>
      <tp t="s">
        <v>#N/A Connection</v>
        <stp/>
        <stp>##V3_BDPV12</stp>
        <stp>PEP Equity</stp>
        <stp>INTERVAL_AVG</stp>
        <stp>[Zach MARIANI KDP.xlsx]Comps!R12C75</stp>
        <stp>MARKET_DATA_OVERRIDE=BEST_PE_RATIO</stp>
        <stp xml:space="preserve">BEST_FPERIOD_OVERRIDE=1TY </stp>
        <stp xml:space="preserve">CALC_INTERVAL=2Y </stp>
        <tr r="BW12" s="5"/>
      </tp>
      <tp t="s">
        <v>#N/A Connection</v>
        <stp/>
        <stp>##V3_BDPV12</stp>
        <stp>KO Equity</stp>
        <stp>BS_PFD_EQY</stp>
        <stp>[Zach MARIANI KDP.xlsx]Comps!R11C60</stp>
        <stp>FUND_PER=Q</stp>
        <tr r="BH11" s="5"/>
      </tp>
      <tp t="s">
        <v>#N/A Connection</v>
        <stp/>
        <stp>##V3_BDPV12</stp>
        <stp>SBUX Equity</stp>
        <stp>INTERVAL_AVG</stp>
        <stp>[Zach MARIANI KDP.xlsx]Comps!R14C75</stp>
        <stp>MARKET_DATA_OVERRIDE=BEST_PE_RATIO</stp>
        <stp xml:space="preserve">BEST_FPERIOD_OVERRIDE=1TY </stp>
        <stp xml:space="preserve">CALC_INTERVAL=2Y </stp>
        <tr r="BW14" s="5"/>
      </tp>
      <tp t="s">
        <v>#N/A Connection</v>
        <stp/>
        <stp>##V3_BDPV12</stp>
        <stp>KDP Equity</stp>
        <stp>CASH_AND_MARKETABLE_SECURITIES</stp>
        <stp>[Zach MARIANI KDP.xlsx]Comps!R7C62</stp>
        <stp>FUND_PER=Q</stp>
        <tr r="BJ7" s="5"/>
      </tp>
      <tp t="s">
        <v>#N/A Connection</v>
        <stp/>
        <stp>##V3_BDPV12</stp>
        <stp>NESN SW Equity</stp>
        <stp>BEST_EBITDA</stp>
        <stp>[Zach MARIANI KDP.xlsx]Comps!R15C93</stp>
        <stp>BEST_FPERIOD_OVERRIDE=23BC</stp>
        <tr r="CO15" s="5"/>
      </tp>
      <tp t="s">
        <v>#N/A Connection</v>
        <stp/>
        <stp>##V3_BDPV12</stp>
        <stp>SBUX Equity</stp>
        <stp>CASH_AND_MARKETABLE_SECURITIES</stp>
        <stp>[Zach MARIANI KDP.xlsx]Comps!R14C62</stp>
        <stp>FUND_PER=Q</stp>
        <tr r="BJ14" s="5"/>
      </tp>
      <tp t="s">
        <v>#N/A Connection</v>
        <stp/>
        <stp>##V3_BDPV12</stp>
        <stp>KDP Equity</stp>
        <stp>BEST_EBITDA</stp>
        <stp>[Zach MARIANI KDP.xlsx]Comps!R7C91</stp>
        <stp>BEST_FPERIOD_OVERRIDE=22BC</stp>
        <tr r="CM7" s="5"/>
      </tp>
      <tp t="s">
        <v>#N/A Connection</v>
        <stp/>
        <stp>##V3_BDPV12</stp>
        <stp>NESN SW Equity</stp>
        <stp>BEST_EBITDA</stp>
        <stp>[Zach MARIANI KDP.xlsx]Comps!R15C91</stp>
        <stp>BEST_FPERIOD_OVERRIDE=22BC</stp>
        <tr r="CM15" s="5"/>
      </tp>
      <tp t="s">
        <v>#N/A Connection</v>
        <stp/>
        <stp>##V3_BDPV12</stp>
        <stp>KDP Equity</stp>
        <stp>BEST_EBITDA</stp>
        <stp>[Zach MARIANI KDP.xlsx]Comps!R7C93</stp>
        <stp>BEST_FPERIOD_OVERRIDE=23BC</stp>
        <tr r="CO7" s="5"/>
      </tp>
      <tp t="s">
        <v>#N/A Connection</v>
        <stp/>
        <stp>##V3_BDPV12</stp>
        <stp>NESN SW Equity</stp>
        <stp>BEST_EBITDA</stp>
        <stp>[Zach MARIANI KDP.xlsx]Comps!R15C89</stp>
        <stp>BEST_FPERIOD_OVERRIDE=21BC</stp>
        <tr r="CK15" s="5"/>
      </tp>
      <tp t="s">
        <v>#N/A Connection</v>
        <stp/>
        <stp>##V3_BDPV12</stp>
        <stp>KO Equity</stp>
        <stp>EQY_SH_OUT</stp>
        <stp>[Zach MARIANI KDP.xlsx]Comps!R11C55</stp>
        <tr r="BC11" s="5"/>
      </tp>
      <tp t="s">
        <v>#N/A Connection</v>
        <stp/>
        <stp>##V3_BDPV12</stp>
        <stp>KDP Equity</stp>
        <stp>BEST_EBITDA</stp>
        <stp>[Zach MARIANI KDP.xlsx]Comps!R7C87</stp>
        <stp>BEST_FPERIOD_OVERRIDE=20BC</stp>
        <tr r="CI7" s="5"/>
      </tp>
      <tp t="s">
        <v>#N/A Connection</v>
        <stp/>
        <stp>##V3_BDPV12</stp>
        <stp>NESN SW Equity</stp>
        <stp>BEST_EBITDA</stp>
        <stp>[Zach MARIANI KDP.xlsx]Comps!R15C87</stp>
        <stp>BEST_FPERIOD_OVERRIDE=20BC</stp>
        <tr r="CI15" s="5"/>
      </tp>
      <tp t="s">
        <v>#N/A Connection</v>
        <stp/>
        <stp>##V3_BDPV12</stp>
        <stp>KO Equity</stp>
        <stp>IS_ADJUSTED_EPS_AS_REPORTED</stp>
        <stp>[Zach MARIANI KDP.xlsx]Comps!R11C121</stp>
        <stp>EQY_FUND_YEAR=2021</stp>
        <tr r="DQ11" s="5"/>
      </tp>
      <tp t="s">
        <v>#N/A Connection</v>
        <stp/>
        <stp>##V3_BDPV12</stp>
        <stp>KO Equity</stp>
        <stp>IS_ADJUSTED_EPS_AS_REPORTED</stp>
        <stp>[Zach MARIANI KDP.xlsx]Comps!R11C123</stp>
        <stp>EQY_FUND_YEAR=2022</stp>
        <tr r="DS11" s="5"/>
      </tp>
      <tp t="s">
        <v>#N/A Connection</v>
        <stp/>
        <stp>##V3_BDPV12</stp>
        <stp>KO Equity</stp>
        <stp>IS_ADJUSTED_EPS_AS_REPORTED</stp>
        <stp>[Zach MARIANI KDP.xlsx]Comps!R11C119</stp>
        <stp>EQY_FUND_YEAR=2020</stp>
        <tr r="DO11" s="5"/>
      </tp>
      <tp t="s">
        <v>#N/A Connection</v>
        <stp/>
        <stp>##V3_BDPV12</stp>
        <stp>KO Equity</stp>
        <stp>IS_ADJUSTED_EPS_AS_REPORTED</stp>
        <stp>[Zach MARIANI KDP.xlsx]Comps!R11C125</stp>
        <stp>EQY_FUND_YEAR=-0FY</stp>
        <tr r="DU11" s="5"/>
      </tp>
      <tp t="s">
        <v>#N/A Connection</v>
        <stp/>
        <stp>##V3_BDPV12</stp>
        <stp>KDP Equity</stp>
        <stp>BEST_EBITDA</stp>
        <stp>[Zach MARIANI KDP.xlsx]Comps!R7C89</stp>
        <stp>BEST_FPERIOD_OVERRIDE=21BC</stp>
        <tr r="CK7" s="5"/>
      </tp>
      <tp t="s">
        <v>#N/A Connection</v>
        <stp/>
        <stp>##V3_BDPV12</stp>
        <stp>KDP Equity</stp>
        <stp>ORGANIC_GROWTH</stp>
        <stp>[Zach MARIANI KDP.xlsx]Comps!R7C109</stp>
        <stp>EQY_FUND_RELATIVE_PERIOD=-0FY</stp>
        <tr r="DE7" s="5"/>
      </tp>
      <tp t="s">
        <v>#N/A Connection</v>
        <stp/>
        <stp>##V3_BDPV12</stp>
        <stp>KO Equity</stp>
        <stp>BEST_EPS</stp>
        <stp>[Zach MARIANI KDP.xlsx]Comps!R11C64</stp>
        <stp>BEST_FPERIOD_OVERRIDE=1TY</stp>
        <tr r="BL11" s="5"/>
      </tp>
      <tp t="s">
        <v>#N/A Connection</v>
        <stp/>
        <stp>##V3_BDPV12</stp>
        <stp>SBUX Equity</stp>
        <stp>ORGANIC_GROWTH</stp>
        <stp>[Zach MARIANI KDP.xlsx]Comps!R14C109</stp>
        <stp>EQY_FUND_RELATIVE_PERIOD=-0FY</stp>
        <tr r="DE14" s="5"/>
      </tp>
    </main>
  </volType>
</volType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and</a:t>
            </a:r>
            <a:r>
              <a:rPr lang="en-US" baseline="0"/>
              <a:t> Volume for K-Cups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Figures!$C$5</c:f>
              <c:strCache>
                <c:ptCount val="1"/>
                <c:pt idx="0">
                  <c:v>K-Cup Pods, Revenue</c:v>
                </c:pt>
              </c:strCache>
            </c:strRef>
          </c:tx>
          <c:spPr>
            <a:ln w="28575" cap="rnd">
              <a:solidFill>
                <a:schemeClr val="accent1"/>
              </a:solidFill>
              <a:round/>
            </a:ln>
            <a:effectLst/>
          </c:spPr>
          <c:marker>
            <c:symbol val="none"/>
          </c:marker>
          <c:cat>
            <c:strRef>
              <c:f>Figures!$D$3:$Y$3</c:f>
              <c:strCache>
                <c:ptCount val="22"/>
                <c:pt idx="0">
                  <c:v>Q1-FY2018</c:v>
                </c:pt>
                <c:pt idx="1">
                  <c:v>Q2-FY2018</c:v>
                </c:pt>
                <c:pt idx="2">
                  <c:v>Q3-FY2018</c:v>
                </c:pt>
                <c:pt idx="3">
                  <c:v>Q4-FY2018</c:v>
                </c:pt>
                <c:pt idx="4">
                  <c:v>Q1-FY2019</c:v>
                </c:pt>
                <c:pt idx="5">
                  <c:v>Q2-FY2019</c:v>
                </c:pt>
                <c:pt idx="6">
                  <c:v>Q3-FY2019</c:v>
                </c:pt>
                <c:pt idx="7">
                  <c:v>Q4-FY2019</c:v>
                </c:pt>
                <c:pt idx="8">
                  <c:v>Q1-FY2020</c:v>
                </c:pt>
                <c:pt idx="9">
                  <c:v>Q2-FY2020</c:v>
                </c:pt>
                <c:pt idx="10">
                  <c:v>Q3-FY2020</c:v>
                </c:pt>
                <c:pt idx="11">
                  <c:v>Q4-FY2020</c:v>
                </c:pt>
                <c:pt idx="12">
                  <c:v>Q1-FY2021</c:v>
                </c:pt>
                <c:pt idx="13">
                  <c:v>Q2-FY2021</c:v>
                </c:pt>
                <c:pt idx="14">
                  <c:v>Q3-FY2021</c:v>
                </c:pt>
                <c:pt idx="15">
                  <c:v>Q4-FY2021</c:v>
                </c:pt>
                <c:pt idx="16">
                  <c:v>Q1-FY2022</c:v>
                </c:pt>
                <c:pt idx="17">
                  <c:v>Q2-FY2022</c:v>
                </c:pt>
                <c:pt idx="18">
                  <c:v>Q3-FY2022</c:v>
                </c:pt>
                <c:pt idx="19">
                  <c:v>Q4-FY2022</c:v>
                </c:pt>
                <c:pt idx="20">
                  <c:v>Q1-FY2023</c:v>
                </c:pt>
                <c:pt idx="21">
                  <c:v>Q2-FY2023</c:v>
                </c:pt>
              </c:strCache>
            </c:strRef>
          </c:cat>
          <c:val>
            <c:numRef>
              <c:f>Figures!$D$5:$Y$5</c:f>
              <c:numCache>
                <c:formatCode>#,##0_);\(#,##0\)</c:formatCode>
                <c:ptCount val="22"/>
                <c:pt idx="0">
                  <c:v>794</c:v>
                </c:pt>
                <c:pt idx="1">
                  <c:v>763</c:v>
                </c:pt>
                <c:pt idx="2">
                  <c:v>831</c:v>
                </c:pt>
                <c:pt idx="3">
                  <c:v>861</c:v>
                </c:pt>
                <c:pt idx="4">
                  <c:v>793</c:v>
                </c:pt>
                <c:pt idx="5">
                  <c:v>783</c:v>
                </c:pt>
                <c:pt idx="6">
                  <c:v>824</c:v>
                </c:pt>
                <c:pt idx="7">
                  <c:v>893</c:v>
                </c:pt>
                <c:pt idx="8">
                  <c:v>791</c:v>
                </c:pt>
                <c:pt idx="9">
                  <c:v>830</c:v>
                </c:pt>
                <c:pt idx="10">
                  <c:v>812</c:v>
                </c:pt>
                <c:pt idx="11">
                  <c:v>936</c:v>
                </c:pt>
                <c:pt idx="12">
                  <c:v>903</c:v>
                </c:pt>
                <c:pt idx="13">
                  <c:v>831</c:v>
                </c:pt>
                <c:pt idx="14">
                  <c:v>848</c:v>
                </c:pt>
                <c:pt idx="15">
                  <c:v>964</c:v>
                </c:pt>
                <c:pt idx="16">
                  <c:v>749</c:v>
                </c:pt>
                <c:pt idx="17">
                  <c:v>798</c:v>
                </c:pt>
                <c:pt idx="18">
                  <c:v>913</c:v>
                </c:pt>
                <c:pt idx="19">
                  <c:v>1097</c:v>
                </c:pt>
                <c:pt idx="20">
                  <c:v>771</c:v>
                </c:pt>
                <c:pt idx="21">
                  <c:v>761</c:v>
                </c:pt>
              </c:numCache>
            </c:numRef>
          </c:val>
          <c:smooth val="0"/>
          <c:extLst>
            <c:ext xmlns:c16="http://schemas.microsoft.com/office/drawing/2014/chart" uri="{C3380CC4-5D6E-409C-BE32-E72D297353CC}">
              <c16:uniqueId val="{00000001-CF1C-4E09-8A73-38B9EA77A8F5}"/>
            </c:ext>
          </c:extLst>
        </c:ser>
        <c:ser>
          <c:idx val="2"/>
          <c:order val="1"/>
          <c:tx>
            <c:strRef>
              <c:f>Figures!$C$6</c:f>
              <c:strCache>
                <c:ptCount val="1"/>
                <c:pt idx="0">
                  <c:v>K-Cup Pods, Volume</c:v>
                </c:pt>
              </c:strCache>
            </c:strRef>
          </c:tx>
          <c:spPr>
            <a:ln w="28575" cap="rnd">
              <a:solidFill>
                <a:schemeClr val="accent1">
                  <a:tint val="65000"/>
                </a:schemeClr>
              </a:solidFill>
              <a:round/>
            </a:ln>
            <a:effectLst/>
          </c:spPr>
          <c:marker>
            <c:symbol val="none"/>
          </c:marker>
          <c:cat>
            <c:strRef>
              <c:f>Figures!$D$3:$Y$3</c:f>
              <c:strCache>
                <c:ptCount val="22"/>
                <c:pt idx="0">
                  <c:v>Q1-FY2018</c:v>
                </c:pt>
                <c:pt idx="1">
                  <c:v>Q2-FY2018</c:v>
                </c:pt>
                <c:pt idx="2">
                  <c:v>Q3-FY2018</c:v>
                </c:pt>
                <c:pt idx="3">
                  <c:v>Q4-FY2018</c:v>
                </c:pt>
                <c:pt idx="4">
                  <c:v>Q1-FY2019</c:v>
                </c:pt>
                <c:pt idx="5">
                  <c:v>Q2-FY2019</c:v>
                </c:pt>
                <c:pt idx="6">
                  <c:v>Q3-FY2019</c:v>
                </c:pt>
                <c:pt idx="7">
                  <c:v>Q4-FY2019</c:v>
                </c:pt>
                <c:pt idx="8">
                  <c:v>Q1-FY2020</c:v>
                </c:pt>
                <c:pt idx="9">
                  <c:v>Q2-FY2020</c:v>
                </c:pt>
                <c:pt idx="10">
                  <c:v>Q3-FY2020</c:v>
                </c:pt>
                <c:pt idx="11">
                  <c:v>Q4-FY2020</c:v>
                </c:pt>
                <c:pt idx="12">
                  <c:v>Q1-FY2021</c:v>
                </c:pt>
                <c:pt idx="13">
                  <c:v>Q2-FY2021</c:v>
                </c:pt>
                <c:pt idx="14">
                  <c:v>Q3-FY2021</c:v>
                </c:pt>
                <c:pt idx="15">
                  <c:v>Q4-FY2021</c:v>
                </c:pt>
                <c:pt idx="16">
                  <c:v>Q1-FY2022</c:v>
                </c:pt>
                <c:pt idx="17">
                  <c:v>Q2-FY2022</c:v>
                </c:pt>
                <c:pt idx="18">
                  <c:v>Q3-FY2022</c:v>
                </c:pt>
                <c:pt idx="19">
                  <c:v>Q4-FY2022</c:v>
                </c:pt>
                <c:pt idx="20">
                  <c:v>Q1-FY2023</c:v>
                </c:pt>
                <c:pt idx="21">
                  <c:v>Q2-FY2023</c:v>
                </c:pt>
              </c:strCache>
            </c:strRef>
          </c:cat>
          <c:val>
            <c:numRef>
              <c:f>Figures!$D$6:$Y$6</c:f>
              <c:numCache>
                <c:formatCode>#,##0_);\(#,##0\)</c:formatCode>
                <c:ptCount val="22"/>
                <c:pt idx="0">
                  <c:v>1231.0077519379845</c:v>
                </c:pt>
                <c:pt idx="1">
                  <c:v>1192.1875</c:v>
                </c:pt>
                <c:pt idx="2">
                  <c:v>1308.6614173228347</c:v>
                </c:pt>
                <c:pt idx="3">
                  <c:v>1366.6666666666667</c:v>
                </c:pt>
                <c:pt idx="4">
                  <c:v>1289.4308943089432</c:v>
                </c:pt>
                <c:pt idx="5">
                  <c:v>1283.6065573770493</c:v>
                </c:pt>
                <c:pt idx="6">
                  <c:v>1361.9834710743803</c:v>
                </c:pt>
                <c:pt idx="7">
                  <c:v>1488.3333333333335</c:v>
                </c:pt>
                <c:pt idx="8">
                  <c:v>1329.4117647058824</c:v>
                </c:pt>
                <c:pt idx="9">
                  <c:v>1406.7796610169491</c:v>
                </c:pt>
                <c:pt idx="10">
                  <c:v>1388.0341880341882</c:v>
                </c:pt>
                <c:pt idx="11">
                  <c:v>1613.793103448276</c:v>
                </c:pt>
                <c:pt idx="12">
                  <c:v>1570.4347826086957</c:v>
                </c:pt>
                <c:pt idx="13">
                  <c:v>1457.8947368421054</c:v>
                </c:pt>
                <c:pt idx="14">
                  <c:v>1500.8849557522126</c:v>
                </c:pt>
                <c:pt idx="15">
                  <c:v>1721.4285714285713</c:v>
                </c:pt>
                <c:pt idx="16">
                  <c:v>1349.5495495495495</c:v>
                </c:pt>
                <c:pt idx="17">
                  <c:v>1450.9090909090908</c:v>
                </c:pt>
                <c:pt idx="18">
                  <c:v>1675.229357798165</c:v>
                </c:pt>
                <c:pt idx="19">
                  <c:v>2031.4814814814813</c:v>
                </c:pt>
                <c:pt idx="20">
                  <c:v>1441.1214953271028</c:v>
                </c:pt>
                <c:pt idx="21">
                  <c:v>1435.8490566037735</c:v>
                </c:pt>
              </c:numCache>
            </c:numRef>
          </c:val>
          <c:smooth val="0"/>
          <c:extLst>
            <c:ext xmlns:c16="http://schemas.microsoft.com/office/drawing/2014/chart" uri="{C3380CC4-5D6E-409C-BE32-E72D297353CC}">
              <c16:uniqueId val="{00000002-CF1C-4E09-8A73-38B9EA77A8F5}"/>
            </c:ext>
          </c:extLst>
        </c:ser>
        <c:dLbls>
          <c:showLegendKey val="0"/>
          <c:showVal val="0"/>
          <c:showCatName val="0"/>
          <c:showSerName val="0"/>
          <c:showPercent val="0"/>
          <c:showBubbleSize val="0"/>
        </c:dLbls>
        <c:smooth val="0"/>
        <c:axId val="747167951"/>
        <c:axId val="2135489072"/>
      </c:lineChart>
      <c:catAx>
        <c:axId val="74716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489072"/>
        <c:crosses val="autoZero"/>
        <c:auto val="1"/>
        <c:lblAlgn val="ctr"/>
        <c:lblOffset val="100"/>
        <c:noMultiLvlLbl val="0"/>
      </c:catAx>
      <c:valAx>
        <c:axId val="213548907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67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Appliances vs. Pods Revenue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759671817814416E-3"/>
                  <c:y val="-5.594039147434907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Figures!$L$8:$Y$8</c:f>
              <c:numCache>
                <c:formatCode>0.0%</c:formatCode>
                <c:ptCount val="14"/>
                <c:pt idx="0">
                  <c:v>-2.5220680958385477E-3</c:v>
                </c:pt>
                <c:pt idx="1">
                  <c:v>6.0025542784163388E-2</c:v>
                </c:pt>
                <c:pt idx="2">
                  <c:v>-1.4563106796116498E-2</c:v>
                </c:pt>
                <c:pt idx="3">
                  <c:v>4.8152295632698738E-2</c:v>
                </c:pt>
                <c:pt idx="4">
                  <c:v>0.1415929203539823</c:v>
                </c:pt>
                <c:pt idx="5">
                  <c:v>1.2048192771083599E-3</c:v>
                </c:pt>
                <c:pt idx="6">
                  <c:v>4.4334975369458185E-2</c:v>
                </c:pt>
                <c:pt idx="7">
                  <c:v>2.9914529914529808E-2</c:v>
                </c:pt>
                <c:pt idx="8">
                  <c:v>-5.3156146179402008E-2</c:v>
                </c:pt>
                <c:pt idx="9">
                  <c:v>9.1456077015643844E-2</c:v>
                </c:pt>
                <c:pt idx="10">
                  <c:v>7.6650943396226356E-2</c:v>
                </c:pt>
                <c:pt idx="11">
                  <c:v>0.13796680497925307</c:v>
                </c:pt>
                <c:pt idx="12">
                  <c:v>3.8596491228070073E-2</c:v>
                </c:pt>
                <c:pt idx="13">
                  <c:v>-4.1896361631753032E-2</c:v>
                </c:pt>
              </c:numCache>
            </c:numRef>
          </c:xVal>
          <c:yVal>
            <c:numRef>
              <c:f>Figures!$L$9:$Y$9</c:f>
              <c:numCache>
                <c:formatCode>0.0%</c:formatCode>
                <c:ptCount val="14"/>
                <c:pt idx="0">
                  <c:v>3.2520325203251987E-2</c:v>
                </c:pt>
                <c:pt idx="1">
                  <c:v>0.12337662337662336</c:v>
                </c:pt>
                <c:pt idx="2">
                  <c:v>0.22994652406417115</c:v>
                </c:pt>
                <c:pt idx="3">
                  <c:v>0.23552123552123549</c:v>
                </c:pt>
                <c:pt idx="4">
                  <c:v>0.37007874015748032</c:v>
                </c:pt>
                <c:pt idx="5">
                  <c:v>0.21387283236994215</c:v>
                </c:pt>
                <c:pt idx="6">
                  <c:v>5.6521739130434678E-2</c:v>
                </c:pt>
                <c:pt idx="7">
                  <c:v>-0.125</c:v>
                </c:pt>
                <c:pt idx="8">
                  <c:v>2.2988505747126409E-2</c:v>
                </c:pt>
                <c:pt idx="9">
                  <c:v>3.3333333333333437E-2</c:v>
                </c:pt>
                <c:pt idx="10">
                  <c:v>-7.407407407407407E-2</c:v>
                </c:pt>
                <c:pt idx="11">
                  <c:v>0.19999999999999996</c:v>
                </c:pt>
                <c:pt idx="12">
                  <c:v>-0.2303370786516854</c:v>
                </c:pt>
                <c:pt idx="13">
                  <c:v>-0.12442396313364057</c:v>
                </c:pt>
              </c:numCache>
            </c:numRef>
          </c:yVal>
          <c:smooth val="0"/>
          <c:extLst>
            <c:ext xmlns:c16="http://schemas.microsoft.com/office/drawing/2014/chart" uri="{C3380CC4-5D6E-409C-BE32-E72D297353CC}">
              <c16:uniqueId val="{00000000-B5F0-41B8-9DC6-9FB7E4CD606E}"/>
            </c:ext>
          </c:extLst>
        </c:ser>
        <c:dLbls>
          <c:showLegendKey val="0"/>
          <c:showVal val="0"/>
          <c:showCatName val="0"/>
          <c:showSerName val="0"/>
          <c:showPercent val="0"/>
          <c:showBubbleSize val="0"/>
        </c:dLbls>
        <c:axId val="1057287375"/>
        <c:axId val="1970651744"/>
      </c:scatterChart>
      <c:valAx>
        <c:axId val="10572873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K-Cup Pods 1yr, Revenue Growth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651744"/>
        <c:crosses val="autoZero"/>
        <c:crossBetween val="midCat"/>
      </c:valAx>
      <c:valAx>
        <c:axId val="197065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Appliances, 1yr, Revenue Growth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28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Appliance Revenue</a:t>
            </a:r>
            <a:r>
              <a:rPr lang="en-US" baseline="0"/>
              <a:t> </a:t>
            </a:r>
            <a:r>
              <a:rPr lang="en-US"/>
              <a:t>over Coffee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Figures!$H$3:$Y$3</c:f>
              <c:strCache>
                <c:ptCount val="18"/>
                <c:pt idx="0">
                  <c:v>Q1-FY2019</c:v>
                </c:pt>
                <c:pt idx="1">
                  <c:v>Q2-FY2019</c:v>
                </c:pt>
                <c:pt idx="2">
                  <c:v>Q3-FY2019</c:v>
                </c:pt>
                <c:pt idx="3">
                  <c:v>Q4-FY2019</c:v>
                </c:pt>
                <c:pt idx="4">
                  <c:v>Q1-FY2020</c:v>
                </c:pt>
                <c:pt idx="5">
                  <c:v>Q2-FY2020</c:v>
                </c:pt>
                <c:pt idx="6">
                  <c:v>Q3-FY2020</c:v>
                </c:pt>
                <c:pt idx="7">
                  <c:v>Q4-FY2020</c:v>
                </c:pt>
                <c:pt idx="8">
                  <c:v>Q1-FY2021</c:v>
                </c:pt>
                <c:pt idx="9">
                  <c:v>Q2-FY2021</c:v>
                </c:pt>
                <c:pt idx="10">
                  <c:v>Q3-FY2021</c:v>
                </c:pt>
                <c:pt idx="11">
                  <c:v>Q4-FY2021</c:v>
                </c:pt>
                <c:pt idx="12">
                  <c:v>Q1-FY2022</c:v>
                </c:pt>
                <c:pt idx="13">
                  <c:v>Q2-FY2022</c:v>
                </c:pt>
                <c:pt idx="14">
                  <c:v>Q3-FY2022</c:v>
                </c:pt>
                <c:pt idx="15">
                  <c:v>Q4-FY2022</c:v>
                </c:pt>
                <c:pt idx="16">
                  <c:v>Q1-FY2023</c:v>
                </c:pt>
                <c:pt idx="17">
                  <c:v>Q2-FY2023</c:v>
                </c:pt>
              </c:strCache>
            </c:strRef>
          </c:cat>
          <c:val>
            <c:numRef>
              <c:f>Figures!$H$11:$Y$11</c:f>
              <c:numCache>
                <c:formatCode>0.0%</c:formatCode>
                <c:ptCount val="18"/>
                <c:pt idx="0">
                  <c:v>0.13427947598253276</c:v>
                </c:pt>
                <c:pt idx="1">
                  <c:v>0.16435432230522945</c:v>
                </c:pt>
                <c:pt idx="2">
                  <c:v>0.18496538081107813</c:v>
                </c:pt>
                <c:pt idx="3">
                  <c:v>0.2248263888888889</c:v>
                </c:pt>
                <c:pt idx="4">
                  <c:v>0.1383442265795207</c:v>
                </c:pt>
                <c:pt idx="5">
                  <c:v>0.17248255234297108</c:v>
                </c:pt>
                <c:pt idx="6">
                  <c:v>0.22072936660268713</c:v>
                </c:pt>
                <c:pt idx="7">
                  <c:v>0.25477707006369427</c:v>
                </c:pt>
                <c:pt idx="8">
                  <c:v>0.16155988857938719</c:v>
                </c:pt>
                <c:pt idx="9">
                  <c:v>0.20172910662824209</c:v>
                </c:pt>
                <c:pt idx="10">
                  <c:v>0.22273143904674611</c:v>
                </c:pt>
                <c:pt idx="11">
                  <c:v>0.22508038585209003</c:v>
                </c:pt>
                <c:pt idx="12">
                  <c:v>0.17231364956437561</c:v>
                </c:pt>
                <c:pt idx="13">
                  <c:v>0.19306049822064056</c:v>
                </c:pt>
                <c:pt idx="14">
                  <c:v>0.1977152899824253</c:v>
                </c:pt>
                <c:pt idx="15">
                  <c:v>0.23447313328681088</c:v>
                </c:pt>
                <c:pt idx="16">
                  <c:v>0.13365853658536586</c:v>
                </c:pt>
                <c:pt idx="17">
                  <c:v>0.17941454202077431</c:v>
                </c:pt>
              </c:numCache>
            </c:numRef>
          </c:val>
          <c:extLst>
            <c:ext xmlns:c16="http://schemas.microsoft.com/office/drawing/2014/chart" uri="{C3380CC4-5D6E-409C-BE32-E72D297353CC}">
              <c16:uniqueId val="{00000000-15B8-4E92-A0A7-1F570296A532}"/>
            </c:ext>
          </c:extLst>
        </c:ser>
        <c:dLbls>
          <c:showLegendKey val="0"/>
          <c:showVal val="0"/>
          <c:showCatName val="0"/>
          <c:showSerName val="0"/>
          <c:showPercent val="0"/>
          <c:showBubbleSize val="0"/>
        </c:dLbls>
        <c:gapWidth val="219"/>
        <c:overlap val="-27"/>
        <c:axId val="654663055"/>
        <c:axId val="662371471"/>
      </c:barChart>
      <c:catAx>
        <c:axId val="65466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1471"/>
        <c:crosses val="autoZero"/>
        <c:auto val="1"/>
        <c:lblAlgn val="ctr"/>
        <c:lblOffset val="100"/>
        <c:noMultiLvlLbl val="0"/>
      </c:catAx>
      <c:valAx>
        <c:axId val="6623714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6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258534</xdr:colOff>
      <xdr:row>3</xdr:row>
      <xdr:rowOff>72571</xdr:rowOff>
    </xdr:from>
    <xdr:to>
      <xdr:col>37</xdr:col>
      <xdr:colOff>498928</xdr:colOff>
      <xdr:row>25</xdr:row>
      <xdr:rowOff>38101</xdr:rowOff>
    </xdr:to>
    <xdr:graphicFrame macro="">
      <xdr:nvGraphicFramePr>
        <xdr:cNvPr id="2" name="Chart 1">
          <a:extLst>
            <a:ext uri="{FF2B5EF4-FFF2-40B4-BE49-F238E27FC236}">
              <a16:creationId xmlns:a16="http://schemas.microsoft.com/office/drawing/2014/main" id="{C0E96C8A-5DF0-E0DF-DE51-0C9AD1609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281214</xdr:colOff>
      <xdr:row>27</xdr:row>
      <xdr:rowOff>179614</xdr:rowOff>
    </xdr:from>
    <xdr:to>
      <xdr:col>38</xdr:col>
      <xdr:colOff>45356</xdr:colOff>
      <xdr:row>49</xdr:row>
      <xdr:rowOff>90714</xdr:rowOff>
    </xdr:to>
    <xdr:graphicFrame macro="">
      <xdr:nvGraphicFramePr>
        <xdr:cNvPr id="3" name="Chart 2">
          <a:extLst>
            <a:ext uri="{FF2B5EF4-FFF2-40B4-BE49-F238E27FC236}">
              <a16:creationId xmlns:a16="http://schemas.microsoft.com/office/drawing/2014/main" id="{4F3A6996-CD07-DBDB-11DC-D93A324EC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358321</xdr:colOff>
      <xdr:row>51</xdr:row>
      <xdr:rowOff>61686</xdr:rowOff>
    </xdr:from>
    <xdr:to>
      <xdr:col>38</xdr:col>
      <xdr:colOff>317500</xdr:colOff>
      <xdr:row>75</xdr:row>
      <xdr:rowOff>127000</xdr:rowOff>
    </xdr:to>
    <xdr:graphicFrame macro="">
      <xdr:nvGraphicFramePr>
        <xdr:cNvPr id="4" name="Chart 3">
          <a:extLst>
            <a:ext uri="{FF2B5EF4-FFF2-40B4-BE49-F238E27FC236}">
              <a16:creationId xmlns:a16="http://schemas.microsoft.com/office/drawing/2014/main" id="{643939DF-0871-BBCD-FD88-F58BA8D18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usafacts.org/data/topics/people-society/population-and-demographics/population-data/households/" TargetMode="External"/><Relationship Id="rId7" Type="http://schemas.openxmlformats.org/officeDocument/2006/relationships/hyperlink" Target="https://apps.fas.usda.gov/psdonline/circulars/coffee.pdf" TargetMode="External"/><Relationship Id="rId2" Type="http://schemas.openxmlformats.org/officeDocument/2006/relationships/hyperlink" Target="https://www.ncbi.nlm.nih.gov/pmc/articles/PMC4997286/" TargetMode="External"/><Relationship Id="rId1" Type="http://schemas.openxmlformats.org/officeDocument/2006/relationships/hyperlink" Target="https://www.driveresearch.com/market-research-company-blog/coffee-survey/" TargetMode="External"/><Relationship Id="rId6" Type="http://schemas.openxmlformats.org/officeDocument/2006/relationships/hyperlink" Target="https://fullcoffeeroast.com/how-many-beans-are-in-a-cup-of-coffee/" TargetMode="External"/><Relationship Id="rId5" Type="http://schemas.openxmlformats.org/officeDocument/2006/relationships/hyperlink" Target="https://www.quora.com/About-how-many-pounds-of-green-coffee-beans-does-it-take-to-yield-one-pounds-of-ground-roasted-coffee" TargetMode="External"/><Relationship Id="rId4" Type="http://schemas.openxmlformats.org/officeDocument/2006/relationships/hyperlink" Target="https://apps.fas.usda.gov/psdonline/circulars/coffe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CF46-E41E-43D1-8064-83CCC541FE1F}">
  <dimension ref="B2:C13"/>
  <sheetViews>
    <sheetView workbookViewId="0">
      <selection activeCell="C5" sqref="C5"/>
    </sheetView>
  </sheetViews>
  <sheetFormatPr defaultRowHeight="14.75" x14ac:dyDescent="0.75"/>
  <cols>
    <col min="2" max="2" width="20.6328125" customWidth="1"/>
    <col min="3" max="3" width="22.1796875" customWidth="1"/>
  </cols>
  <sheetData>
    <row r="2" spans="2:3" x14ac:dyDescent="0.75">
      <c r="B2" t="s">
        <v>0</v>
      </c>
      <c r="C2" t="s">
        <v>2</v>
      </c>
    </row>
    <row r="3" spans="2:3" x14ac:dyDescent="0.75">
      <c r="B3" t="s">
        <v>1</v>
      </c>
      <c r="C3" t="s">
        <v>3</v>
      </c>
    </row>
    <row r="4" spans="2:3" x14ac:dyDescent="0.75">
      <c r="B4" t="s">
        <v>68</v>
      </c>
      <c r="C4" t="s">
        <v>69</v>
      </c>
    </row>
    <row r="5" spans="2:3" x14ac:dyDescent="0.75">
      <c r="B5" t="s">
        <v>385</v>
      </c>
      <c r="C5" t="s">
        <v>386</v>
      </c>
    </row>
    <row r="7" spans="2:3" x14ac:dyDescent="0.75">
      <c r="B7" t="s">
        <v>4</v>
      </c>
      <c r="C7" t="s">
        <v>8</v>
      </c>
    </row>
    <row r="8" spans="2:3" x14ac:dyDescent="0.75">
      <c r="C8" s="1">
        <v>45134</v>
      </c>
    </row>
    <row r="10" spans="2:3" x14ac:dyDescent="0.75">
      <c r="B10" t="s">
        <v>5</v>
      </c>
      <c r="C10" t="s">
        <v>6</v>
      </c>
    </row>
    <row r="11" spans="2:3" x14ac:dyDescent="0.75">
      <c r="C11" s="1">
        <v>45239</v>
      </c>
    </row>
    <row r="13" spans="2:3" x14ac:dyDescent="0.75">
      <c r="B13" t="s">
        <v>7</v>
      </c>
      <c r="C13" s="2">
        <f ca="1">TODAY()-C11</f>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0977-F13D-4A36-AFB7-233DC155B050}">
  <dimension ref="B1:AO164"/>
  <sheetViews>
    <sheetView zoomScale="70" zoomScaleNormal="70" workbookViewId="0">
      <pane xSplit="3" ySplit="5" topLeftCell="D6" activePane="bottomRight" state="frozen"/>
      <selection pane="topRight" activeCell="D1" sqref="D1"/>
      <selection pane="bottomLeft" activeCell="A6" sqref="A6"/>
      <selection pane="bottomRight" activeCell="A52" sqref="A52:XFD52"/>
    </sheetView>
  </sheetViews>
  <sheetFormatPr defaultRowHeight="14.75" outlineLevelCol="1" x14ac:dyDescent="0.75"/>
  <cols>
    <col min="1" max="1" width="3.6328125" customWidth="1"/>
    <col min="2" max="2" width="56" customWidth="1"/>
    <col min="3" max="3" width="50.81640625" customWidth="1"/>
    <col min="4" max="6" width="11.453125" customWidth="1"/>
    <col min="7" max="9" width="10.26953125" customWidth="1" outlineLevel="1"/>
    <col min="10" max="10" width="11.6328125" customWidth="1" outlineLevel="1"/>
    <col min="11" max="11" width="11.54296875" customWidth="1"/>
    <col min="12" max="14" width="10.26953125" customWidth="1" outlineLevel="1"/>
    <col min="15" max="15" width="11.453125" customWidth="1" outlineLevel="1"/>
    <col min="16" max="16" width="11" customWidth="1"/>
    <col min="17" max="19" width="10.26953125" customWidth="1" outlineLevel="1"/>
    <col min="20" max="20" width="13.08984375" customWidth="1" outlineLevel="1"/>
    <col min="21" max="21" width="11.81640625" customWidth="1"/>
    <col min="22" max="24" width="10.26953125" hidden="1" customWidth="1" outlineLevel="1"/>
    <col min="25" max="25" width="13" hidden="1" customWidth="1" outlineLevel="1"/>
    <col min="26" max="26" width="11.08984375" customWidth="1" collapsed="1"/>
    <col min="27" max="30" width="11.08984375" hidden="1" customWidth="1" outlineLevel="1"/>
    <col min="31" max="31" width="11.08984375" customWidth="1" collapsed="1"/>
    <col min="32" max="35" width="11.08984375" hidden="1" customWidth="1" outlineLevel="1"/>
    <col min="36" max="36" width="11.08984375" customWidth="1" collapsed="1"/>
    <col min="37" max="38" width="12.08984375" customWidth="1"/>
  </cols>
  <sheetData>
    <row r="1" spans="2:41" x14ac:dyDescent="0.75">
      <c r="D1">
        <v>2014</v>
      </c>
      <c r="E1">
        <v>2015</v>
      </c>
      <c r="F1">
        <v>2016</v>
      </c>
      <c r="G1">
        <v>2017</v>
      </c>
      <c r="H1">
        <v>2017</v>
      </c>
      <c r="I1">
        <v>2017</v>
      </c>
      <c r="J1">
        <v>2017</v>
      </c>
      <c r="K1">
        <v>2017</v>
      </c>
      <c r="L1">
        <v>2018</v>
      </c>
      <c r="M1">
        <v>2018</v>
      </c>
      <c r="N1">
        <v>2018</v>
      </c>
      <c r="O1">
        <v>2018</v>
      </c>
      <c r="P1">
        <v>2018</v>
      </c>
      <c r="Q1">
        <v>2019</v>
      </c>
      <c r="R1">
        <v>2019</v>
      </c>
      <c r="S1">
        <v>2019</v>
      </c>
      <c r="T1">
        <v>2019</v>
      </c>
      <c r="U1">
        <v>2019</v>
      </c>
      <c r="V1">
        <v>2020</v>
      </c>
      <c r="W1">
        <v>2020</v>
      </c>
      <c r="X1">
        <v>2020</v>
      </c>
      <c r="Y1">
        <v>2020</v>
      </c>
      <c r="Z1">
        <v>2020</v>
      </c>
      <c r="AA1">
        <v>2021</v>
      </c>
      <c r="AB1">
        <v>2021</v>
      </c>
      <c r="AC1">
        <v>2021</v>
      </c>
      <c r="AD1">
        <v>2021</v>
      </c>
      <c r="AE1">
        <v>2021</v>
      </c>
      <c r="AF1">
        <v>2022</v>
      </c>
      <c r="AG1">
        <v>2022</v>
      </c>
      <c r="AH1">
        <v>2022</v>
      </c>
      <c r="AI1">
        <v>2022</v>
      </c>
      <c r="AJ1">
        <v>2022</v>
      </c>
      <c r="AK1">
        <v>2023</v>
      </c>
      <c r="AL1">
        <v>2023</v>
      </c>
    </row>
    <row r="2" spans="2:41" x14ac:dyDescent="0.75">
      <c r="D2" t="s">
        <v>90</v>
      </c>
      <c r="E2" t="s">
        <v>90</v>
      </c>
      <c r="F2" t="s">
        <v>90</v>
      </c>
      <c r="G2" t="s">
        <v>91</v>
      </c>
      <c r="H2" t="s">
        <v>92</v>
      </c>
      <c r="I2" t="s">
        <v>93</v>
      </c>
      <c r="J2" t="s">
        <v>94</v>
      </c>
      <c r="K2" t="s">
        <v>94</v>
      </c>
      <c r="L2" t="s">
        <v>91</v>
      </c>
      <c r="M2" t="s">
        <v>92</v>
      </c>
      <c r="N2" t="s">
        <v>93</v>
      </c>
      <c r="O2" t="s">
        <v>94</v>
      </c>
      <c r="P2" t="s">
        <v>94</v>
      </c>
      <c r="Q2" t="s">
        <v>91</v>
      </c>
      <c r="R2" t="s">
        <v>92</v>
      </c>
      <c r="S2" t="s">
        <v>93</v>
      </c>
      <c r="T2" t="s">
        <v>94</v>
      </c>
      <c r="U2" t="s">
        <v>94</v>
      </c>
      <c r="V2" t="s">
        <v>91</v>
      </c>
      <c r="W2" t="s">
        <v>92</v>
      </c>
      <c r="X2" t="s">
        <v>93</v>
      </c>
      <c r="Y2" t="s">
        <v>94</v>
      </c>
      <c r="Z2" t="s">
        <v>94</v>
      </c>
      <c r="AA2" t="s">
        <v>91</v>
      </c>
      <c r="AB2" t="s">
        <v>92</v>
      </c>
      <c r="AC2" t="s">
        <v>93</v>
      </c>
      <c r="AD2" t="s">
        <v>94</v>
      </c>
      <c r="AE2" t="s">
        <v>94</v>
      </c>
      <c r="AF2" t="s">
        <v>91</v>
      </c>
      <c r="AG2" t="s">
        <v>92</v>
      </c>
      <c r="AH2" t="s">
        <v>93</v>
      </c>
      <c r="AI2" t="s">
        <v>94</v>
      </c>
      <c r="AJ2" t="s">
        <v>94</v>
      </c>
      <c r="AK2" t="s">
        <v>91</v>
      </c>
      <c r="AL2" t="s">
        <v>92</v>
      </c>
      <c r="AM2" t="s">
        <v>93</v>
      </c>
      <c r="AN2" t="s">
        <v>94</v>
      </c>
      <c r="AO2" t="s">
        <v>94</v>
      </c>
    </row>
    <row r="3" spans="2:41" x14ac:dyDescent="0.75">
      <c r="D3" t="s">
        <v>63</v>
      </c>
      <c r="E3" t="s">
        <v>62</v>
      </c>
      <c r="F3" t="s">
        <v>61</v>
      </c>
      <c r="G3" t="s">
        <v>60</v>
      </c>
      <c r="H3" t="s">
        <v>59</v>
      </c>
      <c r="I3" t="s">
        <v>58</v>
      </c>
      <c r="J3" t="s">
        <v>57</v>
      </c>
      <c r="K3" t="s">
        <v>56</v>
      </c>
      <c r="L3" t="s">
        <v>55</v>
      </c>
      <c r="M3" t="s">
        <v>54</v>
      </c>
      <c r="N3" t="s">
        <v>53</v>
      </c>
      <c r="O3" t="s">
        <v>52</v>
      </c>
      <c r="P3" t="s">
        <v>51</v>
      </c>
      <c r="Q3" t="s">
        <v>50</v>
      </c>
      <c r="R3" t="s">
        <v>49</v>
      </c>
      <c r="S3" t="s">
        <v>48</v>
      </c>
      <c r="T3" t="s">
        <v>47</v>
      </c>
      <c r="U3" t="s">
        <v>46</v>
      </c>
      <c r="V3" t="s">
        <v>45</v>
      </c>
      <c r="W3" t="s">
        <v>44</v>
      </c>
      <c r="X3" t="s">
        <v>43</v>
      </c>
      <c r="Y3" t="s">
        <v>42</v>
      </c>
      <c r="Z3" t="s">
        <v>25</v>
      </c>
      <c r="AA3" t="s">
        <v>35</v>
      </c>
      <c r="AB3" t="s">
        <v>34</v>
      </c>
      <c r="AC3" t="s">
        <v>33</v>
      </c>
      <c r="AD3" t="s">
        <v>32</v>
      </c>
      <c r="AE3" t="s">
        <v>26</v>
      </c>
      <c r="AF3" t="s">
        <v>36</v>
      </c>
      <c r="AG3" t="s">
        <v>37</v>
      </c>
      <c r="AH3" t="s">
        <v>38</v>
      </c>
      <c r="AI3" t="s">
        <v>39</v>
      </c>
      <c r="AJ3" t="s">
        <v>27</v>
      </c>
      <c r="AK3" t="s">
        <v>40</v>
      </c>
      <c r="AL3" t="s">
        <v>41</v>
      </c>
    </row>
    <row r="4" spans="2:41" x14ac:dyDescent="0.75">
      <c r="B4" t="s">
        <v>95</v>
      </c>
      <c r="D4" s="8" t="str" cm="1">
        <f t="array" ref="D4">_xll.BQL(bbg_ticker, "IS_EPS(FPT="&amp;D2&amp;", FPR="&amp;D1&amp;").PERIOD_END_DATE")</f>
        <v>#N/A Connection</v>
      </c>
      <c r="E4" s="8" t="str" cm="1">
        <f t="array" ref="E4">_xll.BQL(bbg_ticker, "IS_EPS(FPT="&amp;E2&amp;", FPR="&amp;E1&amp;").PERIOD_END_DATE")</f>
        <v>#N/A Connection</v>
      </c>
      <c r="F4" s="8" t="str" cm="1">
        <f t="array" ref="F4">_xll.BQL(bbg_ticker, "IS_EPS(FPT="&amp;F2&amp;", FPR="&amp;F1&amp;").PERIOD_END_DATE")</f>
        <v>#N/A Connection</v>
      </c>
      <c r="G4" s="8" t="str" cm="1">
        <f t="array" ref="G4">_xll.BQL(bbg_ticker, "IS_EPS(FPT="&amp;G2&amp;", FPR="&amp;G1&amp;").PERIOD_END_DATE")</f>
        <v>#N/A Connection</v>
      </c>
      <c r="H4" s="8" t="str" cm="1">
        <f t="array" ref="H4">_xll.BQL(bbg_ticker, "IS_EPS(FPT="&amp;H2&amp;", FPR="&amp;H1&amp;").PERIOD_END_DATE")</f>
        <v>#N/A Connection</v>
      </c>
      <c r="I4" s="8" t="str" cm="1">
        <f t="array" ref="I4">_xll.BQL(bbg_ticker, "IS_EPS(FPT="&amp;I2&amp;", FPR="&amp;I1&amp;").PERIOD_END_DATE")</f>
        <v>#N/A Connection</v>
      </c>
      <c r="J4" s="8" t="str" cm="1">
        <f t="array" ref="J4">_xll.BQL(bbg_ticker, "IS_EPS(FPT="&amp;J2&amp;", FPR="&amp;J1&amp;").PERIOD_END_DATE")</f>
        <v>#N/A Connection</v>
      </c>
      <c r="K4" s="8" t="str" cm="1">
        <f t="array" ref="K4">_xll.BQL(bbg_ticker, "IS_EPS(FPT="&amp;K2&amp;", FPR="&amp;K1&amp;").PERIOD_END_DATE")</f>
        <v>#N/A Connection</v>
      </c>
      <c r="L4" s="8" t="str" cm="1">
        <f t="array" ref="L4">_xll.BQL(bbg_ticker, "IS_EPS(FPT="&amp;L2&amp;", FPR="&amp;L1&amp;").PERIOD_END_DATE")</f>
        <v>#N/A Connection</v>
      </c>
      <c r="M4" s="8" t="str" cm="1">
        <f t="array" ref="M4">_xll.BQL(bbg_ticker, "IS_EPS(FPT="&amp;M2&amp;", FPR="&amp;M1&amp;").PERIOD_END_DATE")</f>
        <v>#N/A Connection</v>
      </c>
      <c r="N4" s="8" t="str" cm="1">
        <f t="array" ref="N4">_xll.BQL(bbg_ticker, "IS_EPS(FPT="&amp;N2&amp;", FPR="&amp;N1&amp;").PERIOD_END_DATE")</f>
        <v>#N/A Connection</v>
      </c>
      <c r="O4" s="8" t="str" cm="1">
        <f t="array" ref="O4">_xll.BQL(bbg_ticker, "IS_EPS(FPT="&amp;O2&amp;", FPR="&amp;O1&amp;").PERIOD_END_DATE")</f>
        <v>#N/A Connection</v>
      </c>
      <c r="P4" s="8" t="str" cm="1">
        <f t="array" ref="P4">_xll.BQL(bbg_ticker, "IS_EPS(FPT="&amp;P2&amp;", FPR="&amp;P1&amp;").PERIOD_END_DATE")</f>
        <v>#N/A Connection</v>
      </c>
      <c r="Q4" s="8" t="str" cm="1">
        <f t="array" ref="Q4">_xll.BQL(bbg_ticker, "IS_EPS(FPT="&amp;Q2&amp;", FPR="&amp;Q1&amp;").PERIOD_END_DATE")</f>
        <v>#N/A Connection</v>
      </c>
      <c r="R4" s="8" t="str" cm="1">
        <f t="array" ref="R4">_xll.BQL(bbg_ticker, "IS_EPS(FPT="&amp;R2&amp;", FPR="&amp;R1&amp;").PERIOD_END_DATE")</f>
        <v>#N/A Connection</v>
      </c>
      <c r="S4" s="8" t="str" cm="1">
        <f t="array" ref="S4">_xll.BQL(bbg_ticker, "IS_EPS(FPT="&amp;S2&amp;", FPR="&amp;S1&amp;").PERIOD_END_DATE")</f>
        <v>#N/A Connection</v>
      </c>
      <c r="T4" s="8" t="str" cm="1">
        <f t="array" ref="T4">_xll.BQL(bbg_ticker, "IS_EPS(FPT="&amp;T2&amp;", FPR="&amp;T1&amp;").PERIOD_END_DATE")</f>
        <v>#N/A Connection</v>
      </c>
      <c r="U4" s="8" t="str" cm="1">
        <f t="array" ref="U4">_xll.BQL(bbg_ticker, "IS_EPS(FPT="&amp;U2&amp;", FPR="&amp;U1&amp;").PERIOD_END_DATE")</f>
        <v>#N/A Connection</v>
      </c>
      <c r="V4" s="8" t="str" cm="1">
        <f t="array" ref="V4">_xll.BQL(bbg_ticker, "IS_EPS(FPT="&amp;V2&amp;", FPR="&amp;V1&amp;").PERIOD_END_DATE")</f>
        <v>#N/A Connection</v>
      </c>
      <c r="W4" s="8" t="str" cm="1">
        <f t="array" ref="W4">_xll.BQL(bbg_ticker, "IS_EPS(FPT="&amp;W2&amp;", FPR="&amp;W1&amp;").PERIOD_END_DATE")</f>
        <v>#N/A Connection</v>
      </c>
      <c r="X4" s="8" t="str" cm="1">
        <f t="array" ref="X4">_xll.BQL(bbg_ticker, "IS_EPS(FPT="&amp;X2&amp;", FPR="&amp;X1&amp;").PERIOD_END_DATE")</f>
        <v>#N/A Connection</v>
      </c>
      <c r="Y4" s="8" t="str" cm="1">
        <f t="array" ref="Y4">_xll.BQL(bbg_ticker, "IS_EPS(FPT="&amp;Y2&amp;", FPR="&amp;Y1&amp;").PERIOD_END_DATE")</f>
        <v>#N/A Connection</v>
      </c>
      <c r="Z4" s="8" t="str" cm="1">
        <f t="array" ref="Z4">_xll.BQL(bbg_ticker, "IS_EPS(FPT="&amp;Z2&amp;", FPR="&amp;Z1&amp;").PERIOD_END_DATE")</f>
        <v>#N/A Connection</v>
      </c>
      <c r="AA4" s="8" t="str" cm="1">
        <f t="array" ref="AA4">_xll.BQL(bbg_ticker, "IS_EPS(FPT="&amp;AA2&amp;", FPR="&amp;AA1&amp;").PERIOD_END_DATE")</f>
        <v>#N/A Connection</v>
      </c>
      <c r="AB4" s="8" t="str" cm="1">
        <f t="array" ref="AB4">_xll.BQL(bbg_ticker, "IS_EPS(FPT="&amp;AB2&amp;", FPR="&amp;AB1&amp;").PERIOD_END_DATE")</f>
        <v>#N/A Connection</v>
      </c>
      <c r="AC4" s="8" t="str" cm="1">
        <f t="array" ref="AC4">_xll.BQL(bbg_ticker, "IS_EPS(FPT="&amp;AC2&amp;", FPR="&amp;AC1&amp;").PERIOD_END_DATE")</f>
        <v>#N/A Connection</v>
      </c>
      <c r="AD4" s="8" t="str" cm="1">
        <f t="array" ref="AD4">_xll.BQL(bbg_ticker, "IS_EPS(FPT="&amp;AD2&amp;", FPR="&amp;AD1&amp;").PERIOD_END_DATE")</f>
        <v>#N/A Connection</v>
      </c>
      <c r="AE4" s="8" t="str" cm="1">
        <f t="array" ref="AE4">_xll.BQL(bbg_ticker, "IS_EPS(FPT="&amp;AE2&amp;", FPR="&amp;AE1&amp;").PERIOD_END_DATE")</f>
        <v>#N/A Connection</v>
      </c>
      <c r="AF4" s="8" t="str" cm="1">
        <f t="array" ref="AF4">_xll.BQL(bbg_ticker, "IS_EPS(FPT="&amp;AF2&amp;", FPR="&amp;AF1&amp;").PERIOD_END_DATE")</f>
        <v>#N/A Connection</v>
      </c>
      <c r="AG4" s="8" t="str" cm="1">
        <f t="array" ref="AG4">_xll.BQL(bbg_ticker, "IS_EPS(FPT="&amp;AG2&amp;", FPR="&amp;AG1&amp;").PERIOD_END_DATE")</f>
        <v>#N/A Connection</v>
      </c>
      <c r="AH4" s="8" t="str" cm="1">
        <f t="array" ref="AH4">_xll.BQL(bbg_ticker, "IS_EPS(FPT="&amp;AH2&amp;", FPR="&amp;AH1&amp;").PERIOD_END_DATE")</f>
        <v>#N/A Connection</v>
      </c>
      <c r="AI4" s="8" t="str" cm="1">
        <f t="array" ref="AI4">_xll.BQL(bbg_ticker, "IS_EPS(FPT="&amp;AI2&amp;", FPR="&amp;AI1&amp;").PERIOD_END_DATE")</f>
        <v>#N/A Connection</v>
      </c>
      <c r="AJ4" s="8" t="str" cm="1">
        <f t="array" ref="AJ4">_xll.BQL(bbg_ticker, "IS_EPS(FPT="&amp;AJ2&amp;", FPR="&amp;AJ1&amp;").PERIOD_END_DATE")</f>
        <v>#N/A Connection</v>
      </c>
      <c r="AK4" s="8" t="str" cm="1">
        <f t="array" ref="AK4">_xll.BQL(bbg_ticker, "IS_EPS(FPT="&amp;AK2&amp;", FPR="&amp;AK1&amp;").PERIOD_END_DATE")</f>
        <v>#N/A Connection</v>
      </c>
      <c r="AL4" s="8" t="str" cm="1">
        <f t="array" ref="AL4">_xll.BQL(bbg_ticker, "IS_EPS(FPT="&amp;AL2&amp;", FPR="&amp;AL1&amp;").PERIOD_END_DATE")</f>
        <v>#N/A Connection</v>
      </c>
    </row>
    <row r="5" spans="2:41" x14ac:dyDescent="0.75">
      <c r="B5" t="s">
        <v>96</v>
      </c>
      <c r="D5" s="73" t="str" cm="1">
        <f t="array" ref="D5">_xll.BDP(bbg_ticker, "ANNOUNCEMENT_DT", "FUND_PER="&amp;D2, "EQY_FUND_YEAR="&amp;D1)</f>
        <v>#N/A Connection</v>
      </c>
      <c r="E5" s="73" t="str" cm="1">
        <f t="array" ref="E5">_xll.BDP(bbg_ticker, "ANNOUNCEMENT_DT", "FUND_PER="&amp;E2, "EQY_FUND_YEAR="&amp;E1)</f>
        <v>#N/A Connection</v>
      </c>
      <c r="F5" s="73" t="str" cm="1">
        <f t="array" ref="F5">_xll.BDP(bbg_ticker, "ANNOUNCEMENT_DT", "FUND_PER="&amp;F2, "EQY_FUND_YEAR="&amp;F1)</f>
        <v>#N/A Connection</v>
      </c>
      <c r="G5" s="73" t="str" cm="1">
        <f t="array" ref="G5">_xll.BDP(bbg_ticker, "ANNOUNCEMENT_DT", "FUND_PER="&amp;G2, "EQY_FUND_YEAR="&amp;G1)</f>
        <v>#N/A Connection</v>
      </c>
      <c r="H5" s="73" t="str" cm="1">
        <f t="array" ref="H5">_xll.BDP(bbg_ticker, "ANNOUNCEMENT_DT", "FUND_PER="&amp;H2, "EQY_FUND_YEAR="&amp;H1)</f>
        <v>#N/A Connection</v>
      </c>
      <c r="I5" s="73" t="str" cm="1">
        <f t="array" ref="I5">_xll.BDP(bbg_ticker, "ANNOUNCEMENT_DT", "FUND_PER="&amp;I2, "EQY_FUND_YEAR="&amp;I1)</f>
        <v>#N/A Connection</v>
      </c>
      <c r="J5" s="73" t="str" cm="1">
        <f t="array" ref="J5">_xll.BDP(bbg_ticker, "ANNOUNCEMENT_DT", "FUND_PER="&amp;J2, "EQY_FUND_YEAR="&amp;J1)</f>
        <v>#N/A Connection</v>
      </c>
      <c r="K5" s="73" t="str" cm="1">
        <f t="array" ref="K5">_xll.BDP(bbg_ticker, "ANNOUNCEMENT_DT", "FUND_PER="&amp;K2, "EQY_FUND_YEAR="&amp;K1)</f>
        <v>#N/A Connection</v>
      </c>
      <c r="L5" s="73" t="str" cm="1">
        <f t="array" ref="L5">_xll.BDP(bbg_ticker, "ANNOUNCEMENT_DT", "FUND_PER="&amp;L2, "EQY_FUND_YEAR="&amp;L1)</f>
        <v>#N/A Connection</v>
      </c>
      <c r="M5" s="73" t="str" cm="1">
        <f t="array" ref="M5">_xll.BDP(bbg_ticker, "ANNOUNCEMENT_DT", "FUND_PER="&amp;M2, "EQY_FUND_YEAR="&amp;M1)</f>
        <v>#N/A Connection</v>
      </c>
      <c r="N5" s="73" t="str" cm="1">
        <f t="array" ref="N5">_xll.BDP(bbg_ticker, "ANNOUNCEMENT_DT", "FUND_PER="&amp;N2, "EQY_FUND_YEAR="&amp;N1)</f>
        <v>#N/A Connection</v>
      </c>
      <c r="O5" s="73" t="str" cm="1">
        <f t="array" ref="O5">_xll.BDP(bbg_ticker, "ANNOUNCEMENT_DT", "FUND_PER="&amp;O2, "EQY_FUND_YEAR="&amp;O1)</f>
        <v>#N/A Connection</v>
      </c>
      <c r="P5" s="73" t="str" cm="1">
        <f t="array" ref="P5">_xll.BDP(bbg_ticker, "ANNOUNCEMENT_DT", "FUND_PER="&amp;P2, "EQY_FUND_YEAR="&amp;P1)</f>
        <v>#N/A Connection</v>
      </c>
      <c r="Q5" s="73" t="str" cm="1">
        <f t="array" ref="Q5">_xll.BDP(bbg_ticker, "ANNOUNCEMENT_DT", "FUND_PER="&amp;Q2, "EQY_FUND_YEAR="&amp;Q1)</f>
        <v>#N/A Connection</v>
      </c>
      <c r="R5" s="73" t="str" cm="1">
        <f t="array" ref="R5">_xll.BDP(bbg_ticker, "ANNOUNCEMENT_DT", "FUND_PER="&amp;R2, "EQY_FUND_YEAR="&amp;R1)</f>
        <v>#N/A Connection</v>
      </c>
      <c r="S5" s="73" t="str" cm="1">
        <f t="array" ref="S5">_xll.BDP(bbg_ticker, "ANNOUNCEMENT_DT", "FUND_PER="&amp;S2, "EQY_FUND_YEAR="&amp;S1)</f>
        <v>#N/A Connection</v>
      </c>
      <c r="T5" s="73" t="str" cm="1">
        <f t="array" ref="T5">_xll.BDP(bbg_ticker, "ANNOUNCEMENT_DT", "FUND_PER="&amp;T2, "EQY_FUND_YEAR="&amp;T1)</f>
        <v>#N/A Connection</v>
      </c>
      <c r="U5" s="73" t="str" cm="1">
        <f t="array" ref="U5">_xll.BDP(bbg_ticker, "ANNOUNCEMENT_DT", "FUND_PER="&amp;U2, "EQY_FUND_YEAR="&amp;U1)</f>
        <v>#N/A Connection</v>
      </c>
      <c r="V5" s="73" t="str" cm="1">
        <f t="array" ref="V5">_xll.BDP(bbg_ticker, "ANNOUNCEMENT_DT", "FUND_PER="&amp;V2, "EQY_FUND_YEAR="&amp;V1)</f>
        <v>#N/A Connection</v>
      </c>
      <c r="W5" s="73" t="str" cm="1">
        <f t="array" ref="W5">_xll.BDP(bbg_ticker, "ANNOUNCEMENT_DT", "FUND_PER="&amp;W2, "EQY_FUND_YEAR="&amp;W1)</f>
        <v>#N/A Connection</v>
      </c>
      <c r="X5" s="73" t="str" cm="1">
        <f t="array" ref="X5">_xll.BDP(bbg_ticker, "ANNOUNCEMENT_DT", "FUND_PER="&amp;X2, "EQY_FUND_YEAR="&amp;X1)</f>
        <v>#N/A Connection</v>
      </c>
      <c r="Y5" s="73" t="str" cm="1">
        <f t="array" ref="Y5">_xll.BDP(bbg_ticker, "ANNOUNCEMENT_DT", "FUND_PER="&amp;Y2, "EQY_FUND_YEAR="&amp;Y1)</f>
        <v>#N/A Connection</v>
      </c>
      <c r="Z5" s="73" t="str" cm="1">
        <f t="array" ref="Z5">_xll.BDP(bbg_ticker, "ANNOUNCEMENT_DT", "FUND_PER="&amp;Z2, "EQY_FUND_YEAR="&amp;Z1)</f>
        <v>#N/A Connection</v>
      </c>
      <c r="AA5" s="73" t="str" cm="1">
        <f t="array" ref="AA5">_xll.BDP(bbg_ticker, "ANNOUNCEMENT_DT", "FUND_PER="&amp;AA2, "EQY_FUND_YEAR="&amp;AA1)</f>
        <v>#N/A Connection</v>
      </c>
      <c r="AB5" s="73" t="str" cm="1">
        <f t="array" ref="AB5">_xll.BDP(bbg_ticker, "ANNOUNCEMENT_DT", "FUND_PER="&amp;AB2, "EQY_FUND_YEAR="&amp;AB1)</f>
        <v>#N/A Connection</v>
      </c>
      <c r="AC5" s="73" t="str" cm="1">
        <f t="array" ref="AC5">_xll.BDP(bbg_ticker, "ANNOUNCEMENT_DT", "FUND_PER="&amp;AC2, "EQY_FUND_YEAR="&amp;AC1)</f>
        <v>#N/A Connection</v>
      </c>
      <c r="AD5" s="73" t="str" cm="1">
        <f t="array" ref="AD5">_xll.BDP(bbg_ticker, "ANNOUNCEMENT_DT", "FUND_PER="&amp;AD2, "EQY_FUND_YEAR="&amp;AD1)</f>
        <v>#N/A Connection</v>
      </c>
      <c r="AE5" s="73" t="str" cm="1">
        <f t="array" ref="AE5">_xll.BDP(bbg_ticker, "ANNOUNCEMENT_DT", "FUND_PER="&amp;AE2, "EQY_FUND_YEAR="&amp;AE1)</f>
        <v>#N/A Connection</v>
      </c>
      <c r="AF5" s="73" t="str" cm="1">
        <f t="array" ref="AF5">_xll.BDP(bbg_ticker, "ANNOUNCEMENT_DT", "FUND_PER="&amp;AF2, "EQY_FUND_YEAR="&amp;AF1)</f>
        <v>#N/A Connection</v>
      </c>
      <c r="AG5" s="73" t="str" cm="1">
        <f t="array" ref="AG5">_xll.BDP(bbg_ticker, "ANNOUNCEMENT_DT", "FUND_PER="&amp;AG2, "EQY_FUND_YEAR="&amp;AG1)</f>
        <v>#N/A Connection</v>
      </c>
      <c r="AH5" s="73" t="str" cm="1">
        <f t="array" ref="AH5">_xll.BDP(bbg_ticker, "ANNOUNCEMENT_DT", "FUND_PER="&amp;AH2, "EQY_FUND_YEAR="&amp;AH1)</f>
        <v>#N/A Connection</v>
      </c>
      <c r="AI5" s="73" t="str" cm="1">
        <f t="array" ref="AI5">_xll.BDP(bbg_ticker, "ANNOUNCEMENT_DT", "FUND_PER="&amp;AI2, "EQY_FUND_YEAR="&amp;AI1)</f>
        <v>#N/A Connection</v>
      </c>
      <c r="AJ5" s="73" t="str" cm="1">
        <f t="array" ref="AJ5">_xll.BDP(bbg_ticker, "ANNOUNCEMENT_DT", "FUND_PER="&amp;AJ2, "EQY_FUND_YEAR="&amp;AJ1)</f>
        <v>#N/A Connection</v>
      </c>
      <c r="AK5" s="73" t="str" cm="1">
        <f t="array" ref="AK5">_xll.BDP(bbg_ticker, "ANNOUNCEMENT_DT", "FUND_PER="&amp;AK2, "EQY_FUND_YEAR="&amp;AK1)</f>
        <v>#N/A Connection</v>
      </c>
      <c r="AL5" s="73" t="str" cm="1">
        <f t="array" ref="AL5">_xll.BDP(bbg_ticker, "ANNOUNCEMENT_DT", "FUND_PER="&amp;AL2, "EQY_FUND_YEAR="&amp;AL1)</f>
        <v>#N/A Connection</v>
      </c>
    </row>
    <row r="6" spans="2:41" x14ac:dyDescent="0.75">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row>
    <row r="7" spans="2:41" x14ac:dyDescent="0.75">
      <c r="D7" s="178" t="s">
        <v>97</v>
      </c>
      <c r="E7" s="178"/>
      <c r="F7" s="178"/>
      <c r="G7" s="178"/>
      <c r="H7" s="178"/>
      <c r="I7" s="178"/>
      <c r="J7" s="178"/>
      <c r="K7" s="178"/>
      <c r="L7" s="178"/>
      <c r="M7" s="178"/>
      <c r="N7" s="178"/>
      <c r="O7" s="178"/>
      <c r="P7" s="178"/>
      <c r="Q7" s="178"/>
      <c r="R7" s="178"/>
      <c r="S7" s="178"/>
      <c r="T7" s="178"/>
      <c r="U7" s="178"/>
      <c r="V7" s="178"/>
      <c r="W7" s="178"/>
      <c r="X7" s="178"/>
      <c r="Y7" s="178"/>
      <c r="Z7" s="178"/>
      <c r="AA7" s="178"/>
      <c r="AB7" s="178"/>
      <c r="AC7" s="178"/>
      <c r="AD7" s="178"/>
      <c r="AE7" s="178"/>
      <c r="AF7" s="178"/>
      <c r="AG7" s="178"/>
      <c r="AH7" s="178"/>
      <c r="AI7" s="178"/>
      <c r="AJ7" s="178"/>
      <c r="AK7" s="178"/>
      <c r="AL7" s="178"/>
    </row>
    <row r="8" spans="2:41" s="11" customFormat="1" x14ac:dyDescent="0.75">
      <c r="B8" s="11" t="s">
        <v>12</v>
      </c>
      <c r="C8" s="11" t="s">
        <v>70</v>
      </c>
      <c r="D8" s="40" cm="1">
        <f t="array" ref="D8">_xll.VAData("KDP_US", D3, "Total revenue", "va actuals", "CD", "IMPL","","")</f>
        <v>6121</v>
      </c>
      <c r="E8" s="16" cm="1">
        <f t="array" ref="E8">_xll.VAData("KDP_US", E3, "Total revenue", "va actuals", "CD", "IMPL","","")</f>
        <v>6282</v>
      </c>
      <c r="F8" s="16" cm="1">
        <f t="array" ref="F8">_xll.VAData("KDP_US", F3, "Total revenue", "va actuals", "CD", "IMPL","","")</f>
        <v>6440</v>
      </c>
      <c r="G8" s="17" cm="1">
        <f t="array" ref="G8">_xll.VAData("KDP_US", G3, "Total revenue", "va actuals", "CD", "IMPL","","")</f>
        <v>2466</v>
      </c>
      <c r="H8" s="17" cm="1">
        <f t="array" ref="H8">_xll.VAData("KDP_US", H3, "Total revenue", "va actuals", "CD", "IMPL","","")</f>
        <v>2733</v>
      </c>
      <c r="I8" s="17" cm="1">
        <f t="array" ref="I8">_xll.VAData("KDP_US", I3, "Total revenue", "va actuals", "CD", "IMPL","","")</f>
        <v>2776</v>
      </c>
      <c r="J8" s="17" cm="1">
        <f t="array" ref="J8">_xll.VAData("KDP_US", J3, "Total revenue", "va actuals", "CD", "IMPL","","")</f>
        <v>2800</v>
      </c>
      <c r="K8" s="16" cm="1">
        <f t="array" ref="K8">_xll.VAData("KDP_US", K3, "Total revenue", "va actuals", "CD", "IMPL","","")</f>
        <v>10775</v>
      </c>
      <c r="L8" s="17" cm="1">
        <f t="array" ref="L8">_xll.VAData("KDP_US", L3, "Total revenue", "va actuals", "CD", "IMPL","","")</f>
        <v>2529</v>
      </c>
      <c r="M8" s="17" cm="1">
        <f t="array" ref="M8">_xll.VAData("KDP_US", M3, "Total revenue", "va actuals", "CD", "IMPL","","")</f>
        <v>2822</v>
      </c>
      <c r="N8" s="17">
        <f>N9+N12+N15</f>
        <v>2732</v>
      </c>
      <c r="O8" s="17" cm="1">
        <f t="array" ref="O8">_xll.VAData("KDP_US", O3, "Total revenue", "va actuals", "CD", "IMPL","","")</f>
        <v>2813</v>
      </c>
      <c r="P8" s="16" cm="1">
        <f t="array" ref="P8">_xll.VAData("KDP_US", P3, "Total revenue", "va actuals", "CD", "IMPL","","")</f>
        <v>11024</v>
      </c>
      <c r="Q8" s="17" cm="1">
        <f t="array" ref="Q8">_xll.VAData("KDP_US", Q3, "Total revenue", "va actuals", "CD", "IMPL","","")</f>
        <v>2504</v>
      </c>
      <c r="R8" s="17" cm="1">
        <f t="array" ref="R8">_xll.VAData("KDP_US", R3, "Total revenue", "va actuals", "CD", "IMPL","","")</f>
        <v>2812</v>
      </c>
      <c r="S8" s="17" cm="1">
        <f t="array" ref="S8">_xll.VAData("KDP_US", S3, "Total revenue", "va actuals", "CD", "IMPL","","")</f>
        <v>2870</v>
      </c>
      <c r="T8" s="17" cm="1">
        <f t="array" ref="T8">_xll.VAData("KDP_US", T3, "Total revenue", "va actuals", "CD", "IMPL","","")</f>
        <v>2934</v>
      </c>
      <c r="U8" s="16" cm="1">
        <f t="array" ref="U8">_xll.VAData("KDP_US", U3, "Total revenue", "va actuals", "CD", "IMPL","","")</f>
        <v>11120</v>
      </c>
      <c r="V8" s="17" cm="1">
        <f t="array" ref="V8">_xll.VAData("KDP_US", V3, "Total revenue", "va actuals", "CD", "IMPL","","")</f>
        <v>2613</v>
      </c>
      <c r="W8" s="17" cm="1">
        <f t="array" ref="W8">_xll.VAData("KDP_US", W3, "Total revenue", "va actuals", "CD", "IMPL","","")</f>
        <v>2864</v>
      </c>
      <c r="X8" s="17" cm="1">
        <f t="array" ref="X8">_xll.VAData("KDP_US", X3, "Total revenue", "va actuals", "CD", "IMPL","","")</f>
        <v>3020</v>
      </c>
      <c r="Y8" s="17" cm="1">
        <f t="array" ref="Y8">_xll.VAData("KDP_US", Y3, "Total revenue", "va actuals", "CD", "IMPL","","")</f>
        <v>3121</v>
      </c>
      <c r="Z8" s="16" cm="1">
        <f t="array" ref="Z8">_xll.VAData("KDP_US", Z3, "Total revenue", "va actuals", "CD", "IMPL","","")</f>
        <v>11618</v>
      </c>
      <c r="AA8" s="17" cm="1">
        <f t="array" ref="AA8">_xll.VAData("KDP_US", AA3, "Total revenue", "va actuals", "CD", "IMPL","","")</f>
        <v>2902</v>
      </c>
      <c r="AB8" s="17" cm="1">
        <f t="array" ref="AB8">_xll.VAData("KDP_US", AB3, "Total revenue", "va actuals", "CD", "IMPL","","")</f>
        <v>3140</v>
      </c>
      <c r="AC8" s="17" cm="1">
        <f t="array" ref="AC8">_xll.VAData("KDP_US", AC3, "Total revenue", "va actuals", "CD", "IMPL","","")</f>
        <v>3250</v>
      </c>
      <c r="AD8" s="17" cm="1">
        <f t="array" ref="AD8">_xll.VAData("KDP_US", AD3, "Total revenue", "va actuals", "CD", "IMPL","","")</f>
        <v>3391</v>
      </c>
      <c r="AE8" s="16" cm="1">
        <f t="array" ref="AE8">_xll.VAData("KDP_US", AE3, "Total revenue", "va actuals", "CD", "IMPL","","")</f>
        <v>12683</v>
      </c>
      <c r="AF8" s="17" cm="1">
        <f t="array" ref="AF8">_xll.VAData("KDP_US", AF3, "Total revenue", "va actuals", "CD", "IMPL","","")</f>
        <v>3078</v>
      </c>
      <c r="AG8" s="17" cm="1">
        <f t="array" ref="AG8">_xll.VAData("KDP_US", AG3, "Total revenue", "va actuals", "CD", "IMPL","","")</f>
        <v>3554</v>
      </c>
      <c r="AH8" s="17" cm="1">
        <f t="array" ref="AH8">_xll.VAData("KDP_US", AH3, "Total revenue", "va actuals", "CD", "IMPL","","")</f>
        <v>3622</v>
      </c>
      <c r="AI8" s="17" cm="1">
        <f t="array" ref="AI8">_xll.VAData("KDP_US", AI3, "Total revenue", "va actuals", "CD", "IMPL","","")</f>
        <v>3803</v>
      </c>
      <c r="AJ8" s="16" cm="1">
        <f t="array" ref="AJ8">_xll.VAData("KDP_US", AJ3, "Total revenue", "va actuals", "CD", "IMPL","","")</f>
        <v>14057</v>
      </c>
      <c r="AK8" s="17" cm="1">
        <f t="array" ref="AK8">_xll.VAData("KDP_US", AK3, "Total revenue", "va actuals", "CD", "IMPL","","")</f>
        <v>3353</v>
      </c>
      <c r="AL8" s="17" cm="1">
        <f t="array" ref="AL8">_xll.VAData("KDP_US", AL3, "Total revenue", "va actuals", "CD", "IMPL","","")</f>
        <v>3789</v>
      </c>
    </row>
    <row r="9" spans="2:41" x14ac:dyDescent="0.75">
      <c r="B9" s="5" t="s">
        <v>71</v>
      </c>
      <c r="C9" s="6" t="s">
        <v>65</v>
      </c>
      <c r="D9" s="12" cm="1">
        <f t="array" ref="D9">_xll.VAData("KDP_US", D$3, $C9, "VA Actuals", "CD", "IMPL","","")</f>
        <v>4361</v>
      </c>
      <c r="E9" s="14" cm="1">
        <f t="array" ref="E9">_xll.VAData("KDP_US", E$3, $C9, "VA Actuals", "CD", "IMPL","","")</f>
        <v>4544</v>
      </c>
      <c r="F9" s="14" cm="1">
        <f t="array" ref="F9">_xll.VAData("KDP_US", F$3, $C9, "VA Actuals", "CD", "IMPL","","")</f>
        <v>4696</v>
      </c>
      <c r="G9" s="15" cm="1">
        <f t="array" ref="G9">_xll.VAData("KDP_US", G$3, $C9, "VA Actuals", "CD", "IMPL","","")</f>
        <v>838.66666666666663</v>
      </c>
      <c r="H9" s="15" cm="1">
        <f t="array" ref="H9">_xll.VAData("KDP_US", H$3, $C9, "VA Actuals", "CD", "IMPL","","")</f>
        <v>983.33333333333337</v>
      </c>
      <c r="I9" s="15" cm="1">
        <f t="array" ref="I9">_xll.VAData("KDP_US", I$3, $C9, "VA Actuals", "CD", "IMPL","","")</f>
        <v>955.66666666666663</v>
      </c>
      <c r="J9" s="15" cm="1">
        <f t="array" ref="J9">_xll.VAData("KDP_US", J$3, $C9, "VA Actuals", "CD", "IMPL","","")</f>
        <v>896</v>
      </c>
      <c r="K9" s="14" cm="1">
        <f t="array" ref="K9">_xll.VAData("KDP_US", K$3, $C9, "VA Actuals", "CD", "IMPL","","")</f>
        <v>3673.3333333333335</v>
      </c>
      <c r="L9" s="15" cm="1">
        <f t="array" ref="L9">_xll.VAData("KDP_US", L$3, $C9, "VA Actuals", "CD", "IMPL","","")</f>
        <v>882</v>
      </c>
      <c r="M9" s="15" cm="1">
        <f t="array" ref="M9">_xll.VAData("KDP_US", M$3, $C9, "VA Actuals", "CD", "IMPL","","")</f>
        <v>1038.3333333333335</v>
      </c>
      <c r="N9" s="15">
        <f>1238+317</f>
        <v>1555</v>
      </c>
      <c r="O9" s="15" cm="1">
        <f t="array" ref="O9">_xll.VAData("KDP_US", O$3, $C9, "VA Actuals", "CD", "IMPL","","")</f>
        <v>902</v>
      </c>
      <c r="P9" s="14" cm="1">
        <f t="array" ref="P9">_xll.VAData("KDP_US", P$3, $C9, "VA Actuals", "CD", "IMPL","","")</f>
        <v>3823.3333333333335</v>
      </c>
      <c r="Q9" s="15" cm="1">
        <f t="array" ref="Q9">_xll.VAData("KDP_US", Q$3, $C9, "VA Actuals", "CD", "IMPL","","")</f>
        <v>845.33333333333337</v>
      </c>
      <c r="R9" s="15" cm="1">
        <f t="array" ref="R9">_xll.VAData("KDP_US", R$3, $C9, "VA Actuals", "CD", "IMPL","","")</f>
        <v>997.33333333333337</v>
      </c>
      <c r="S9" s="15" cm="1">
        <f t="array" ref="S9">_xll.VAData("KDP_US", S$3, $C9, "VA Actuals", "CD", "IMPL","","")</f>
        <v>991.33333333333337</v>
      </c>
      <c r="T9" s="15" cm="1">
        <f t="array" ref="T9">_xll.VAData("KDP_US", T$3, $C9, "VA Actuals", "CD", "IMPL","","")</f>
        <v>934</v>
      </c>
      <c r="U9" s="14" cm="1">
        <f t="array" ref="U9">_xll.VAData("KDP_US", U$3, $C9, "VA Actuals", "CD", "IMPL","","")</f>
        <v>3768</v>
      </c>
      <c r="V9" s="15" cm="1">
        <f t="array" ref="V9">_xll.VAData("KDP_US", V$3, $C9, "VA Actuals", "CD", "IMPL","","")</f>
        <v>1054.9625117150899</v>
      </c>
      <c r="W9" s="15" cm="1">
        <f t="array" ref="W9">_xll.VAData("KDP_US", W$3, $C9, "VA Actuals", "CD", "IMPL","","")</f>
        <v>1185.4306569343075</v>
      </c>
      <c r="X9" s="15" cm="1">
        <f t="array" ref="X9">_xll.VAData("KDP_US", X$3, $C9, "VA Actuals", "CD", "IMPL","","")</f>
        <v>1245.6983317886925</v>
      </c>
      <c r="Y9" s="15" cm="1">
        <f t="array" ref="Y9">_xll.VAData("KDP_US", Y$3, $C9, "VA Actuals", "CD", "IMPL","","")</f>
        <v>1144.9014693172001</v>
      </c>
      <c r="Z9" s="14" cm="1">
        <f t="array" ref="Z9">_xll.VAData("KDP_US", Z$3, $C9, "VA Actuals", "CD", "IMPL","","")</f>
        <v>4999.3398303496833</v>
      </c>
      <c r="AA9" s="15" cm="1">
        <f t="array" ref="AA9">_xll.VAData("KDP_US", AA$3, $C9, "VA Actuals", "CD", "IMPL","","")</f>
        <v>1579</v>
      </c>
      <c r="AB9" s="15" cm="1">
        <f t="array" ref="AB9">_xll.VAData("KDP_US", AB$3, $C9, "VA Actuals", "CD", "IMPL","","")</f>
        <v>1807</v>
      </c>
      <c r="AC9" s="15" cm="1">
        <f t="array" ref="AC9">_xll.VAData("KDP_US", AC$3, $C9, "VA Actuals", "CD", "IMPL","","")</f>
        <v>1874</v>
      </c>
      <c r="AD9" s="15" cm="1">
        <f t="array" ref="AD9">_xll.VAData("KDP_US", AD$3, $C9, "VA Actuals", "CD", "IMPL","","")</f>
        <v>1860</v>
      </c>
      <c r="AE9" s="14" cm="1">
        <f t="array" ref="AE9">_xll.VAData("KDP_US", AE$3, $C9, "VA Actuals", "CD", "IMPL","","")</f>
        <v>7120</v>
      </c>
      <c r="AF9" s="15" cm="1">
        <f t="array" ref="AF9">_xll.VAData("KDP_US", AF$3, $C9, "VA Actuals", "CD", "IMPL","","")</f>
        <v>1781</v>
      </c>
      <c r="AG9" s="15" cm="1">
        <f t="array" ref="AG9">_xll.VAData("KDP_US", AG$3, $C9, "VA Actuals", "CD", "IMPL","","")</f>
        <v>2084</v>
      </c>
      <c r="AH9" s="15" cm="1">
        <f t="array" ref="AH9">_xll.VAData("KDP_US", AH$3, $C9, "VA Actuals", "CD", "IMPL","","")</f>
        <v>2144</v>
      </c>
      <c r="AI9" s="15" cm="1">
        <f t="array" ref="AI9">_xll.VAData("KDP_US", AI$3, $C9, "VA Actuals", "CD", "IMPL","","")</f>
        <v>2074</v>
      </c>
      <c r="AJ9" s="14" cm="1">
        <f t="array" ref="AJ9">_xll.VAData("KDP_US", AJ$3, $C9, "VA Actuals", "CD", "IMPL","","")</f>
        <v>8083</v>
      </c>
      <c r="AK9" s="15" cm="1">
        <f t="array" ref="AK9">_xll.VAData("KDP_US", AK$3, $C9, "VA Actuals", "CD", "IMPL","","")</f>
        <v>2007</v>
      </c>
      <c r="AL9" s="15" cm="1">
        <f t="array" ref="AL9">_xll.VAData("KDP_US", AL$3, $C9, "VA Actuals", "CD", "IMPL","","")</f>
        <v>2330</v>
      </c>
    </row>
    <row r="10" spans="2:41" x14ac:dyDescent="0.75">
      <c r="B10" s="7" t="s">
        <v>73</v>
      </c>
      <c r="C10" s="6" t="s">
        <v>76</v>
      </c>
      <c r="D10" s="12" t="str" cm="1">
        <f t="array" ref="D10">_xll.VAData("KDP_US", D$3, $C10, "VA Actuals", "CD", "IMPL","","")</f>
        <v>-</v>
      </c>
      <c r="E10" s="18" t="str" cm="1">
        <f t="array" ref="E10">IFERROR(_xll.VAData("KDP_US", E$3, $C10, "VA Actuals", "CD", "IMPL","","")/100, "")</f>
        <v/>
      </c>
      <c r="F10" s="18" t="str" cm="1">
        <f t="array" ref="F10">IFERROR(_xll.VAData("KDP_US", F$3, $C10, "VA Actuals", "CD", "IMPL","","")/100, "")</f>
        <v/>
      </c>
      <c r="G10" s="19" cm="1">
        <f t="array" ref="G10">IFERROR(_xll.VAData("KDP_US", G$3, $C10, "VA Actuals", "CD", "IMPL","","")/100, "")</f>
        <v>0.02</v>
      </c>
      <c r="H10" s="19" cm="1">
        <f t="array" ref="H10">IFERROR(_xll.VAData("KDP_US", H$3, $C10, "VA Actuals", "CD", "IMPL","","")/100, "")</f>
        <v>0.02</v>
      </c>
      <c r="I10" s="19" cm="1">
        <f t="array" ref="I10">IFERROR(_xll.VAData("KDP_US", I$3, $C10, "VA Actuals", "CD", "IMPL","","")/100, "")</f>
        <v>0.01</v>
      </c>
      <c r="J10" s="19" cm="1">
        <f t="array" ref="J10">IFERROR(_xll.VAData("KDP_US", J$3, $C10, "VA Actuals", "CD", "IMPL","","")/100, "")</f>
        <v>2.7999999999999997E-2</v>
      </c>
      <c r="K10" s="18" cm="1">
        <f t="array" ref="K10">IFERROR(_xll.VAData("KDP_US", K$3, $C10, "VA Actuals", "CD", "IMPL","","")/100, "")</f>
        <v>0.02</v>
      </c>
      <c r="L10" s="19" cm="1">
        <f t="array" ref="L10">IFERROR(_xll.VAData("KDP_US", L$3, $C10, "VA Actuals", "CD", "IMPL","","")/100, "")</f>
        <v>0.02</v>
      </c>
      <c r="M10" s="19" cm="1">
        <f t="array" ref="M10">IFERROR(_xll.VAData("KDP_US", M$3, $C10, "VA Actuals", "CD", "IMPL","","")/100, "")</f>
        <v>-0.01</v>
      </c>
      <c r="N10" s="19" cm="1">
        <f t="array" ref="N10">IFERROR(_xll.VAData("KDP_US", N$3, $C10, "VA Actuals", "CD", "IMPL","","")/100, "")</f>
        <v>3.1E-2</v>
      </c>
      <c r="O10" s="19" cm="1">
        <f t="array" ref="O10">IFERROR(_xll.VAData("KDP_US", O$3, $C10, "VA Actuals", "CD", "IMPL","","")/100, "")</f>
        <v>2.5249999999999998E-2</v>
      </c>
      <c r="P10" s="18" cm="1">
        <f t="array" ref="P10">IFERROR(_xll.VAData("KDP_US", P$3, $C10, "VA Actuals", "CD", "IMPL","","")/100, "")</f>
        <v>0.03</v>
      </c>
      <c r="Q10" s="19" cm="1">
        <f t="array" ref="Q10">IFERROR(_xll.VAData("KDP_US", Q$3, $C10, "VA Actuals", "CD", "IMPL","","")/100, "")</f>
        <v>-1.4499999999999999E-2</v>
      </c>
      <c r="R10" s="19" cm="1">
        <f t="array" ref="R10">IFERROR(_xll.VAData("KDP_US", R$3, $C10, "VA Actuals", "CD", "IMPL","","")/100, "")</f>
        <v>-1.0500000000000001E-2</v>
      </c>
      <c r="S10" s="19" cm="1">
        <f t="array" ref="S10">IFERROR(_xll.VAData("KDP_US", S$3, $C10, "VA Actuals", "CD", "IMPL","","")/100, "")</f>
        <v>1.3500000000000002E-2</v>
      </c>
      <c r="T10" s="19" cm="1">
        <f t="array" ref="T10">IFERROR(_xll.VAData("KDP_US", T$3, $C10, "VA Actuals", "CD", "IMPL","","")/100, "")</f>
        <v>4.2000000000000003E-2</v>
      </c>
      <c r="U10" s="18" cm="1">
        <f t="array" ref="U10">IFERROR(_xll.VAData("KDP_US", U$3, $C10, "VA Actuals", "CD", "IMPL","","")/100, "")</f>
        <v>8.0000000000000002E-3</v>
      </c>
      <c r="V10" s="19" cm="1">
        <f t="array" ref="V10">IFERROR(_xll.VAData("KDP_US", V$3, $C10, "VA Actuals", "CD", "IMPL","","")/100, "")</f>
        <v>3.5000000000000003E-2</v>
      </c>
      <c r="W10" s="19" cm="1">
        <f t="array" ref="W10">IFERROR(_xll.VAData("KDP_US", W$3, $C10, "VA Actuals", "CD", "IMPL","","")/100, "")</f>
        <v>-2.4E-2</v>
      </c>
      <c r="X10" s="19" cm="1">
        <f t="array" ref="X10">IFERROR(_xll.VAData("KDP_US", X$3, $C10, "VA Actuals", "CD", "IMPL","","")/100, "")</f>
        <v>3.3000000000000002E-2</v>
      </c>
      <c r="Y10" s="19" cm="1">
        <f t="array" ref="Y10">IFERROR(_xll.VAData("KDP_US", Y$3, $C10, "VA Actuals", "CD", "IMPL","","")/100, "")</f>
        <v>8.0000000000000002E-3</v>
      </c>
      <c r="Z10" s="18" cm="1">
        <f t="array" ref="Z10">IFERROR(_xll.VAData("KDP_US", Z$3, $C10, "VA Actuals", "CD", "IMPL","","")/100, "")</f>
        <v>1.2E-2</v>
      </c>
      <c r="AA10" s="19" cm="1">
        <f t="array" ref="AA10">IFERROR(_xll.VAData("KDP_US", AA$3, $C10, "VA Actuals", "CD", "IMPL","","")/100, "")</f>
        <v>5.2999999999999999E-2</v>
      </c>
      <c r="AB10" s="19" cm="1">
        <f t="array" ref="AB10">IFERROR(_xll.VAData("KDP_US", AB$3, $C10, "VA Actuals", "CD", "IMPL","","")/100, "")</f>
        <v>6.7000000000000004E-2</v>
      </c>
      <c r="AC10" s="19" cm="1">
        <f t="array" ref="AC10">IFERROR(_xll.VAData("KDP_US", AC$3, $C10, "VA Actuals", "CD", "IMPL","","")/100, "")</f>
        <v>1.1000000000000001E-2</v>
      </c>
      <c r="AD10" s="19" cm="1">
        <f t="array" ref="AD10">IFERROR(_xll.VAData("KDP_US", AD$3, $C10, "VA Actuals", "CD", "IMPL","","")/100, "")</f>
        <v>8.199999999999999E-2</v>
      </c>
      <c r="AE10" s="18" cm="1">
        <f t="array" ref="AE10">IFERROR(_xll.VAData("KDP_US", AE$3, $C10, "VA Actuals", "CD", "IMPL","","")/100, "")</f>
        <v>5.2999999999999999E-2</v>
      </c>
      <c r="AF10" s="19" cm="1">
        <f t="array" ref="AF10">IFERROR(_xll.VAData("KDP_US", AF$3, $C10, "VA Actuals", "CD", "IMPL","","")/100, "")</f>
        <v>4.5999999999999999E-2</v>
      </c>
      <c r="AG10" s="19" cm="1">
        <f t="array" ref="AG10">IFERROR(_xll.VAData("KDP_US", AG$3, $C10, "VA Actuals", "CD", "IMPL","","")/100, "")</f>
        <v>2.3E-2</v>
      </c>
      <c r="AH10" s="19" cm="1">
        <f t="array" ref="AH10">IFERROR(_xll.VAData("KDP_US", AH$3, $C10, "VA Actuals", "CD", "IMPL","","")/100, "")</f>
        <v>1E-3</v>
      </c>
      <c r="AI10" s="19" cm="1">
        <f t="array" ref="AI10">IFERROR(_xll.VAData("KDP_US", AI$3, $C10, "VA Actuals", "CD", "IMPL","","")/100, "")</f>
        <v>-3.7999999999999999E-2</v>
      </c>
      <c r="AJ10" s="18" cm="1">
        <f t="array" ref="AJ10">IFERROR(_xll.VAData("KDP_US", AJ$3, $C10, "VA Actuals", "CD", "IMPL","","")/100, "")</f>
        <v>6.0000000000000001E-3</v>
      </c>
      <c r="AK10" s="19" cm="1">
        <f t="array" ref="AK10">IFERROR(_xll.VAData("KDP_US", AK$3, $C10, "VA Actuals", "CD", "IMPL","","")/100, "")</f>
        <v>2E-3</v>
      </c>
      <c r="AL10" s="19" cm="1">
        <f t="array" ref="AL10">IFERROR(_xll.VAData("KDP_US", AL$3, $C10, "VA Actuals", "CD", "IMPL","","")/100, "")</f>
        <v>-2E-3</v>
      </c>
    </row>
    <row r="11" spans="2:41" x14ac:dyDescent="0.75">
      <c r="B11" s="7" t="s">
        <v>74</v>
      </c>
      <c r="C11" s="6" t="s">
        <v>77</v>
      </c>
      <c r="D11" s="12" t="str" cm="1">
        <f t="array" ref="D11">_xll.VAData("KDP_US", D$3, $C11, "VA Actuals", "CD", "IMPL","","")</f>
        <v>-</v>
      </c>
      <c r="E11" s="18" t="str" cm="1">
        <f t="array" ref="E11">IFERROR(_xll.VAData("KDP_US", E$3, $C11, "VA Actuals", "CD", "IMPL","","")/100, "")</f>
        <v/>
      </c>
      <c r="F11" s="18" t="str" cm="1">
        <f t="array" ref="F11">IFERROR(_xll.VAData("KDP_US", F$3, $C11, "VA Actuals", "CD", "IMPL","","")/100, "")</f>
        <v/>
      </c>
      <c r="G11" s="19" cm="1">
        <f t="array" ref="G11">IFERROR(_xll.VAData("KDP_US", G$3, $C11, "VA Actuals", "CD", "IMPL","","")/100, "")</f>
        <v>0</v>
      </c>
      <c r="H11" s="19" cm="1">
        <f t="array" ref="H11">IFERROR(_xll.VAData("KDP_US", H$3, $C11, "VA Actuals", "CD", "IMPL","","")/100, "")</f>
        <v>2.1000000000000001E-2</v>
      </c>
      <c r="I11" s="19" cm="1">
        <f t="array" ref="I11">IFERROR(_xll.VAData("KDP_US", I$3, $C11, "VA Actuals", "CD", "IMPL","","")/100, "")</f>
        <v>2.4E-2</v>
      </c>
      <c r="J11" s="19" cm="1">
        <f t="array" ref="J11">IFERROR(_xll.VAData("KDP_US", J$3, $C11, "VA Actuals", "CD", "IMPL","","")/100, "")</f>
        <v>2.4E-2</v>
      </c>
      <c r="K11" s="18" cm="1">
        <f t="array" ref="K11">IFERROR(_xll.VAData("KDP_US", K$3, $C11, "VA Actuals", "CD", "IMPL","","")/100, "")</f>
        <v>1.8000000000000002E-2</v>
      </c>
      <c r="L11" s="19" cm="1">
        <f t="array" ref="L11">IFERROR(_xll.VAData("KDP_US", L$3, $C11, "VA Actuals", "CD", "IMPL","","")/100, "")</f>
        <v>0.01</v>
      </c>
      <c r="M11" s="19" cm="1">
        <f t="array" ref="M11">IFERROR(_xll.VAData("KDP_US", M$3, $C11, "VA Actuals", "CD", "IMPL","","")/100, "")</f>
        <v>0.04</v>
      </c>
      <c r="N11" s="19" cm="1">
        <f t="array" ref="N11">IFERROR(_xll.VAData("KDP_US", N$3, $C11, "VA Actuals", "CD", "IMPL","","")/100, "")</f>
        <v>1.1000000000000001E-2</v>
      </c>
      <c r="O11" s="19" cm="1">
        <f t="array" ref="O11">IFERROR(_xll.VAData("KDP_US", O$3, $C11, "VA Actuals", "CD", "IMPL","","")/100, "")</f>
        <v>2.1250000000000002E-2</v>
      </c>
      <c r="P11" s="18" cm="1">
        <f t="array" ref="P11">IFERROR(_xll.VAData("KDP_US", P$3, $C11, "VA Actuals", "CD", "IMPL","","")/100, "")</f>
        <v>1.55E-2</v>
      </c>
      <c r="Q11" s="19" cm="1">
        <f t="array" ref="Q11">IFERROR(_xll.VAData("KDP_US", Q$3, $C11, "VA Actuals", "CD", "IMPL","","")/100, "")</f>
        <v>4.7E-2</v>
      </c>
      <c r="R11" s="19" cm="1">
        <f t="array" ref="R11">IFERROR(_xll.VAData("KDP_US", R$3, $C11, "VA Actuals", "CD", "IMPL","","")/100, "")</f>
        <v>3.2000000000000001E-2</v>
      </c>
      <c r="S11" s="19" cm="1">
        <f t="array" ref="S11">IFERROR(_xll.VAData("KDP_US", S$3, $C11, "VA Actuals", "CD", "IMPL","","")/100, "")</f>
        <v>4.5999999999999999E-2</v>
      </c>
      <c r="T11" s="19" cm="1">
        <f t="array" ref="T11">IFERROR(_xll.VAData("KDP_US", T$3, $C11, "VA Actuals", "CD", "IMPL","","")/100, "")</f>
        <v>1.55E-2</v>
      </c>
      <c r="U11" s="18" cm="1">
        <f t="array" ref="U11">IFERROR(_xll.VAData("KDP_US", U$3, $C11, "VA Actuals", "CD", "IMPL","","")/100, "")</f>
        <v>3.5499999999999997E-2</v>
      </c>
      <c r="V11" s="19" cm="1">
        <f t="array" ref="V11">IFERROR(_xll.VAData("KDP_US", V$3, $C11, "VA Actuals", "CD", "IMPL","","")/100, "")</f>
        <v>1.3999999999999999E-2</v>
      </c>
      <c r="W11" s="19" cm="1">
        <f t="array" ref="W11">IFERROR(_xll.VAData("KDP_US", W$3, $C11, "VA Actuals", "CD", "IMPL","","")/100, "")</f>
        <v>-2.5499999999999998E-2</v>
      </c>
      <c r="X11" s="19" cm="1">
        <f t="array" ref="X11">IFERROR(_xll.VAData("KDP_US", X$3, $C11, "VA Actuals", "CD", "IMPL","","")/100, "")</f>
        <v>9.4999999999999998E-3</v>
      </c>
      <c r="Y11" s="19" cm="1">
        <f t="array" ref="Y11">IFERROR(_xll.VAData("KDP_US", Y$3, $C11, "VA Actuals", "CD", "IMPL","","")/100, "")</f>
        <v>2.5000000000000001E-3</v>
      </c>
      <c r="Z11" s="18" cm="1">
        <f t="array" ref="Z11">IFERROR(_xll.VAData("KDP_US", Z$3, $C11, "VA Actuals", "CD", "IMPL","","")/100, "")</f>
        <v>-5.0000000000000001E-4</v>
      </c>
      <c r="AA11" s="19" cm="1">
        <f t="array" ref="AA11">IFERROR(_xll.VAData("KDP_US", AA$3, $C11, "VA Actuals", "CD", "IMPL","","")/100, "")</f>
        <v>1.3999999999999999E-2</v>
      </c>
      <c r="AB11" s="19" cm="1">
        <f t="array" ref="AB11">IFERROR(_xll.VAData("KDP_US", AB$3, $C11, "VA Actuals", "CD", "IMPL","","")/100, "")</f>
        <v>2.8999999999999998E-2</v>
      </c>
      <c r="AC11" s="19" cm="1">
        <f t="array" ref="AC11">IFERROR(_xll.VAData("KDP_US", AC$3, $C11, "VA Actuals", "CD", "IMPL","","")/100, "")</f>
        <v>6.8000000000000005E-2</v>
      </c>
      <c r="AD11" s="19" cm="1">
        <f t="array" ref="AD11">IFERROR(_xll.VAData("KDP_US", AD$3, $C11, "VA Actuals", "CD", "IMPL","","")/100, "")</f>
        <v>7.4999999999999997E-2</v>
      </c>
      <c r="AE11" s="18" cm="1">
        <f t="array" ref="AE11">IFERROR(_xll.VAData("KDP_US", AE$3, $C11, "VA Actuals", "CD", "IMPL","","")/100, "")</f>
        <v>4.7E-2</v>
      </c>
      <c r="AF11" s="19" cm="1">
        <f t="array" ref="AF11">IFERROR(_xll.VAData("KDP_US", AF$3, $C11, "VA Actuals", "CD", "IMPL","","")/100, "")</f>
        <v>8.199999999999999E-2</v>
      </c>
      <c r="AG11" s="19" cm="1">
        <f t="array" ref="AG11">IFERROR(_xll.VAData("KDP_US", AG$3, $C11, "VA Actuals", "CD", "IMPL","","")/100, "")</f>
        <v>0.13</v>
      </c>
      <c r="AH11" s="19" cm="1">
        <f t="array" ref="AH11">IFERROR(_xll.VAData("KDP_US", AH$3, $C11, "VA Actuals", "CD", "IMPL","","")/100, "")</f>
        <v>0.14300000000000002</v>
      </c>
      <c r="AI11" s="19" cm="1">
        <f t="array" ref="AI11">IFERROR(_xll.VAData("KDP_US", AI$3, $C11, "VA Actuals", "CD", "IMPL","","")/100, "")</f>
        <v>0.153</v>
      </c>
      <c r="AJ11" s="18" cm="1">
        <f t="array" ref="AJ11">IFERROR(_xll.VAData("KDP_US", AJ$3, $C11, "VA Actuals", "CD", "IMPL","","")/100, "")</f>
        <v>0.129</v>
      </c>
      <c r="AK11" s="19" cm="1">
        <f t="array" ref="AK11">IFERROR(_xll.VAData("KDP_US", AK$3, $C11, "VA Actuals", "CD", "IMPL","","")/100, "")</f>
        <v>0.125</v>
      </c>
      <c r="AL11" s="19" cm="1">
        <f t="array" ref="AL11">IFERROR(_xll.VAData("KDP_US", AL$3, $C11, "VA Actuals", "CD", "IMPL","","")/100, "")</f>
        <v>0.12</v>
      </c>
    </row>
    <row r="12" spans="2:41" x14ac:dyDescent="0.75">
      <c r="B12" s="5" t="s">
        <v>72</v>
      </c>
      <c r="C12" s="6" t="s">
        <v>66</v>
      </c>
      <c r="D12" s="12" cm="1">
        <f t="array" ref="D12">_xll.VAData("KDP_US", D$3, $C12, "VA Actuals", "CD", "IMPL","","")</f>
        <v>4707.5</v>
      </c>
      <c r="E12" s="14" cm="1">
        <f t="array" ref="E12">_xll.VAData("KDP_US", E$3, $C12, "VA Actuals", "CD", "IMPL","","")</f>
        <v>4392.1000000000004</v>
      </c>
      <c r="F12" s="14" cm="1">
        <f t="array" ref="F12">_xll.VAData("KDP_US", F$3, $C12, "VA Actuals", "CD", "IMPL","","")</f>
        <v>4273.8</v>
      </c>
      <c r="G12" s="15" cm="1">
        <f t="array" ref="G12">_xll.VAData("KDP_US", G$3, $C12, "VA Actuals", "CD", "IMPL","","")</f>
        <v>1017.6666666666666</v>
      </c>
      <c r="H12" s="15" cm="1">
        <f t="array" ref="H12">_xll.VAData("KDP_US", H$3, $C12, "VA Actuals", "CD", "IMPL","","")</f>
        <v>1066.3333333333335</v>
      </c>
      <c r="I12" s="15" cm="1">
        <f t="array" ref="I12">_xll.VAData("KDP_US", I$3, $C12, "VA Actuals", "CD", "IMPL","","")</f>
        <v>1123.6666666666667</v>
      </c>
      <c r="J12" s="15" cm="1">
        <f t="array" ref="J12">_xll.VAData("KDP_US", J$3, $C12, "VA Actuals", "CD", "IMPL","","")</f>
        <v>1172</v>
      </c>
      <c r="K12" s="14" cm="1">
        <f t="array" ref="K12">_xll.VAData("KDP_US", K$3, $C12, "VA Actuals", "CD", "IMPL","","")</f>
        <v>4380.333333333333</v>
      </c>
      <c r="L12" s="15" cm="1">
        <f t="array" ref="L12">_xll.VAData("KDP_US", L$3, $C12, "VA Actuals", "CD", "IMPL","","")</f>
        <v>1024.6666666666665</v>
      </c>
      <c r="M12" s="15" cm="1">
        <f t="array" ref="M12">_xll.VAData("KDP_US", M$3, $C12, "VA Actuals", "CD", "IMPL","","")</f>
        <v>1092</v>
      </c>
      <c r="N12" s="15">
        <v>1053</v>
      </c>
      <c r="O12" s="15" cm="1">
        <f t="array" ref="O12">_xll.VAData("KDP_US", O$3, $C12, "VA Actuals", "CD", "IMPL","","")</f>
        <v>1168.3333333333333</v>
      </c>
      <c r="P12" s="14" cm="1">
        <f t="array" ref="P12">_xll.VAData("KDP_US", P$3, $C12, "VA Actuals", "CD", "IMPL","","")</f>
        <v>4432.333333333333</v>
      </c>
      <c r="Q12" s="15" cm="1">
        <f t="array" ref="Q12">_xll.VAData("KDP_US", Q$3, $C12, "VA Actuals", "CD", "IMPL","","")</f>
        <v>1017.3333333333334</v>
      </c>
      <c r="R12" s="15" cm="1">
        <f t="array" ref="R12">_xll.VAData("KDP_US", R$3, $C12, "VA Actuals", "CD", "IMPL","","")</f>
        <v>1097</v>
      </c>
      <c r="S12" s="15" cm="1">
        <f t="array" ref="S12">_xll.VAData("KDP_US", S$3, $C12, "VA Actuals", "CD", "IMPL","","")</f>
        <v>1145.6666666666667</v>
      </c>
      <c r="T12" s="15" cm="1">
        <f t="array" ref="T12">_xll.VAData("KDP_US", T$3, $C12, "VA Actuals", "CD", "IMPL","","")</f>
        <v>1210.3333333333333</v>
      </c>
      <c r="U12" s="14" cm="1">
        <f t="array" ref="U12">_xll.VAData("KDP_US", U$3, $C12, "VA Actuals", "CD", "IMPL","","")</f>
        <v>4470.333333333333</v>
      </c>
      <c r="V12" s="15" cm="1">
        <f t="array" ref="V12">_xll.VAData("KDP_US", V$3, $C12, "VA Actuals", "CD", "IMPL","","")</f>
        <v>1000.7331508003369</v>
      </c>
      <c r="W12" s="15" cm="1">
        <f t="array" ref="W12">_xll.VAData("KDP_US", W$3, $C12, "VA Actuals", "CD", "IMPL","","")</f>
        <v>1097.7504780114723</v>
      </c>
      <c r="X12" s="15" cm="1">
        <f t="array" ref="X12">_xll.VAData("KDP_US", X$3, $C12, "VA Actuals", "CD", "IMPL","","")</f>
        <v>1148.1417378917379</v>
      </c>
      <c r="Y12" s="15" cm="1">
        <f t="array" ref="Y12">_xll.VAData("KDP_US", Y$3, $C12, "VA Actuals", "CD", "IMPL","","")</f>
        <v>1272.7883064516125</v>
      </c>
      <c r="Z12" s="14" cm="1">
        <f t="array" ref="Z12">_xll.VAData("KDP_US", Z$3, $C12, "VA Actuals", "CD", "IMPL","","")</f>
        <v>4385.5874356992699</v>
      </c>
      <c r="AA12" s="15" cm="1">
        <f t="array" ref="AA12">_xll.VAData("KDP_US", AA$3, $C12, "VA Actuals", "CD", "IMPL","","")</f>
        <v>997</v>
      </c>
      <c r="AB12" s="15" cm="1">
        <f t="array" ref="AB12">_xll.VAData("KDP_US", AB$3, $C12, "VA Actuals", "CD", "IMPL","","")</f>
        <v>955</v>
      </c>
      <c r="AC12" s="15" cm="1">
        <f t="array" ref="AC12">_xll.VAData("KDP_US", AC$3, $C12, "VA Actuals", "CD", "IMPL","","")</f>
        <v>1002</v>
      </c>
      <c r="AD12" s="15" cm="1">
        <f t="array" ref="AD12">_xll.VAData("KDP_US", AD$3, $C12, "VA Actuals", "CD", "IMPL","","")</f>
        <v>1135</v>
      </c>
      <c r="AE12" s="14" cm="1">
        <f t="array" ref="AE12">_xll.VAData("KDP_US", AE$3, $C12, "VA Actuals", "CD", "IMPL","","")</f>
        <v>4089</v>
      </c>
      <c r="AF12" s="15" cm="1">
        <f t="array" ref="AF12">_xll.VAData("KDP_US", AF$3, $C12, "VA Actuals", "CD", "IMPL","","")</f>
        <v>943</v>
      </c>
      <c r="AG12" s="15" cm="1">
        <f t="array" ref="AG12">_xll.VAData("KDP_US", AG$3, $C12, "VA Actuals", "CD", "IMPL","","")</f>
        <v>1029</v>
      </c>
      <c r="AH12" s="15" cm="1">
        <f t="array" ref="AH12">_xll.VAData("KDP_US", AH$3, $C12, "VA Actuals", "CD", "IMPL","","")</f>
        <v>1045</v>
      </c>
      <c r="AI12" s="15" cm="1">
        <f t="array" ref="AI12">_xll.VAData("KDP_US", AI$3, $C12, "VA Actuals", "CD", "IMPL","","")</f>
        <v>1285</v>
      </c>
      <c r="AJ12" s="14" cm="1">
        <f t="array" ref="AJ12">_xll.VAData("KDP_US", AJ$3, $C12, "VA Actuals", "CD", "IMPL","","")</f>
        <v>4302</v>
      </c>
      <c r="AK12" s="15" cm="1">
        <f t="array" ref="AK12">_xll.VAData("KDP_US", AK$3, $C12, "VA Actuals", "CD", "IMPL","","")</f>
        <v>931</v>
      </c>
      <c r="AL12" s="15" cm="1">
        <f t="array" ref="AL12">_xll.VAData("KDP_US", AL$3, $C12, "VA Actuals", "CD", "IMPL","","")</f>
        <v>970</v>
      </c>
    </row>
    <row r="13" spans="2:41" x14ac:dyDescent="0.75">
      <c r="B13" s="7" t="s">
        <v>73</v>
      </c>
      <c r="C13" s="6" t="s">
        <v>78</v>
      </c>
      <c r="D13" s="12" t="str" cm="1">
        <f t="array" ref="D13">_xll.VAData("KDP_US", D$3, $C13, "VA Actuals", "CD", "IMPL","","")</f>
        <v>-</v>
      </c>
      <c r="E13" s="18" t="str" cm="1">
        <f t="array" ref="E13">IFERROR(_xll.VAData("KDP_US", E$3, $C13, "VA Actuals", "CD", "IMPL","","")/100, "")</f>
        <v/>
      </c>
      <c r="F13" s="18" t="str" cm="1">
        <f t="array" ref="F13">IFERROR(_xll.VAData("KDP_US", F$3, $C13, "VA Actuals", "CD", "IMPL","","")/100, "")</f>
        <v/>
      </c>
      <c r="G13" s="19" cm="1">
        <f t="array" ref="G13">IFERROR(_xll.VAData("KDP_US", G$3, $C13, "VA Actuals", "CD", "IMPL","","")/100, "")</f>
        <v>-0.02</v>
      </c>
      <c r="H13" s="19" cm="1">
        <f t="array" ref="H13">IFERROR(_xll.VAData("KDP_US", H$3, $C13, "VA Actuals", "CD", "IMPL","","")/100, "")</f>
        <v>0.04</v>
      </c>
      <c r="I13" s="19" cm="1">
        <f t="array" ref="I13">IFERROR(_xll.VAData("KDP_US", I$3, $C13, "VA Actuals", "CD", "IMPL","","")/100, "")</f>
        <v>-1.4999999999999999E-2</v>
      </c>
      <c r="J13" s="19" cm="1">
        <f t="array" ref="J13">IFERROR(_xll.VAData("KDP_US", J$3, $C13, "VA Actuals", "CD", "IMPL","","")/100, "")</f>
        <v>0</v>
      </c>
      <c r="K13" s="18" cm="1">
        <f t="array" ref="K13">IFERROR(_xll.VAData("KDP_US", K$3, $C13, "VA Actuals", "CD", "IMPL","","")/100, "")</f>
        <v>0</v>
      </c>
      <c r="L13" s="19" cm="1">
        <f t="array" ref="L13">IFERROR(_xll.VAData("KDP_US", L$3, $C13, "VA Actuals", "CD", "IMPL","","")/100, "")</f>
        <v>0.02</v>
      </c>
      <c r="M13" s="19" cm="1">
        <f t="array" ref="M13">IFERROR(_xll.VAData("KDP_US", M$3, $C13, "VA Actuals", "CD", "IMPL","","")/100, "")</f>
        <v>0</v>
      </c>
      <c r="N13" s="19" cm="1">
        <f t="array" ref="N13">IFERROR(_xll.VAData("KDP_US", N$3, $C13, "VA Actuals", "CD", "IMPL","","")/100, "")</f>
        <v>3.5000000000000003E-2</v>
      </c>
      <c r="O13" s="19" cm="1">
        <f t="array" ref="O13">IFERROR(_xll.VAData("KDP_US", O$3, $C13, "VA Actuals", "CD", "IMPL","","")/100, "")</f>
        <v>2.7999999999999997E-2</v>
      </c>
      <c r="P13" s="18" cm="1">
        <f t="array" ref="P13">IFERROR(_xll.VAData("KDP_US", P$3, $C13, "VA Actuals", "CD", "IMPL","","")/100, "")</f>
        <v>4.2999999999999997E-2</v>
      </c>
      <c r="Q13" s="19" cm="1">
        <f t="array" ref="Q13">IFERROR(_xll.VAData("KDP_US", Q$3, $C13, "VA Actuals", "CD", "IMPL","","")/100, "")</f>
        <v>2.0499999999999997E-2</v>
      </c>
      <c r="R13" s="19" cm="1">
        <f t="array" ref="R13">IFERROR(_xll.VAData("KDP_US", R$3, $C13, "VA Actuals", "CD", "IMPL","","")/100, "")</f>
        <v>3.6499999999999998E-2</v>
      </c>
      <c r="S13" s="19" cm="1">
        <f t="array" ref="S13">IFERROR(_xll.VAData("KDP_US", S$3, $C13, "VA Actuals", "CD", "IMPL","","")/100, "")</f>
        <v>1.7500000000000002E-2</v>
      </c>
      <c r="T13" s="19" cm="1">
        <f t="array" ref="T13">IFERROR(_xll.VAData("KDP_US", T$3, $C13, "VA Actuals", "CD", "IMPL","","")/100, "")</f>
        <v>5.7000000000000002E-2</v>
      </c>
      <c r="U13" s="18" cm="1">
        <f t="array" ref="U13">IFERROR(_xll.VAData("KDP_US", U$3, $C13, "VA Actuals", "CD", "IMPL","","")/100, "")</f>
        <v>3.3000000000000002E-2</v>
      </c>
      <c r="V13" s="19" cm="1">
        <f t="array" ref="V13">IFERROR(_xll.VAData("KDP_US", V$3, $C13, "VA Actuals", "CD", "IMPL","","")/100, "")</f>
        <v>6.2E-2</v>
      </c>
      <c r="W13" s="19" cm="1">
        <f t="array" ref="W13">IFERROR(_xll.VAData("KDP_US", W$3, $C13, "VA Actuals", "CD", "IMPL","","")/100, "")</f>
        <v>7.4499999999999997E-2</v>
      </c>
      <c r="X13" s="19" cm="1">
        <f t="array" ref="X13">IFERROR(_xll.VAData("KDP_US", X$3, $C13, "VA Actuals", "CD", "IMPL","","")/100, "")</f>
        <v>8.6999999999999994E-2</v>
      </c>
      <c r="Y13" s="19" cm="1">
        <f t="array" ref="Y13">IFERROR(_xll.VAData("KDP_US", Y$3, $C13, "VA Actuals", "CD", "IMPL","","")/100, "")</f>
        <v>8.1500000000000003E-2</v>
      </c>
      <c r="Z13" s="18" cm="1">
        <f t="array" ref="Z13">IFERROR(_xll.VAData("KDP_US", Z$3, $C13, "VA Actuals", "CD", "IMPL","","")/100, "")</f>
        <v>7.6999999999999999E-2</v>
      </c>
      <c r="AA13" s="19" cm="1">
        <f t="array" ref="AA13">IFERROR(_xll.VAData("KDP_US", AA$3, $C13, "VA Actuals", "CD", "IMPL","","")/100, "")</f>
        <v>0.21600000000000003</v>
      </c>
      <c r="AB13" s="19" cm="1">
        <f t="array" ref="AB13">IFERROR(_xll.VAData("KDP_US", AB$3, $C13, "VA Actuals", "CD", "IMPL","","")/100, "")</f>
        <v>4.0999999999999995E-2</v>
      </c>
      <c r="AC13" s="19" cm="1">
        <f t="array" ref="AC13">IFERROR(_xll.VAData("KDP_US", AC$3, $C13, "VA Actuals", "CD", "IMPL","","")/100, "")</f>
        <v>6.2E-2</v>
      </c>
      <c r="AD13" s="19" cm="1">
        <f t="array" ref="AD13">IFERROR(_xll.VAData("KDP_US", AD$3, $C13, "VA Actuals", "CD", "IMPL","","")/100, "")</f>
        <v>-3.0000000000000001E-3</v>
      </c>
      <c r="AE13" s="18" cm="1">
        <f t="array" ref="AE13">IFERROR(_xll.VAData("KDP_US", AE$3, $C13, "VA Actuals", "CD", "IMPL","","")/100, "")</f>
        <v>7.0999999999999994E-2</v>
      </c>
      <c r="AF13" s="19" cm="1">
        <f t="array" ref="AF13">IFERROR(_xll.VAData("KDP_US", AF$3, $C13, "VA Actuals", "CD", "IMPL","","")/100, "")</f>
        <v>-0.09</v>
      </c>
      <c r="AG13" s="19" cm="1">
        <f t="array" ref="AG13">IFERROR(_xll.VAData("KDP_US", AG$3, $C13, "VA Actuals", "CD", "IMPL","","")/100, "")</f>
        <v>2.4E-2</v>
      </c>
      <c r="AH13" s="19" cm="1">
        <f t="array" ref="AH13">IFERROR(_xll.VAData("KDP_US", AH$3, $C13, "VA Actuals", "CD", "IMPL","","")/100, "")</f>
        <v>-2.4E-2</v>
      </c>
      <c r="AI13" s="19" cm="1">
        <f t="array" ref="AI13">IFERROR(_xll.VAData("KDP_US", AI$3, $C13, "VA Actuals", "CD", "IMPL","","")/100, "")</f>
        <v>3.9E-2</v>
      </c>
      <c r="AJ13" s="18" cm="1">
        <f t="array" ref="AJ13">IFERROR(_xll.VAData("KDP_US", AJ$3, $C13, "VA Actuals", "CD", "IMPL","","")/100, "")</f>
        <v>-1.2E-2</v>
      </c>
      <c r="AK13" s="19" cm="1">
        <f t="array" ref="AK13">IFERROR(_xll.VAData("KDP_US", AK$3, $C13, "VA Actuals", "CD", "IMPL","","")/100, "")</f>
        <v>-6.6000000000000003E-2</v>
      </c>
      <c r="AL13" s="19" cm="1">
        <f t="array" ref="AL13">IFERROR(_xll.VAData("KDP_US", AL$3, $C13, "VA Actuals", "CD", "IMPL","","")/100, "")</f>
        <v>-7.2999999999999995E-2</v>
      </c>
    </row>
    <row r="14" spans="2:41" x14ac:dyDescent="0.75">
      <c r="B14" s="7" t="s">
        <v>74</v>
      </c>
      <c r="C14" s="6" t="s">
        <v>79</v>
      </c>
      <c r="D14" s="12" t="str" cm="1">
        <f t="array" ref="D14">_xll.VAData("KDP_US", D$3, $C14, "VA Actuals", "CD", "IMPL","","")</f>
        <v>-</v>
      </c>
      <c r="E14" s="18" t="str" cm="1">
        <f t="array" ref="E14">IFERROR(_xll.VAData("KDP_US", E$3, $C14, "VA Actuals", "CD", "IMPL","","")/100, "")</f>
        <v/>
      </c>
      <c r="F14" s="18" t="str" cm="1">
        <f t="array" ref="F14">IFERROR(_xll.VAData("KDP_US", F$3, $C14, "VA Actuals", "CD", "IMPL","","")/100, "")</f>
        <v/>
      </c>
      <c r="G14" s="19" cm="1">
        <f t="array" ref="G14">IFERROR(_xll.VAData("KDP_US", G$3, $C14, "VA Actuals", "CD", "IMPL","","")/100, "")</f>
        <v>0.03</v>
      </c>
      <c r="H14" s="19" cm="1">
        <f t="array" ref="H14">IFERROR(_xll.VAData("KDP_US", H$3, $C14, "VA Actuals", "CD", "IMPL","","")/100, "")</f>
        <v>1.3000000000000001E-2</v>
      </c>
      <c r="I14" s="19" cm="1">
        <f t="array" ref="I14">IFERROR(_xll.VAData("KDP_US", I$3, $C14, "VA Actuals", "CD", "IMPL","","")/100, "")</f>
        <v>0.03</v>
      </c>
      <c r="J14" s="19" cm="1">
        <f t="array" ref="J14">IFERROR(_xll.VAData("KDP_US", J$3, $C14, "VA Actuals", "CD", "IMPL","","")/100, "")</f>
        <v>0.03</v>
      </c>
      <c r="K14" s="18" cm="1">
        <f t="array" ref="K14">IFERROR(_xll.VAData("KDP_US", K$3, $C14, "VA Actuals", "CD", "IMPL","","")/100, "")</f>
        <v>2.4E-2</v>
      </c>
      <c r="L14" s="19" cm="1">
        <f t="array" ref="L14">IFERROR(_xll.VAData("KDP_US", L$3, $C14, "VA Actuals", "CD", "IMPL","","")/100, "")</f>
        <v>0.03</v>
      </c>
      <c r="M14" s="19" cm="1">
        <f t="array" ref="M14">IFERROR(_xll.VAData("KDP_US", M$3, $C14, "VA Actuals", "CD", "IMPL","","")/100, "")</f>
        <v>0.06</v>
      </c>
      <c r="N14" s="19" cm="1">
        <f t="array" ref="N14">IFERROR(_xll.VAData("KDP_US", N$3, $C14, "VA Actuals", "CD", "IMPL","","")/100, "")</f>
        <v>-6.5000000000000006E-3</v>
      </c>
      <c r="O14" s="19" cm="1">
        <f t="array" ref="O14">IFERROR(_xll.VAData("KDP_US", O$3, $C14, "VA Actuals", "CD", "IMPL","","")/100, "")</f>
        <v>-6.5000000000000006E-3</v>
      </c>
      <c r="P14" s="18" cm="1">
        <f t="array" ref="P14">IFERROR(_xll.VAData("KDP_US", P$3, $C14, "VA Actuals", "CD", "IMPL","","")/100, "")</f>
        <v>-1.8000000000000002E-2</v>
      </c>
      <c r="Q14" s="19" cm="1">
        <f t="array" ref="Q14">IFERROR(_xll.VAData("KDP_US", Q$3, $C14, "VA Actuals", "CD", "IMPL","","")/100, "")</f>
        <v>-1E-3</v>
      </c>
      <c r="R14" s="19" cm="1">
        <f t="array" ref="R14">IFERROR(_xll.VAData("KDP_US", R$3, $C14, "VA Actuals", "CD", "IMPL","","")/100, "")</f>
        <v>-7.4999999999999997E-3</v>
      </c>
      <c r="S14" s="19" cm="1">
        <f t="array" ref="S14">IFERROR(_xll.VAData("KDP_US", S$3, $C14, "VA Actuals", "CD", "IMPL","","")/100, "")</f>
        <v>4.0000000000000001E-3</v>
      </c>
      <c r="T14" s="19" cm="1">
        <f t="array" ref="T14">IFERROR(_xll.VAData("KDP_US", T$3, $C14, "VA Actuals", "CD", "IMPL","","")/100, "")</f>
        <v>-1.6500000000000001E-2</v>
      </c>
      <c r="U14" s="18" cm="1">
        <f t="array" ref="U14">IFERROR(_xll.VAData("KDP_US", U$3, $C14, "VA Actuals", "CD", "IMPL","","")/100, "")</f>
        <v>-5.5000000000000005E-3</v>
      </c>
      <c r="V14" s="19" cm="1">
        <f t="array" ref="V14">IFERROR(_xll.VAData("KDP_US", V$3, $C14, "VA Actuals", "CD", "IMPL","","")/100, "")</f>
        <v>-1.4499999999999999E-2</v>
      </c>
      <c r="W14" s="19" cm="1">
        <f t="array" ref="W14">IFERROR(_xll.VAData("KDP_US", W$3, $C14, "VA Actuals", "CD", "IMPL","","")/100, "")</f>
        <v>-1.3999999999999999E-2</v>
      </c>
      <c r="X14" s="19" cm="1">
        <f t="array" ref="X14">IFERROR(_xll.VAData("KDP_US", X$3, $C14, "VA Actuals", "CD", "IMPL","","")/100, "")</f>
        <v>-1.7500000000000002E-2</v>
      </c>
      <c r="Y14" s="19" cm="1">
        <f t="array" ref="Y14">IFERROR(_xll.VAData("KDP_US", Y$3, $C14, "VA Actuals", "CD", "IMPL","","")/100, "")</f>
        <v>2.5000000000000001E-3</v>
      </c>
      <c r="Z14" s="18" cm="1">
        <f t="array" ref="Z14">IFERROR(_xll.VAData("KDP_US", Z$3, $C14, "VA Actuals", "CD", "IMPL","","")/100, "")</f>
        <v>-1.0500000000000001E-2</v>
      </c>
      <c r="AA14" s="19" cm="1">
        <f t="array" ref="AA14">IFERROR(_xll.VAData("KDP_US", AA$3, $C14, "VA Actuals", "CD", "IMPL","","")/100, "")</f>
        <v>-2.8999999999999998E-2</v>
      </c>
      <c r="AB14" s="19" cm="1">
        <f t="array" ref="AB14">IFERROR(_xll.VAData("KDP_US", AB$3, $C14, "VA Actuals", "CD", "IMPL","","")/100, "")</f>
        <v>5.0000000000000001E-3</v>
      </c>
      <c r="AC14" s="19" cm="1">
        <f t="array" ref="AC14">IFERROR(_xll.VAData("KDP_US", AC$3, $C14, "VA Actuals", "CD", "IMPL","","")/100, "")</f>
        <v>-9.0000000000000011E-3</v>
      </c>
      <c r="AD14" s="19" cm="1">
        <f t="array" ref="AD14">IFERROR(_xll.VAData("KDP_US", AD$3, $C14, "VA Actuals", "CD", "IMPL","","")/100, "")</f>
        <v>-5.0000000000000001E-3</v>
      </c>
      <c r="AE14" s="18" cm="1">
        <f t="array" ref="AE14">IFERROR(_xll.VAData("KDP_US", AE$3, $C14, "VA Actuals", "CD", "IMPL","","")/100, "")</f>
        <v>-9.0000000000000011E-3</v>
      </c>
      <c r="AF14" s="19" cm="1">
        <f t="array" ref="AF14">IFERROR(_xll.VAData("KDP_US", AF$3, $C14, "VA Actuals", "CD", "IMPL","","")/100, "")</f>
        <v>3.6000000000000004E-2</v>
      </c>
      <c r="AG14" s="19" cm="1">
        <f t="array" ref="AG14">IFERROR(_xll.VAData("KDP_US", AG$3, $C14, "VA Actuals", "CD", "IMPL","","")/100, "")</f>
        <v>5.2999999999999999E-2</v>
      </c>
      <c r="AH14" s="19" cm="1">
        <f t="array" ref="AH14">IFERROR(_xll.VAData("KDP_US", AH$3, $C14, "VA Actuals", "CD", "IMPL","","")/100, "")</f>
        <v>6.7000000000000004E-2</v>
      </c>
      <c r="AI14" s="19" cm="1">
        <f t="array" ref="AI14">IFERROR(_xll.VAData("KDP_US", AI$3, $C14, "VA Actuals", "CD", "IMPL","","")/100, "")</f>
        <v>9.3000000000000013E-2</v>
      </c>
      <c r="AJ14" s="18" cm="1">
        <f t="array" ref="AJ14">IFERROR(_xll.VAData("KDP_US", AJ$3, $C14, "VA Actuals", "CD", "IMPL","","")/100, "")</f>
        <v>6.4000000000000001E-2</v>
      </c>
      <c r="AK14" s="19" cm="1">
        <f t="array" ref="AK14">IFERROR(_xll.VAData("KDP_US", AK$3, $C14, "VA Actuals", "CD", "IMPL","","")/100, "")</f>
        <v>5.2999999999999999E-2</v>
      </c>
      <c r="AL14" s="19" cm="1">
        <f t="array" ref="AL14">IFERROR(_xll.VAData("KDP_US", AL$3, $C14, "VA Actuals", "CD", "IMPL","","")/100, "")</f>
        <v>1.6E-2</v>
      </c>
    </row>
    <row r="15" spans="2:41" x14ac:dyDescent="0.75">
      <c r="B15" s="5" t="s">
        <v>64</v>
      </c>
      <c r="C15" s="6" t="s">
        <v>67</v>
      </c>
      <c r="D15" s="12" cm="1">
        <f t="array" ref="D15">_xll.VAData("KDP_US", D$3, $C15, "VA Actuals", "CD", "IMPL","","")</f>
        <v>532</v>
      </c>
      <c r="E15" s="14" cm="1">
        <f t="array" ref="E15">_xll.VAData("KDP_US", E$3, $C15, "VA Actuals", "CD", "IMPL","","")</f>
        <v>497</v>
      </c>
      <c r="F15" s="14" cm="1">
        <f t="array" ref="F15">_xll.VAData("KDP_US", F$3, $C15, "VA Actuals", "CD", "IMPL","","")</f>
        <v>460</v>
      </c>
      <c r="G15" s="15" cm="1">
        <f t="array" ref="G15">_xll.VAData("KDP_US", G$3, $C15, "VA Actuals", "CD", "IMPL","","")</f>
        <v>99</v>
      </c>
      <c r="H15" s="15" cm="1">
        <f t="array" ref="H15">_xll.VAData("KDP_US", H$3, $C15, "VA Actuals", "CD", "IMPL","","")</f>
        <v>138</v>
      </c>
      <c r="I15" s="15" cm="1">
        <f t="array" ref="I15">_xll.VAData("KDP_US", I$3, $C15, "VA Actuals", "CD", "IMPL","","")</f>
        <v>133</v>
      </c>
      <c r="J15" s="15" cm="1">
        <f t="array" ref="J15">_xll.VAData("KDP_US", J$3, $C15, "VA Actuals", "CD", "IMPL","","")</f>
        <v>118</v>
      </c>
      <c r="K15" s="14" cm="1">
        <f t="array" ref="K15">_xll.VAData("KDP_US", K$3, $C15, "VA Actuals", "CD", "IMPL","","")</f>
        <v>487.5</v>
      </c>
      <c r="L15" s="15" cm="1">
        <f t="array" ref="L15">_xll.VAData("KDP_US", L$3, $C15, "VA Actuals", "CD", "IMPL","","")</f>
        <v>113</v>
      </c>
      <c r="M15" s="15" cm="1">
        <f t="array" ref="M15">_xll.VAData("KDP_US", M$3, $C15, "VA Actuals", "CD", "IMPL","","")</f>
        <v>136.5</v>
      </c>
      <c r="N15" s="15">
        <v>124</v>
      </c>
      <c r="O15" s="15" cm="1">
        <f t="array" ref="O15">_xll.VAData("KDP_US", O$3, $C15, "VA Actuals", "CD", "IMPL","","")</f>
        <v>120</v>
      </c>
      <c r="P15" s="14" cm="1">
        <f t="array" ref="P15">_xll.VAData("KDP_US", P$3, $C15, "VA Actuals", "CD", "IMPL","","")</f>
        <v>505.5</v>
      </c>
      <c r="Q15" s="15" cm="1">
        <f t="array" ref="Q15">_xll.VAData("KDP_US", Q$3, $C15, "VA Actuals", "CD", "IMPL","","")</f>
        <v>116</v>
      </c>
      <c r="R15" s="15" cm="1">
        <f t="array" ref="R15">_xll.VAData("KDP_US", R$3, $C15, "VA Actuals", "CD", "IMPL","","")</f>
        <v>141</v>
      </c>
      <c r="S15" s="15" cm="1">
        <f t="array" ref="S15">_xll.VAData("KDP_US", S$3, $C15, "VA Actuals", "CD", "IMPL","","")</f>
        <v>138</v>
      </c>
      <c r="T15" s="15" cm="1">
        <f t="array" ref="T15">_xll.VAData("KDP_US", T$3, $C15, "VA Actuals", "CD", "IMPL","","")</f>
        <v>133</v>
      </c>
      <c r="U15" s="14" cm="1">
        <f t="array" ref="U15">_xll.VAData("KDP_US", U$3, $C15, "VA Actuals", "CD", "IMPL","","")</f>
        <v>528</v>
      </c>
      <c r="V15" s="15" cm="1">
        <f t="array" ref="V15">_xll.VAData("KDP_US", V$3, $C15, "VA Actuals", "CD", "IMPL","","")</f>
        <v>175.63402216232402</v>
      </c>
      <c r="W15" s="15" cm="1">
        <f t="array" ref="W15">_xll.VAData("KDP_US", W$3, $C15, "VA Actuals", "CD", "IMPL","","")</f>
        <v>180.96153846153834</v>
      </c>
      <c r="X15" s="15" cm="1">
        <f t="array" ref="X15">_xll.VAData("KDP_US", X$3, $C15, "VA Actuals", "CD", "IMPL","","")</f>
        <v>192.99115044247799</v>
      </c>
      <c r="Y15" s="15" cm="1">
        <f t="array" ref="Y15">_xll.VAData("KDP_US", Y$3, $C15, "VA Actuals", "CD", "IMPL","","")</f>
        <v>214.03115264797501</v>
      </c>
      <c r="Z15" s="14" cm="1">
        <f t="array" ref="Z15">_xll.VAData("KDP_US", Z$3, $C15, "VA Actuals", "CD", "IMPL","","")</f>
        <v>897.09720060263999</v>
      </c>
      <c r="AA15" s="15" cm="1">
        <f t="array" ref="AA15">_xll.VAData("KDP_US", AA$3, $C15, "VA Actuals", "CD", "IMPL","","")</f>
        <v>326</v>
      </c>
      <c r="AB15" s="15" cm="1">
        <f t="array" ref="AB15">_xll.VAData("KDP_US", AB$3, $C15, "VA Actuals", "CD", "IMPL","","")</f>
        <v>378</v>
      </c>
      <c r="AC15" s="15" cm="1">
        <f t="array" ref="AC15">_xll.VAData("KDP_US", AC$3, $C15, "VA Actuals", "CD", "IMPL","","")</f>
        <v>374</v>
      </c>
      <c r="AD15" s="15" cm="1">
        <f t="array" ref="AD15">_xll.VAData("KDP_US", AD$3, $C15, "VA Actuals", "CD", "IMPL","","")</f>
        <v>396</v>
      </c>
      <c r="AE15" s="14" cm="1">
        <f t="array" ref="AE15">_xll.VAData("KDP_US", AE$3, $C15, "VA Actuals", "CD", "IMPL","","")</f>
        <v>1474</v>
      </c>
      <c r="AF15" s="15" cm="1">
        <f t="array" ref="AF15">_xll.VAData("KDP_US", AF$3, $C15, "VA Actuals", "CD", "IMPL","","")</f>
        <v>354</v>
      </c>
      <c r="AG15" s="15" cm="1">
        <f t="array" ref="AG15">_xll.VAData("KDP_US", AG$3, $C15, "VA Actuals", "CD", "IMPL","","")</f>
        <v>441</v>
      </c>
      <c r="AH15" s="15" cm="1">
        <f t="array" ref="AH15">_xll.VAData("KDP_US", AH$3, $C15, "VA Actuals", "CD", "IMPL","","")</f>
        <v>433</v>
      </c>
      <c r="AI15" s="15" cm="1">
        <f t="array" ref="AI15">_xll.VAData("KDP_US", AI$3, $C15, "VA Actuals", "CD", "IMPL","","")</f>
        <v>444</v>
      </c>
      <c r="AJ15" s="14" cm="1">
        <f t="array" ref="AJ15">_xll.VAData("KDP_US", AJ$3, $C15, "VA Actuals", "CD", "IMPL","","")</f>
        <v>1672</v>
      </c>
      <c r="AK15" s="15" cm="1">
        <f t="array" ref="AK15">_xll.VAData("KDP_US", AK$3, $C15, "VA Actuals", "CD", "IMPL","","")</f>
        <v>415</v>
      </c>
      <c r="AL15" s="15" cm="1">
        <f t="array" ref="AL15">_xll.VAData("KDP_US", AL$3, $C15, "VA Actuals", "CD", "IMPL","","")</f>
        <v>489</v>
      </c>
    </row>
    <row r="16" spans="2:41" x14ac:dyDescent="0.75">
      <c r="B16" s="7" t="s">
        <v>73</v>
      </c>
      <c r="C16" s="6" t="s">
        <v>80</v>
      </c>
      <c r="D16" s="12" t="str" cm="1">
        <f t="array" ref="D16">_xll.VAData("KDP_US", D$3, $C16, "VA Actuals", "CD", "IMPL","","")</f>
        <v>-</v>
      </c>
      <c r="E16" s="18" t="str" cm="1">
        <f t="array" ref="E16">IFERROR(_xll.VAData("KDP_US", E$3, $C16, "VA Actuals", "CD", "IMPL","","")/100, "")</f>
        <v/>
      </c>
      <c r="F16" s="18" t="str" cm="1">
        <f t="array" ref="F16">IFERROR(_xll.VAData("KDP_US", F$3, $C16, "VA Actuals", "CD", "IMPL","","")/100, "")</f>
        <v/>
      </c>
      <c r="G16" s="19" cm="1">
        <f t="array" ref="G16">IFERROR(_xll.VAData("KDP_US", G$3, $C16, "VA Actuals", "CD", "IMPL","","")/100, "")</f>
        <v>0.03</v>
      </c>
      <c r="H16" s="19" cm="1">
        <f t="array" ref="H16">IFERROR(_xll.VAData("KDP_US", H$3, $C16, "VA Actuals", "CD", "IMPL","","")/100, "")</f>
        <v>0.06</v>
      </c>
      <c r="I16" s="19" cm="1">
        <f t="array" ref="I16">IFERROR(_xll.VAData("KDP_US", I$3, $C16, "VA Actuals", "CD", "IMPL","","")/100, "")</f>
        <v>0.04</v>
      </c>
      <c r="J16" s="19" cm="1">
        <f t="array" ref="J16">IFERROR(_xll.VAData("KDP_US", J$3, $C16, "VA Actuals", "CD", "IMPL","","")/100, "")</f>
        <v>-1.4999999999999999E-2</v>
      </c>
      <c r="K16" s="18" cm="1">
        <f t="array" ref="K16">IFERROR(_xll.VAData("KDP_US", K$3, $C16, "VA Actuals", "CD", "IMPL","","")/100, "")</f>
        <v>0.03</v>
      </c>
      <c r="L16" s="19" cm="1">
        <f t="array" ref="L16">IFERROR(_xll.VAData("KDP_US", L$3, $C16, "VA Actuals", "CD", "IMPL","","")/100, "")</f>
        <v>0</v>
      </c>
      <c r="M16" s="19" cm="1">
        <f t="array" ref="M16">IFERROR(_xll.VAData("KDP_US", M$3, $C16, "VA Actuals", "CD", "IMPL","","")/100, "")</f>
        <v>-0.01</v>
      </c>
      <c r="N16" s="19" cm="1">
        <f t="array" ref="N16">IFERROR(_xll.VAData("KDP_US", N$3, $C16, "VA Actuals", "CD", "IMPL","","")/100, "")</f>
        <v>-6.0000000000000001E-3</v>
      </c>
      <c r="O16" s="19" cm="1">
        <f t="array" ref="O16">IFERROR(_xll.VAData("KDP_US", O$3, $C16, "VA Actuals", "CD", "IMPL","","")/100, "")</f>
        <v>0</v>
      </c>
      <c r="P16" s="18" cm="1">
        <f t="array" ref="P16">IFERROR(_xll.VAData("KDP_US", P$3, $C16, "VA Actuals", "CD", "IMPL","","")/100, "")</f>
        <v>6.9999999999999993E-3</v>
      </c>
      <c r="Q16" s="19" cm="1">
        <f t="array" ref="Q16">IFERROR(_xll.VAData("KDP_US", Q$3, $C16, "VA Actuals", "CD", "IMPL","","")/100, "")</f>
        <v>0.01</v>
      </c>
      <c r="R16" s="19" cm="1">
        <f t="array" ref="R16">IFERROR(_xll.VAData("KDP_US", R$3, $C16, "VA Actuals", "CD", "IMPL","","")/100, "")</f>
        <v>-1.3999999999999999E-2</v>
      </c>
      <c r="S16" s="19" cm="1">
        <f t="array" ref="S16">IFERROR(_xll.VAData("KDP_US", S$3, $C16, "VA Actuals", "CD", "IMPL","","")/100, "")</f>
        <v>-1.4999999999999999E-2</v>
      </c>
      <c r="T16" s="19" cm="1">
        <f t="array" ref="T16">IFERROR(_xll.VAData("KDP_US", T$3, $C16, "VA Actuals", "CD", "IMPL","","")/100, "")</f>
        <v>2.6000000000000002E-2</v>
      </c>
      <c r="U16" s="18" cm="1">
        <f t="array" ref="U16">IFERROR(_xll.VAData("KDP_US", U$3, $C16, "VA Actuals", "CD", "IMPL","","")/100, "")</f>
        <v>8.7499999999999991E-4</v>
      </c>
      <c r="V16" s="19" cm="1">
        <f t="array" ref="V16">IFERROR(_xll.VAData("KDP_US", V$3, $C16, "VA Actuals", "CD", "IMPL","","")/100, "")</f>
        <v>-6.9999999999999993E-3</v>
      </c>
      <c r="W16" s="19" cm="1">
        <f t="array" ref="W16">IFERROR(_xll.VAData("KDP_US", W$3, $C16, "VA Actuals", "CD", "IMPL","","")/100, "")</f>
        <v>-4.7E-2</v>
      </c>
      <c r="X16" s="19" cm="1">
        <f t="array" ref="X16">IFERROR(_xll.VAData("KDP_US", X$3, $C16, "VA Actuals", "CD", "IMPL","","")/100, "")</f>
        <v>3.4999999999999996E-3</v>
      </c>
      <c r="Y16" s="19" cm="1">
        <f t="array" ref="Y16">IFERROR(_xll.VAData("KDP_US", Y$3, $C16, "VA Actuals", "CD", "IMPL","","")/100, "")</f>
        <v>2.3E-2</v>
      </c>
      <c r="Z16" s="18" cm="1">
        <f t="array" ref="Z16">IFERROR(_xll.VAData("KDP_US", Z$3, $C16, "VA Actuals", "CD", "IMPL","","")/100, "")</f>
        <v>-0.02</v>
      </c>
      <c r="AA16" s="19" cm="1">
        <f t="array" ref="AA16">IFERROR(_xll.VAData("KDP_US", AA$3, $C16, "VA Actuals", "CD", "IMPL","","")/100, "")</f>
        <v>2.4E-2</v>
      </c>
      <c r="AB16" s="19" cm="1">
        <f t="array" ref="AB16">IFERROR(_xll.VAData("KDP_US", AB$3, $C16, "VA Actuals", "CD", "IMPL","","")/100, "")</f>
        <v>8.5000000000000006E-2</v>
      </c>
      <c r="AC16" s="19" cm="1">
        <f t="array" ref="AC16">IFERROR(_xll.VAData("KDP_US", AC$3, $C16, "VA Actuals", "CD", "IMPL","","")/100, "")</f>
        <v>4.8000000000000001E-2</v>
      </c>
      <c r="AD16" s="19" cm="1">
        <f t="array" ref="AD16">IFERROR(_xll.VAData("KDP_US", AD$3, $C16, "VA Actuals", "CD", "IMPL","","")/100, "")</f>
        <v>2.2000000000000002E-2</v>
      </c>
      <c r="AE16" s="18" cm="1">
        <f t="array" ref="AE16">IFERROR(_xll.VAData("KDP_US", AE$3, $C16, "VA Actuals", "CD", "IMPL","","")/100, "")</f>
        <v>4.4000000000000004E-2</v>
      </c>
      <c r="AF16" s="19" cm="1">
        <f t="array" ref="AF16">IFERROR(_xll.VAData("KDP_US", AF$3, $C16, "VA Actuals", "CD", "IMPL","","")/100, "")</f>
        <v>3.7000000000000005E-2</v>
      </c>
      <c r="AG16" s="19" cm="1">
        <f t="array" ref="AG16">IFERROR(_xll.VAData("KDP_US", AG$3, $C16, "VA Actuals", "CD", "IMPL","","")/100, "")</f>
        <v>8.6999999999999994E-2</v>
      </c>
      <c r="AH16" s="19" cm="1">
        <f t="array" ref="AH16">IFERROR(_xll.VAData("KDP_US", AH$3, $C16, "VA Actuals", "CD", "IMPL","","")/100, "")</f>
        <v>3.2000000000000001E-2</v>
      </c>
      <c r="AI16" s="19" cm="1">
        <f t="array" ref="AI16">IFERROR(_xll.VAData("KDP_US", AI$3, $C16, "VA Actuals", "CD", "IMPL","","")/100, "")</f>
        <v>0.01</v>
      </c>
      <c r="AJ16" s="18" cm="1">
        <f t="array" ref="AJ16">IFERROR(_xll.VAData("KDP_US", AJ$3, $C16, "VA Actuals", "CD", "IMPL","","")/100, "")</f>
        <v>4.0999999999999995E-2</v>
      </c>
      <c r="AK16" s="19" cm="1">
        <f t="array" ref="AK16">IFERROR(_xll.VAData("KDP_US", AK$3, $C16, "VA Actuals", "CD", "IMPL","","")/100, "")</f>
        <v>7.6999999999999999E-2</v>
      </c>
      <c r="AL16" s="19" cm="1">
        <f t="array" ref="AL16">IFERROR(_xll.VAData("KDP_US", AL$3, $C16, "VA Actuals", "CD", "IMPL","","")/100, "")</f>
        <v>9.0000000000000011E-3</v>
      </c>
    </row>
    <row r="17" spans="2:38" x14ac:dyDescent="0.75">
      <c r="B17" s="7" t="s">
        <v>74</v>
      </c>
      <c r="C17" s="6" t="s">
        <v>81</v>
      </c>
      <c r="D17" s="12" t="str" cm="1">
        <f t="array" ref="D17">_xll.VAData("KDP_US", D$3, $C17, "VA Actuals", "CD", "IMPL","","")</f>
        <v>-</v>
      </c>
      <c r="E17" s="18" t="str" cm="1">
        <f t="array" ref="E17">IFERROR(_xll.VAData("KDP_US", E$3, $C17, "VA Actuals", "CD", "IMPL","","")/100, "")</f>
        <v/>
      </c>
      <c r="F17" s="18" t="str" cm="1">
        <f t="array" ref="F17">IFERROR(_xll.VAData("KDP_US", F$3, $C17, "VA Actuals", "CD", "IMPL","","")/100, "")</f>
        <v/>
      </c>
      <c r="G17" s="19" cm="1">
        <f t="array" ref="G17">IFERROR(_xll.VAData("KDP_US", G$3, $C17, "VA Actuals", "CD", "IMPL","","")/100, "")</f>
        <v>0.03</v>
      </c>
      <c r="H17" s="19" cm="1">
        <f t="array" ref="H17">IFERROR(_xll.VAData("KDP_US", H$3, $C17, "VA Actuals", "CD", "IMPL","","")/100, "")</f>
        <v>4.5999999999999999E-2</v>
      </c>
      <c r="I17" s="19" cm="1">
        <f t="array" ref="I17">IFERROR(_xll.VAData("KDP_US", I$3, $C17, "VA Actuals", "CD", "IMPL","","")/100, "")</f>
        <v>0.109</v>
      </c>
      <c r="J17" s="19" cm="1">
        <f t="array" ref="J17">IFERROR(_xll.VAData("KDP_US", J$3, $C17, "VA Actuals", "CD", "IMPL","","")/100, "")</f>
        <v>0.12</v>
      </c>
      <c r="K17" s="18" cm="1">
        <f t="array" ref="K17">IFERROR(_xll.VAData("KDP_US", K$3, $C17, "VA Actuals", "CD", "IMPL","","")/100, "")</f>
        <v>7.5999999999999998E-2</v>
      </c>
      <c r="L17" s="19" cm="1">
        <f t="array" ref="L17">IFERROR(_xll.VAData("KDP_US", L$3, $C17, "VA Actuals", "CD", "IMPL","","")/100, "")</f>
        <v>0</v>
      </c>
      <c r="M17" s="19" cm="1">
        <f t="array" ref="M17">IFERROR(_xll.VAData("KDP_US", M$3, $C17, "VA Actuals", "CD", "IMPL","","")/100, "")</f>
        <v>0.03</v>
      </c>
      <c r="N17" s="19" cm="1">
        <f t="array" ref="N17">IFERROR(_xll.VAData("KDP_US", N$3, $C17, "VA Actuals", "CD", "IMPL","","")/100, "")</f>
        <v>8.6999999999999994E-2</v>
      </c>
      <c r="O17" s="19" cm="1">
        <f t="array" ref="O17">IFERROR(_xll.VAData("KDP_US", O$3, $C17, "VA Actuals", "CD", "IMPL","","")/100, "")</f>
        <v>5.7999999999999996E-2</v>
      </c>
      <c r="P17" s="18" cm="1">
        <f t="array" ref="P17">IFERROR(_xll.VAData("KDP_US", P$3, $C17, "VA Actuals", "CD", "IMPL","","")/100, "")</f>
        <v>5.5E-2</v>
      </c>
      <c r="Q17" s="19" cm="1">
        <f t="array" ref="Q17">IFERROR(_xll.VAData("KDP_US", Q$3, $C17, "VA Actuals", "CD", "IMPL","","")/100, "")</f>
        <v>4.0999999999999995E-2</v>
      </c>
      <c r="R17" s="19" cm="1">
        <f t="array" ref="R17">IFERROR(_xll.VAData("KDP_US", R$3, $C17, "VA Actuals", "CD", "IMPL","","")/100, "")</f>
        <v>3.7999999999999999E-2</v>
      </c>
      <c r="S17" s="19" cm="1">
        <f t="array" ref="S17">IFERROR(_xll.VAData("KDP_US", S$3, $C17, "VA Actuals", "CD", "IMPL","","")/100, "")</f>
        <v>5.2000000000000005E-2</v>
      </c>
      <c r="T17" s="19" cm="1">
        <f t="array" ref="T17">IFERROR(_xll.VAData("KDP_US", T$3, $C17, "VA Actuals", "CD", "IMPL","","")/100, "")</f>
        <v>4.9000000000000002E-2</v>
      </c>
      <c r="U17" s="18" cm="1">
        <f t="array" ref="U17">IFERROR(_xll.VAData("KDP_US", U$3, $C17, "VA Actuals", "CD", "IMPL","","")/100, "")</f>
        <v>4.4999999999999998E-2</v>
      </c>
      <c r="V17" s="19" cm="1">
        <f t="array" ref="V17">IFERROR(_xll.VAData("KDP_US", V$3, $C17, "VA Actuals", "CD", "IMPL","","")/100, "")</f>
        <v>5.9000000000000004E-2</v>
      </c>
      <c r="W17" s="19" cm="1">
        <f t="array" ref="W17">IFERROR(_xll.VAData("KDP_US", W$3, $C17, "VA Actuals", "CD", "IMPL","","")/100, "")</f>
        <v>6.0999999999999999E-2</v>
      </c>
      <c r="X17" s="19" cm="1">
        <f t="array" ref="X17">IFERROR(_xll.VAData("KDP_US", X$3, $C17, "VA Actuals", "CD", "IMPL","","")/100, "")</f>
        <v>3.4999999999999996E-3</v>
      </c>
      <c r="Y17" s="19" cm="1">
        <f t="array" ref="Y17">IFERROR(_xll.VAData("KDP_US", Y$3, $C17, "VA Actuals", "CD", "IMPL","","")/100, "")</f>
        <v>0.06</v>
      </c>
      <c r="Z17" s="18" cm="1">
        <f t="array" ref="Z17">IFERROR(_xll.VAData("KDP_US", Z$3, $C17, "VA Actuals", "CD", "IMPL","","")/100, "")</f>
        <v>5.7999999999999996E-2</v>
      </c>
      <c r="AA17" s="19" cm="1">
        <f t="array" ref="AA17">IFERROR(_xll.VAData("KDP_US", AA$3, $C17, "VA Actuals", "CD", "IMPL","","")/100, "")</f>
        <v>6.0999999999999999E-2</v>
      </c>
      <c r="AB17" s="19" cm="1">
        <f t="array" ref="AB17">IFERROR(_xll.VAData("KDP_US", AB$3, $C17, "VA Actuals", "CD", "IMPL","","")/100, "")</f>
        <v>1.7000000000000001E-2</v>
      </c>
      <c r="AC17" s="19" cm="1">
        <f t="array" ref="AC17">IFERROR(_xll.VAData("KDP_US", AC$3, $C17, "VA Actuals", "CD", "IMPL","","")/100, "")</f>
        <v>3.0000000000000001E-3</v>
      </c>
      <c r="AD17" s="19" cm="1">
        <f t="array" ref="AD17">IFERROR(_xll.VAData("KDP_US", AD$3, $C17, "VA Actuals", "CD", "IMPL","","")/100, "")</f>
        <v>3.2000000000000001E-2</v>
      </c>
      <c r="AE17" s="18" cm="1">
        <f t="array" ref="AE17">IFERROR(_xll.VAData("KDP_US", AE$3, $C17, "VA Actuals", "CD", "IMPL","","")/100, "")</f>
        <v>2.7999999999999997E-2</v>
      </c>
      <c r="AF17" s="19" cm="1">
        <f t="array" ref="AF17">IFERROR(_xll.VAData("KDP_US", AF$3, $C17, "VA Actuals", "CD", "IMPL","","")/100, "")</f>
        <v>5.2000000000000005E-2</v>
      </c>
      <c r="AG17" s="19" cm="1">
        <f t="array" ref="AG17">IFERROR(_xll.VAData("KDP_US", AG$3, $C17, "VA Actuals", "CD", "IMPL","","")/100, "")</f>
        <v>0.10300000000000001</v>
      </c>
      <c r="AH17" s="19" cm="1">
        <f t="array" ref="AH17">IFERROR(_xll.VAData("KDP_US", AH$3, $C17, "VA Actuals", "CD", "IMPL","","")/100, "")</f>
        <v>0.155</v>
      </c>
      <c r="AI17" s="19" cm="1">
        <f t="array" ref="AI17">IFERROR(_xll.VAData("KDP_US", AI$3, $C17, "VA Actuals", "CD", "IMPL","","")/100, "")</f>
        <v>0.13600000000000001</v>
      </c>
      <c r="AJ17" s="18" cm="1">
        <f t="array" ref="AJ17">IFERROR(_xll.VAData("KDP_US", AJ$3, $C17, "VA Actuals", "CD", "IMPL","","")/100, "")</f>
        <v>0.114</v>
      </c>
      <c r="AK17" s="19" cm="1">
        <f t="array" ref="AK17">IFERROR(_xll.VAData("KDP_US", AK$3, $C17, "VA Actuals", "CD", "IMPL","","")/100, "")</f>
        <v>0.09</v>
      </c>
      <c r="AL17" s="19" cm="1">
        <f t="array" ref="AL17">IFERROR(_xll.VAData("KDP_US", AL$3, $C17, "VA Actuals", "CD", "IMPL","","")/100, "")</f>
        <v>6.0999999999999999E-2</v>
      </c>
    </row>
    <row r="18" spans="2:38" x14ac:dyDescent="0.75">
      <c r="B18" s="7" t="s">
        <v>75</v>
      </c>
      <c r="C18" s="6" t="s">
        <v>82</v>
      </c>
      <c r="D18" s="12" t="str" cm="1">
        <f t="array" ref="D18">_xll.VAData("KDP_US", D$3, $C18, "VA Actuals", "CD", "IMPL","","")</f>
        <v>-</v>
      </c>
      <c r="E18" s="18" t="str" cm="1">
        <f t="array" ref="E18">IFERROR(_xll.VAData("KDP_US", E$3, $C18, "VA Actuals", "CD", "IMPL","","")/100, "")</f>
        <v/>
      </c>
      <c r="F18" s="18" t="str" cm="1">
        <f t="array" ref="F18">IFERROR(_xll.VAData("KDP_US", F$3, $C18, "VA Actuals", "CD", "IMPL","","")/100, "")</f>
        <v/>
      </c>
      <c r="G18" s="19" cm="1">
        <f t="array" ref="G18">IFERROR(_xll.VAData("KDP_US", G$3, $C18, "VA Actuals", "CD", "IMPL","","")/100, "")</f>
        <v>-0.11</v>
      </c>
      <c r="H18" s="19" cm="1">
        <f t="array" ref="H18">IFERROR(_xll.VAData("KDP_US", H$3, $C18, "VA Actuals", "CD", "IMPL","","")/100, "")</f>
        <v>-0.02</v>
      </c>
      <c r="I18" s="19" cm="1">
        <f t="array" ref="I18">IFERROR(_xll.VAData("KDP_US", I$3, $C18, "VA Actuals", "CD", "IMPL","","")/100, "")</f>
        <v>-0.05</v>
      </c>
      <c r="J18" s="19" cm="1">
        <f t="array" ref="J18">IFERROR(_xll.VAData("KDP_US", J$3, $C18, "VA Actuals", "CD", "IMPL","","")/100, "")</f>
        <v>-0.01</v>
      </c>
      <c r="K18" s="18" cm="1">
        <f t="array" ref="K18">IFERROR(_xll.VAData("KDP_US", K$3, $C18, "VA Actuals", "CD", "IMPL","","")/100, "")</f>
        <v>-4.8000000000000001E-2</v>
      </c>
      <c r="L18" s="19" cm="1">
        <f t="array" ref="L18">IFERROR(_xll.VAData("KDP_US", L$3, $C18, "VA Actuals", "CD", "IMPL","","")/100, "")</f>
        <v>7.0707070707070704E-2</v>
      </c>
      <c r="M18" s="19" cm="1">
        <f t="array" ref="M18">IFERROR(_xll.VAData("KDP_US", M$3, $C18, "VA Actuals", "CD", "IMPL","","")/100, "")</f>
        <v>-4.3478260869565195E-2</v>
      </c>
      <c r="N18" s="19" cm="1">
        <f t="array" ref="N18">IFERROR(_xll.VAData("KDP_US", N$3, $C18, "VA Actuals", "CD", "IMPL","","")/100, "")</f>
        <v>-5.7999999999999996E-2</v>
      </c>
      <c r="O18" s="19" cm="1">
        <f t="array" ref="O18">IFERROR(_xll.VAData("KDP_US", O$3, $C18, "VA Actuals", "CD", "IMPL","","")/100, "")</f>
        <v>-4.2000000000000003E-2</v>
      </c>
      <c r="P18" s="18" cm="1">
        <f t="array" ref="P18">IFERROR(_xll.VAData("KDP_US", P$3, $C18, "VA Actuals", "CD", "IMPL","","")/100, "")</f>
        <v>-2.3E-2</v>
      </c>
      <c r="Q18" s="19" cm="1">
        <f t="array" ref="Q18">IFERROR(_xll.VAData("KDP_US", Q$3, $C18, "VA Actuals", "CD", "IMPL","","")/100, "")</f>
        <v>-2.4E-2</v>
      </c>
      <c r="R18" s="19" cm="1">
        <f t="array" ref="R18">IFERROR(_xll.VAData("KDP_US", R$3, $C18, "VA Actuals", "CD", "IMPL","","")/100, "")</f>
        <v>1.3000000000000001E-2</v>
      </c>
      <c r="S18" s="19" cm="1">
        <f t="array" ref="S18">IFERROR(_xll.VAData("KDP_US", S$3, $C18, "VA Actuals", "CD", "IMPL","","")/100, "")</f>
        <v>-2.2000000000000002E-2</v>
      </c>
      <c r="T18" s="19" cm="1">
        <f t="array" ref="T18">IFERROR(_xll.VAData("KDP_US", T$3, $C18, "VA Actuals", "CD", "IMPL","","")/100, "")</f>
        <v>3.3000000000000002E-2</v>
      </c>
      <c r="U18" s="18" cm="1">
        <f t="array" ref="U18">IFERROR(_xll.VAData("KDP_US", U$3, $C18, "VA Actuals", "CD", "IMPL","","")/100, "")</f>
        <v>-2E-3</v>
      </c>
      <c r="V18" s="19" cm="1">
        <f t="array" ref="V18">IFERROR(_xll.VAData("KDP_US", V$3, $C18, "VA Actuals", "CD", "IMPL","","")/100, "")</f>
        <v>-4.2999999999999997E-2</v>
      </c>
      <c r="W18" s="19" cm="1">
        <f t="array" ref="W18">IFERROR(_xll.VAData("KDP_US", W$3, $C18, "VA Actuals", "CD", "IMPL","","")/100, "")</f>
        <v>-0.16300000000000001</v>
      </c>
      <c r="X18" s="19" cm="1">
        <f t="array" ref="X18">IFERROR(_xll.VAData("KDP_US", X$3, $C18, "VA Actuals", "CD", "IMPL","","")/100, "")</f>
        <v>-0.10800000000000001</v>
      </c>
      <c r="Y18" s="19" cm="1">
        <f t="array" ref="Y18">IFERROR(_xll.VAData("KDP_US", Y$3, $C18, "VA Actuals", "CD", "IMPL","","")/100, "")</f>
        <v>-0.06</v>
      </c>
      <c r="Z18" s="18" cm="1">
        <f t="array" ref="Z18">IFERROR(_xll.VAData("KDP_US", Z$3, $C18, "VA Actuals", "CD", "IMPL","","")/100, "")</f>
        <v>-9.6999999999999989E-2</v>
      </c>
      <c r="AA18" s="19" cm="1">
        <f t="array" ref="AA18">IFERROR(_xll.VAData("KDP_US", AA$3, $C18, "VA Actuals", "CD", "IMPL","","")/100, "")</f>
        <v>2.7999999999999997E-2</v>
      </c>
      <c r="AB18" s="19" cm="1">
        <f t="array" ref="AB18">IFERROR(_xll.VAData("KDP_US", AB$3, $C18, "VA Actuals", "CD", "IMPL","","")/100, "")</f>
        <v>0.14599999999999999</v>
      </c>
      <c r="AC18" s="19" cm="1">
        <f t="array" ref="AC18">IFERROR(_xll.VAData("KDP_US", AC$3, $C18, "VA Actuals", "CD", "IMPL","","")/100, "")</f>
        <v>7.9000000000000001E-2</v>
      </c>
      <c r="AD18" s="19" cm="1">
        <f t="array" ref="AD18">IFERROR(_xll.VAData("KDP_US", AD$3, $C18, "VA Actuals", "CD", "IMPL","","")/100, "")</f>
        <v>1.6E-2</v>
      </c>
      <c r="AE18" s="18" cm="1">
        <f t="array" ref="AE18">IFERROR(_xll.VAData("KDP_US", AE$3, $C18, "VA Actuals", "CD", "IMPL","","")/100, "")</f>
        <v>6.4000000000000001E-2</v>
      </c>
      <c r="AF18" s="19" cm="1">
        <f t="array" ref="AF18">IFERROR(_xll.VAData("KDP_US", AF$3, $C18, "VA Actuals", "CD", "IMPL","","")/100, "")</f>
        <v>-3.0000000000000001E-3</v>
      </c>
      <c r="AG18" s="19" cm="1">
        <f t="array" ref="AG18">IFERROR(_xll.VAData("KDP_US", AG$3, $C18, "VA Actuals", "CD", "IMPL","","")/100, "")</f>
        <v>-2.3E-2</v>
      </c>
      <c r="AH18" s="19" cm="1">
        <f t="array" ref="AH18">IFERROR(_xll.VAData("KDP_US", AH$3, $C18, "VA Actuals", "CD", "IMPL","","")/100, "")</f>
        <v>-2.8999999999999998E-2</v>
      </c>
      <c r="AI18" s="19" cm="1">
        <f t="array" ref="AI18">IFERROR(_xll.VAData("KDP_US", AI$3, $C18, "VA Actuals", "CD", "IMPL","","")/100, "")</f>
        <v>-2.5000000000000001E-2</v>
      </c>
      <c r="AJ18" s="18" cm="1">
        <f t="array" ref="AJ18">IFERROR(_xll.VAData("KDP_US", AJ$3, $C18, "VA Actuals", "CD", "IMPL","","")/100, "")</f>
        <v>-2.1000000000000001E-2</v>
      </c>
      <c r="AK18" s="19" cm="1">
        <f t="array" ref="AK18">IFERROR(_xll.VAData("KDP_US", AK$3, $C18, "VA Actuals", "CD", "IMPL","","")/100, "")</f>
        <v>5.0000000000000001E-3</v>
      </c>
      <c r="AL18" s="19" cm="1">
        <f t="array" ref="AL18">IFERROR(_xll.VAData("KDP_US", AL$3, $C18, "VA Actuals", "CD", "IMPL","","")/100, "")</f>
        <v>3.9E-2</v>
      </c>
    </row>
    <row r="19" spans="2:38" x14ac:dyDescent="0.75">
      <c r="B19" s="6" t="s">
        <v>288</v>
      </c>
      <c r="C19" s="6"/>
      <c r="D19" s="12"/>
      <c r="E19" s="18"/>
      <c r="F19" s="18"/>
      <c r="G19" s="19"/>
      <c r="H19" s="19"/>
      <c r="I19" s="19"/>
      <c r="J19" s="19"/>
      <c r="K19" s="18"/>
      <c r="L19" s="19"/>
      <c r="M19" s="19"/>
      <c r="N19" s="19"/>
      <c r="O19" s="19"/>
      <c r="P19" s="18"/>
      <c r="Q19" s="19"/>
      <c r="R19" s="19"/>
      <c r="S19" s="19"/>
      <c r="T19" s="19"/>
      <c r="U19" s="18"/>
      <c r="V19" s="19"/>
      <c r="W19" s="19"/>
      <c r="X19" s="19"/>
      <c r="Y19" s="19"/>
      <c r="Z19" s="18"/>
      <c r="AA19" s="19"/>
      <c r="AB19" s="19"/>
      <c r="AC19" s="19"/>
      <c r="AD19" s="19"/>
      <c r="AE19" s="18"/>
      <c r="AF19" s="19"/>
      <c r="AG19" s="19"/>
      <c r="AH19" s="19"/>
      <c r="AI19" s="19"/>
      <c r="AJ19" s="18"/>
      <c r="AK19" s="19"/>
      <c r="AL19" s="19"/>
    </row>
    <row r="20" spans="2:38" x14ac:dyDescent="0.75">
      <c r="B20" s="4" t="s">
        <v>279</v>
      </c>
      <c r="C20" s="6"/>
      <c r="D20" s="12"/>
      <c r="E20" s="18"/>
      <c r="F20" s="18"/>
      <c r="G20" s="19"/>
      <c r="H20" s="19"/>
      <c r="I20" s="19"/>
      <c r="J20" s="19"/>
      <c r="K20" s="18"/>
      <c r="L20" s="19"/>
      <c r="M20" s="19"/>
      <c r="N20" s="19"/>
      <c r="O20" s="19"/>
      <c r="P20" s="18"/>
      <c r="Q20" s="19"/>
      <c r="R20" s="19"/>
      <c r="S20" s="19"/>
      <c r="T20" s="19"/>
      <c r="U20" s="18"/>
      <c r="V20" s="19"/>
      <c r="W20" s="19"/>
      <c r="X20" s="19"/>
      <c r="Y20" s="19"/>
      <c r="Z20" s="18"/>
      <c r="AA20" s="19"/>
      <c r="AB20" s="19"/>
      <c r="AC20" s="19"/>
      <c r="AD20" s="19"/>
      <c r="AE20" s="18"/>
      <c r="AF20" s="19"/>
      <c r="AG20" s="19"/>
      <c r="AH20" s="19"/>
      <c r="AI20" s="19"/>
      <c r="AJ20" s="18"/>
      <c r="AK20" s="19"/>
      <c r="AL20" s="19"/>
    </row>
    <row r="21" spans="2:38" x14ac:dyDescent="0.75">
      <c r="B21" s="7" t="s">
        <v>280</v>
      </c>
      <c r="C21" s="6"/>
      <c r="D21" s="14"/>
      <c r="E21" s="28"/>
      <c r="F21" s="28"/>
      <c r="G21" s="29"/>
      <c r="H21" s="29"/>
      <c r="I21" s="29"/>
      <c r="J21" s="29"/>
      <c r="K21" s="28"/>
      <c r="L21" s="29"/>
      <c r="M21" s="29"/>
      <c r="N21" s="29">
        <f>SUM(N22:N23)</f>
        <v>1467</v>
      </c>
      <c r="O21" s="29"/>
      <c r="P21" s="28">
        <f>SUM(P22:P23)</f>
        <v>2899</v>
      </c>
      <c r="Q21" s="29">
        <f>SUM(Q22:Q23)</f>
        <v>1323</v>
      </c>
      <c r="R21" s="29">
        <f>SUM(R22:R23)</f>
        <v>1568</v>
      </c>
      <c r="S21" s="29">
        <f>SUM(S22:S23)</f>
        <v>1559</v>
      </c>
      <c r="T21" s="29">
        <f>U21-SUM(Q21:S21)</f>
        <v>1484</v>
      </c>
      <c r="U21" s="28">
        <f>SUM(U22:U23)</f>
        <v>5934</v>
      </c>
      <c r="V21" s="29">
        <f>SUM(V22:V23)</f>
        <v>1429</v>
      </c>
      <c r="W21" s="29">
        <f>SUM(W22:W23)</f>
        <v>1589</v>
      </c>
      <c r="X21" s="29">
        <f>SUM(X22:X23)</f>
        <v>1696</v>
      </c>
      <c r="Y21" s="29">
        <f t="shared" ref="Y21:Y24" si="0">Z21-SUM(V21:X21)</f>
        <v>1566</v>
      </c>
      <c r="Z21" s="28">
        <f>SUM(Z22:Z23)</f>
        <v>6280</v>
      </c>
      <c r="AA21" s="29">
        <f>SUM(AA22:AA23)</f>
        <v>1531</v>
      </c>
      <c r="AB21" s="29">
        <f>SUM(AB22:AB23)</f>
        <v>1756</v>
      </c>
      <c r="AC21" s="29">
        <f>SUM(AC22:AC23)</f>
        <v>1821</v>
      </c>
      <c r="AD21" s="29">
        <f>AE21-SUM(AA21:AC21)</f>
        <v>1808</v>
      </c>
      <c r="AE21" s="28">
        <f>SUM(AE22:AE23)</f>
        <v>6916</v>
      </c>
      <c r="AF21" s="54">
        <v>1753</v>
      </c>
      <c r="AG21" s="54">
        <v>2052</v>
      </c>
      <c r="AH21" s="29">
        <f>SUM(AH22:AH23)</f>
        <v>2108</v>
      </c>
      <c r="AI21" s="29">
        <f>AJ21-SUM(AF21:AH21)</f>
        <v>1987</v>
      </c>
      <c r="AJ21" s="28">
        <f>SUM(AJ22:AJ23)</f>
        <v>7900</v>
      </c>
      <c r="AK21" s="54">
        <v>1970</v>
      </c>
      <c r="AL21" s="54">
        <v>2296</v>
      </c>
    </row>
    <row r="22" spans="2:38" x14ac:dyDescent="0.75">
      <c r="B22" s="39" t="s">
        <v>286</v>
      </c>
      <c r="C22" s="6"/>
      <c r="D22" s="14"/>
      <c r="E22" s="28"/>
      <c r="F22" s="28"/>
      <c r="G22" s="29"/>
      <c r="H22" s="29"/>
      <c r="I22" s="29"/>
      <c r="J22" s="29"/>
      <c r="K22" s="28"/>
      <c r="L22" s="29"/>
      <c r="M22" s="29"/>
      <c r="N22" s="54">
        <f>505+311</f>
        <v>816</v>
      </c>
      <c r="O22" s="29"/>
      <c r="P22" s="55">
        <f>1084+656</f>
        <v>1740</v>
      </c>
      <c r="Q22" s="54">
        <f>522+298</f>
        <v>820</v>
      </c>
      <c r="R22" s="54">
        <f>541+362</f>
        <v>903</v>
      </c>
      <c r="S22" s="54">
        <f>577+352</f>
        <v>929</v>
      </c>
      <c r="T22" s="29">
        <f t="shared" ref="T22:T24" si="1">U22-SUM(Q22:S22)</f>
        <v>952</v>
      </c>
      <c r="U22" s="55">
        <f>2219+1385</f>
        <v>3604</v>
      </c>
      <c r="V22" s="54">
        <f>563+302</f>
        <v>865</v>
      </c>
      <c r="W22" s="54">
        <f>621+304</f>
        <v>925</v>
      </c>
      <c r="X22" s="54">
        <f>658+345</f>
        <v>1003</v>
      </c>
      <c r="Y22" s="29">
        <f t="shared" si="0"/>
        <v>1000</v>
      </c>
      <c r="Z22" s="55">
        <f>2489+1304</f>
        <v>3793</v>
      </c>
      <c r="AA22" s="54">
        <f>624+323</f>
        <v>947</v>
      </c>
      <c r="AB22" s="54">
        <f>711+368</f>
        <v>1079</v>
      </c>
      <c r="AC22" s="54">
        <f>728+386</f>
        <v>1114</v>
      </c>
      <c r="AD22" s="29">
        <f>AE22-SUM(AA22:AC22)</f>
        <v>1148</v>
      </c>
      <c r="AE22" s="55">
        <f>2825+1463</f>
        <v>4288</v>
      </c>
      <c r="AF22" s="54"/>
      <c r="AG22" s="54"/>
      <c r="AH22" s="54">
        <f>825+452</f>
        <v>1277</v>
      </c>
      <c r="AI22" s="29"/>
      <c r="AJ22" s="55">
        <f>3193+1700</f>
        <v>4893</v>
      </c>
      <c r="AK22" s="54"/>
      <c r="AL22" s="54"/>
    </row>
    <row r="23" spans="2:38" x14ac:dyDescent="0.75">
      <c r="B23" s="39" t="s">
        <v>287</v>
      </c>
      <c r="C23" s="6"/>
      <c r="D23" s="14"/>
      <c r="E23" s="28"/>
      <c r="F23" s="28"/>
      <c r="G23" s="29"/>
      <c r="H23" s="29"/>
      <c r="I23" s="29"/>
      <c r="J23" s="29"/>
      <c r="K23" s="28"/>
      <c r="L23" s="29"/>
      <c r="M23" s="29"/>
      <c r="N23" s="54">
        <f>649+2</f>
        <v>651</v>
      </c>
      <c r="O23" s="29"/>
      <c r="P23" s="55">
        <f>1153+6</f>
        <v>1159</v>
      </c>
      <c r="Q23" s="54">
        <f>501+2</f>
        <v>503</v>
      </c>
      <c r="R23" s="54">
        <f>662+3</f>
        <v>665</v>
      </c>
      <c r="S23" s="54">
        <f>626+4</f>
        <v>630</v>
      </c>
      <c r="T23" s="29">
        <f t="shared" si="1"/>
        <v>532</v>
      </c>
      <c r="U23" s="55">
        <f>2317+13</f>
        <v>2330</v>
      </c>
      <c r="V23" s="54">
        <f>562+2</f>
        <v>564</v>
      </c>
      <c r="W23" s="54">
        <f>662+2</f>
        <v>664</v>
      </c>
      <c r="X23" s="54">
        <f>689+4</f>
        <v>693</v>
      </c>
      <c r="Y23" s="29">
        <f t="shared" si="0"/>
        <v>566</v>
      </c>
      <c r="Z23" s="55">
        <f>2477+10</f>
        <v>2487</v>
      </c>
      <c r="AA23" s="54">
        <f>581+3</f>
        <v>584</v>
      </c>
      <c r="AB23" s="54">
        <f>673+4</f>
        <v>677</v>
      </c>
      <c r="AC23" s="54">
        <f>705+2</f>
        <v>707</v>
      </c>
      <c r="AD23" s="29">
        <f>AE23-SUM(AA23:AC23)</f>
        <v>660</v>
      </c>
      <c r="AE23" s="55">
        <f>2617+11</f>
        <v>2628</v>
      </c>
      <c r="AF23" s="54"/>
      <c r="AG23" s="54"/>
      <c r="AH23" s="54">
        <f>827+4</f>
        <v>831</v>
      </c>
      <c r="AI23" s="29"/>
      <c r="AJ23" s="55">
        <f>2993+14</f>
        <v>3007</v>
      </c>
      <c r="AK23" s="54"/>
      <c r="AL23" s="54"/>
    </row>
    <row r="24" spans="2:38" x14ac:dyDescent="0.75">
      <c r="B24" s="7" t="s">
        <v>281</v>
      </c>
      <c r="C24" s="6"/>
      <c r="D24" s="14"/>
      <c r="E24" s="28"/>
      <c r="F24" s="28"/>
      <c r="G24" s="29"/>
      <c r="H24" s="29"/>
      <c r="I24" s="29"/>
      <c r="J24" s="29"/>
      <c r="K24" s="28"/>
      <c r="L24" s="29"/>
      <c r="M24" s="29"/>
      <c r="N24" s="54">
        <f>84+4</f>
        <v>88</v>
      </c>
      <c r="O24" s="29"/>
      <c r="P24" s="55">
        <f>178+7</f>
        <v>185</v>
      </c>
      <c r="Q24" s="54">
        <f>93+4</f>
        <v>97</v>
      </c>
      <c r="R24" s="54">
        <f>108+5</f>
        <v>113</v>
      </c>
      <c r="S24" s="54">
        <f>104+4</f>
        <v>108</v>
      </c>
      <c r="T24" s="29">
        <f t="shared" si="1"/>
        <v>107</v>
      </c>
      <c r="U24" s="55">
        <f>409+16</f>
        <v>425</v>
      </c>
      <c r="V24" s="54">
        <f>92+2</f>
        <v>94</v>
      </c>
      <c r="W24" s="54">
        <f>109+3</f>
        <v>112</v>
      </c>
      <c r="X24" s="54">
        <f>100+3</f>
        <v>103</v>
      </c>
      <c r="Y24" s="29">
        <f t="shared" si="0"/>
        <v>99</v>
      </c>
      <c r="Z24" s="55">
        <f>397+11</f>
        <v>408</v>
      </c>
      <c r="AA24" s="54">
        <f>102+2</f>
        <v>104</v>
      </c>
      <c r="AB24" s="54">
        <f>114+3</f>
        <v>117</v>
      </c>
      <c r="AC24" s="54">
        <f>114+4</f>
        <v>118</v>
      </c>
      <c r="AD24" s="29">
        <f>AE24-SUM(AA24:AC24)</f>
        <v>113</v>
      </c>
      <c r="AE24" s="55">
        <f>440+12</f>
        <v>452</v>
      </c>
      <c r="AF24" s="54">
        <v>28</v>
      </c>
      <c r="AG24" s="54">
        <v>32</v>
      </c>
      <c r="AH24" s="54">
        <f>104+3</f>
        <v>107</v>
      </c>
      <c r="AI24" s="29">
        <f t="shared" ref="AI24:AI28" si="2">AJ24-SUM(AF24:AH24)</f>
        <v>265</v>
      </c>
      <c r="AJ24" s="55">
        <f>421+11</f>
        <v>432</v>
      </c>
      <c r="AK24" s="54">
        <v>37</v>
      </c>
      <c r="AL24" s="54">
        <v>34</v>
      </c>
    </row>
    <row r="25" spans="2:38" x14ac:dyDescent="0.75">
      <c r="B25" s="4" t="s">
        <v>282</v>
      </c>
      <c r="C25" s="6"/>
      <c r="D25" s="14"/>
      <c r="E25" s="28"/>
      <c r="F25" s="28"/>
      <c r="G25" s="29"/>
      <c r="H25" s="29"/>
      <c r="I25" s="29"/>
      <c r="J25" s="29"/>
      <c r="K25" s="28"/>
      <c r="L25" s="29"/>
      <c r="M25" s="29"/>
      <c r="N25" s="29"/>
      <c r="O25" s="29"/>
      <c r="P25" s="28"/>
      <c r="Q25" s="29"/>
      <c r="R25" s="29"/>
      <c r="S25" s="29"/>
      <c r="T25" s="29"/>
      <c r="U25" s="28"/>
      <c r="V25" s="29"/>
      <c r="W25" s="29"/>
      <c r="X25" s="29"/>
      <c r="Y25" s="29"/>
      <c r="Z25" s="28"/>
      <c r="AA25" s="29"/>
      <c r="AB25" s="29"/>
      <c r="AC25" s="29"/>
      <c r="AD25" s="29"/>
      <c r="AE25" s="28"/>
      <c r="AF25" s="29"/>
      <c r="AG25" s="29"/>
      <c r="AH25" s="29"/>
      <c r="AI25" s="29"/>
      <c r="AJ25" s="28"/>
      <c r="AK25" s="29"/>
      <c r="AL25" s="29"/>
    </row>
    <row r="26" spans="2:38" x14ac:dyDescent="0.75">
      <c r="B26" s="7" t="s">
        <v>283</v>
      </c>
      <c r="C26" s="6" t="s">
        <v>296</v>
      </c>
      <c r="D26" s="14"/>
      <c r="E26" s="28"/>
      <c r="F26" s="28"/>
      <c r="G26" s="29"/>
      <c r="H26" s="29"/>
      <c r="I26" s="54">
        <v>922</v>
      </c>
      <c r="J26" s="29"/>
      <c r="K26" s="28"/>
      <c r="L26" s="54">
        <v>794</v>
      </c>
      <c r="M26" s="54">
        <v>763</v>
      </c>
      <c r="N26" s="54">
        <v>831</v>
      </c>
      <c r="O26" s="29">
        <f>P26-SUM(L26:N26)</f>
        <v>861</v>
      </c>
      <c r="P26" s="55">
        <v>3249</v>
      </c>
      <c r="Q26" s="54">
        <v>793</v>
      </c>
      <c r="R26" s="54">
        <v>783</v>
      </c>
      <c r="S26" s="54">
        <v>824</v>
      </c>
      <c r="T26" s="29">
        <f t="shared" ref="T26:T28" si="3">U26-SUM(Q26:S26)</f>
        <v>893</v>
      </c>
      <c r="U26" s="55">
        <v>3293</v>
      </c>
      <c r="V26" s="54">
        <v>791</v>
      </c>
      <c r="W26" s="54">
        <v>830</v>
      </c>
      <c r="X26" s="54">
        <v>812</v>
      </c>
      <c r="Y26" s="29">
        <f t="shared" ref="Y26:Y28" si="4">Z26-SUM(V26:X26)</f>
        <v>936</v>
      </c>
      <c r="Z26" s="55">
        <v>3369</v>
      </c>
      <c r="AA26" s="54">
        <v>903</v>
      </c>
      <c r="AB26" s="54">
        <v>831</v>
      </c>
      <c r="AC26" s="54">
        <v>848</v>
      </c>
      <c r="AD26" s="29">
        <f>AE26-SUM(AA26:AC26)</f>
        <v>964</v>
      </c>
      <c r="AE26" s="55">
        <v>3546</v>
      </c>
      <c r="AF26" s="54">
        <v>749</v>
      </c>
      <c r="AG26" s="54">
        <v>798</v>
      </c>
      <c r="AH26" s="54">
        <v>913</v>
      </c>
      <c r="AI26" s="29">
        <f>AJ26-913-907-855</f>
        <v>1097</v>
      </c>
      <c r="AJ26" s="55">
        <v>3772</v>
      </c>
      <c r="AK26" s="54">
        <v>771</v>
      </c>
      <c r="AL26" s="54">
        <v>761</v>
      </c>
    </row>
    <row r="27" spans="2:38" x14ac:dyDescent="0.75">
      <c r="B27" s="7" t="s">
        <v>284</v>
      </c>
      <c r="C27" s="6"/>
      <c r="D27" s="14"/>
      <c r="E27" s="28"/>
      <c r="F27" s="28"/>
      <c r="G27" s="29"/>
      <c r="H27" s="29"/>
      <c r="I27" s="54">
        <v>165</v>
      </c>
      <c r="J27" s="29"/>
      <c r="K27" s="28"/>
      <c r="L27" s="54">
        <v>101</v>
      </c>
      <c r="M27" s="54">
        <v>131</v>
      </c>
      <c r="N27" s="54">
        <v>171</v>
      </c>
      <c r="O27" s="29">
        <f>P27-SUM(L27:N27)</f>
        <v>240</v>
      </c>
      <c r="P27" s="55">
        <v>643</v>
      </c>
      <c r="Q27" s="54">
        <v>123</v>
      </c>
      <c r="R27" s="54">
        <v>154</v>
      </c>
      <c r="S27" s="54">
        <v>187</v>
      </c>
      <c r="T27" s="29">
        <f t="shared" si="3"/>
        <v>259</v>
      </c>
      <c r="U27" s="55">
        <v>723</v>
      </c>
      <c r="V27" s="54">
        <v>127</v>
      </c>
      <c r="W27" s="54">
        <v>173</v>
      </c>
      <c r="X27" s="54">
        <v>230</v>
      </c>
      <c r="Y27" s="29">
        <f t="shared" si="4"/>
        <v>320</v>
      </c>
      <c r="Z27" s="55">
        <v>850</v>
      </c>
      <c r="AA27" s="54">
        <v>174</v>
      </c>
      <c r="AB27" s="54">
        <v>210</v>
      </c>
      <c r="AC27" s="54">
        <v>243</v>
      </c>
      <c r="AD27" s="29">
        <f>AE27-SUM(AA27:AC27)</f>
        <v>280</v>
      </c>
      <c r="AE27" s="55">
        <v>907</v>
      </c>
      <c r="AF27" s="54">
        <v>161</v>
      </c>
      <c r="AG27" s="54">
        <v>201</v>
      </c>
      <c r="AH27" s="54">
        <v>225</v>
      </c>
      <c r="AI27" s="29">
        <f t="shared" si="2"/>
        <v>336</v>
      </c>
      <c r="AJ27" s="55">
        <v>923</v>
      </c>
      <c r="AK27" s="54">
        <v>125</v>
      </c>
      <c r="AL27" s="54">
        <v>176</v>
      </c>
    </row>
    <row r="28" spans="2:38" x14ac:dyDescent="0.75">
      <c r="B28" s="7" t="s">
        <v>281</v>
      </c>
      <c r="D28" s="14"/>
      <c r="E28" s="28"/>
      <c r="F28" s="28"/>
      <c r="G28" s="29"/>
      <c r="H28" s="29"/>
      <c r="I28" s="54">
        <v>53</v>
      </c>
      <c r="J28" s="29"/>
      <c r="K28" s="28"/>
      <c r="L28" s="54">
        <v>53</v>
      </c>
      <c r="M28" s="54">
        <v>55</v>
      </c>
      <c r="N28" s="54">
        <v>51</v>
      </c>
      <c r="O28" s="29">
        <f>P28-SUM(L28:N28)</f>
        <v>63</v>
      </c>
      <c r="P28" s="55">
        <v>222</v>
      </c>
      <c r="Q28" s="54">
        <v>52</v>
      </c>
      <c r="R28" s="54">
        <v>53</v>
      </c>
      <c r="S28" s="54">
        <v>54</v>
      </c>
      <c r="T28" s="29">
        <f t="shared" si="3"/>
        <v>58</v>
      </c>
      <c r="U28" s="55">
        <v>217</v>
      </c>
      <c r="V28" s="54">
        <v>55</v>
      </c>
      <c r="W28" s="54">
        <v>40</v>
      </c>
      <c r="X28" s="54">
        <v>55</v>
      </c>
      <c r="Y28" s="29">
        <f t="shared" si="4"/>
        <v>64</v>
      </c>
      <c r="Z28" s="55">
        <v>214</v>
      </c>
      <c r="AA28" s="54">
        <v>65</v>
      </c>
      <c r="AB28" s="54">
        <v>60</v>
      </c>
      <c r="AC28" s="54">
        <v>64</v>
      </c>
      <c r="AD28" s="29">
        <f>AE28-SUM(AA28:AC28)</f>
        <v>74</v>
      </c>
      <c r="AE28" s="55">
        <v>263</v>
      </c>
      <c r="AF28" s="54">
        <v>33</v>
      </c>
      <c r="AG28" s="54">
        <v>30</v>
      </c>
      <c r="AH28" s="54">
        <v>71</v>
      </c>
      <c r="AI28" s="29">
        <f t="shared" si="2"/>
        <v>153</v>
      </c>
      <c r="AJ28" s="55">
        <v>287</v>
      </c>
      <c r="AK28" s="54">
        <v>35</v>
      </c>
      <c r="AL28" s="54">
        <v>33</v>
      </c>
    </row>
    <row r="29" spans="2:38" x14ac:dyDescent="0.75">
      <c r="B29" s="4" t="s">
        <v>64</v>
      </c>
      <c r="C29" s="6"/>
      <c r="D29" s="14"/>
      <c r="E29" s="28"/>
      <c r="F29" s="28"/>
      <c r="G29" s="29"/>
      <c r="H29" s="29"/>
      <c r="I29" s="29"/>
      <c r="J29" s="29"/>
      <c r="K29" s="28"/>
      <c r="L29" s="29"/>
      <c r="M29" s="29"/>
      <c r="N29" s="29"/>
      <c r="O29" s="29"/>
      <c r="P29" s="28"/>
      <c r="Q29" s="29"/>
      <c r="R29" s="29"/>
      <c r="S29" s="29"/>
      <c r="T29" s="29"/>
      <c r="U29" s="28"/>
      <c r="V29" s="29"/>
      <c r="W29" s="29"/>
      <c r="X29" s="29"/>
      <c r="Y29" s="29"/>
      <c r="Z29" s="28"/>
      <c r="AA29" s="29"/>
      <c r="AB29" s="29"/>
      <c r="AC29" s="29"/>
      <c r="AD29" s="29"/>
      <c r="AE29" s="28"/>
      <c r="AF29" s="29"/>
      <c r="AG29" s="29"/>
      <c r="AH29" s="29"/>
      <c r="AI29" s="29"/>
      <c r="AJ29" s="28"/>
      <c r="AK29" s="29"/>
      <c r="AL29" s="29"/>
    </row>
    <row r="30" spans="2:38" x14ac:dyDescent="0.75">
      <c r="B30" s="7" t="s">
        <v>280</v>
      </c>
      <c r="C30" s="6"/>
      <c r="D30" s="14"/>
      <c r="E30" s="28"/>
      <c r="F30" s="28"/>
      <c r="G30" s="29"/>
      <c r="H30" s="29"/>
      <c r="I30" s="29"/>
      <c r="J30" s="29"/>
      <c r="K30" s="28"/>
      <c r="L30" s="29"/>
      <c r="M30" s="29"/>
      <c r="N30" s="29">
        <f>SUM(N31:N32)</f>
        <v>123</v>
      </c>
      <c r="O30" s="29"/>
      <c r="P30" s="28">
        <f>SUM(P31:P32)</f>
        <v>243</v>
      </c>
      <c r="Q30" s="29">
        <f>SUM(Q31:Q32)</f>
        <v>116</v>
      </c>
      <c r="R30" s="29">
        <f>SUM(R31:R32)</f>
        <v>140</v>
      </c>
      <c r="S30" s="29">
        <f>SUM(S31:S32)</f>
        <v>137</v>
      </c>
      <c r="T30" s="29">
        <f t="shared" ref="T30:T32" si="5">U30-SUM(Q30:S30)</f>
        <v>133</v>
      </c>
      <c r="U30" s="28">
        <f>SUM(U31:U32)</f>
        <v>526</v>
      </c>
      <c r="V30" s="29">
        <f>SUM(V31:V32)</f>
        <v>117</v>
      </c>
      <c r="W30" s="29">
        <f>SUM(W31:W32)</f>
        <v>119</v>
      </c>
      <c r="X30" s="29">
        <f>SUM(X31:X32)</f>
        <v>124</v>
      </c>
      <c r="Y30" s="29">
        <f>Z30-SUM(V30:X30)</f>
        <v>136</v>
      </c>
      <c r="Z30" s="28">
        <f>SUM(Z31:Z32)</f>
        <v>496</v>
      </c>
      <c r="AA30" s="29">
        <f>SUM(AA31:AA32)</f>
        <v>125</v>
      </c>
      <c r="AB30" s="29">
        <f>SUM(AB31:AB32)</f>
        <v>166</v>
      </c>
      <c r="AC30" s="29">
        <f>SUM(AC31:AC32)</f>
        <v>156</v>
      </c>
      <c r="AD30" s="29">
        <f>AE30-SUM(AA30:AC30)</f>
        <v>151</v>
      </c>
      <c r="AE30" s="28">
        <f>SUM(AE31:AE32)</f>
        <v>598</v>
      </c>
      <c r="AF30" s="54">
        <v>203</v>
      </c>
      <c r="AG30" s="54">
        <v>274</v>
      </c>
      <c r="AH30" s="29">
        <f>SUM(AH31:AH32)</f>
        <v>198</v>
      </c>
      <c r="AI30" s="29">
        <f>AJ30-SUM(AF30:AH30)</f>
        <v>68</v>
      </c>
      <c r="AJ30" s="28">
        <f>SUM(AJ31:AJ32)</f>
        <v>743</v>
      </c>
      <c r="AK30" s="29">
        <v>253</v>
      </c>
      <c r="AL30" s="29">
        <v>331</v>
      </c>
    </row>
    <row r="31" spans="2:38" x14ac:dyDescent="0.75">
      <c r="B31" s="39" t="s">
        <v>286</v>
      </c>
      <c r="C31" s="6"/>
      <c r="D31" s="14"/>
      <c r="E31" s="28"/>
      <c r="F31" s="28"/>
      <c r="G31" s="29"/>
      <c r="H31" s="29"/>
      <c r="I31" s="29"/>
      <c r="J31" s="29"/>
      <c r="K31" s="28"/>
      <c r="L31" s="29"/>
      <c r="M31" s="29"/>
      <c r="N31" s="54">
        <v>88</v>
      </c>
      <c r="O31" s="29"/>
      <c r="P31" s="55">
        <v>174</v>
      </c>
      <c r="Q31" s="54">
        <v>80</v>
      </c>
      <c r="R31" s="54">
        <v>102</v>
      </c>
      <c r="S31" s="54">
        <v>100</v>
      </c>
      <c r="T31" s="29">
        <f t="shared" si="5"/>
        <v>98</v>
      </c>
      <c r="U31" s="55">
        <v>380</v>
      </c>
      <c r="V31" s="54">
        <v>82</v>
      </c>
      <c r="W31" s="54">
        <v>91</v>
      </c>
      <c r="X31" s="54">
        <v>89</v>
      </c>
      <c r="Y31" s="29">
        <f t="shared" ref="Y31:Y32" si="6">Z31-SUM(V31:X31)</f>
        <v>99</v>
      </c>
      <c r="Z31" s="55">
        <v>361</v>
      </c>
      <c r="AA31" s="54">
        <v>87</v>
      </c>
      <c r="AB31" s="54">
        <v>122</v>
      </c>
      <c r="AC31" s="54">
        <v>115</v>
      </c>
      <c r="AD31" s="29">
        <f>AE31-SUM(AA31:AC31)</f>
        <v>111</v>
      </c>
      <c r="AE31" s="55">
        <v>435</v>
      </c>
      <c r="AF31" s="54"/>
      <c r="AG31" s="54"/>
      <c r="AH31" s="54">
        <v>147</v>
      </c>
      <c r="AI31" s="29"/>
      <c r="AJ31" s="55">
        <v>542</v>
      </c>
      <c r="AK31" s="29"/>
      <c r="AL31" s="29"/>
    </row>
    <row r="32" spans="2:38" x14ac:dyDescent="0.75">
      <c r="B32" s="39" t="s">
        <v>287</v>
      </c>
      <c r="C32" s="6"/>
      <c r="D32" s="14"/>
      <c r="E32" s="28"/>
      <c r="F32" s="28"/>
      <c r="G32" s="29"/>
      <c r="H32" s="29"/>
      <c r="I32" s="29"/>
      <c r="J32" s="29"/>
      <c r="K32" s="28"/>
      <c r="L32" s="29"/>
      <c r="M32" s="29"/>
      <c r="N32" s="54">
        <v>35</v>
      </c>
      <c r="O32" s="29"/>
      <c r="P32" s="55">
        <v>69</v>
      </c>
      <c r="Q32" s="54">
        <v>36</v>
      </c>
      <c r="R32" s="54">
        <v>38</v>
      </c>
      <c r="S32" s="54">
        <v>37</v>
      </c>
      <c r="T32" s="29">
        <f t="shared" si="5"/>
        <v>35</v>
      </c>
      <c r="U32" s="55">
        <v>146</v>
      </c>
      <c r="V32" s="54">
        <v>35</v>
      </c>
      <c r="W32" s="54">
        <v>28</v>
      </c>
      <c r="X32" s="54">
        <v>35</v>
      </c>
      <c r="Y32" s="29">
        <f t="shared" si="6"/>
        <v>37</v>
      </c>
      <c r="Z32" s="55">
        <v>135</v>
      </c>
      <c r="AA32" s="54">
        <v>38</v>
      </c>
      <c r="AB32" s="54">
        <v>44</v>
      </c>
      <c r="AC32" s="54">
        <v>41</v>
      </c>
      <c r="AD32" s="29">
        <f>AE32-SUM(AA32:AC32)</f>
        <v>40</v>
      </c>
      <c r="AE32" s="55">
        <v>163</v>
      </c>
      <c r="AF32" s="54"/>
      <c r="AG32" s="54"/>
      <c r="AH32" s="54">
        <v>51</v>
      </c>
      <c r="AI32" s="29"/>
      <c r="AJ32" s="55">
        <v>201</v>
      </c>
      <c r="AK32" s="29"/>
      <c r="AL32" s="29"/>
    </row>
    <row r="33" spans="2:38" x14ac:dyDescent="0.75">
      <c r="B33" s="7" t="s">
        <v>283</v>
      </c>
      <c r="C33" s="6"/>
      <c r="D33" s="14"/>
      <c r="E33" s="28"/>
      <c r="F33" s="28"/>
      <c r="G33" s="29"/>
      <c r="H33" s="29"/>
      <c r="I33" s="29"/>
      <c r="J33" s="29"/>
      <c r="K33" s="28"/>
      <c r="L33" s="29"/>
      <c r="M33" s="29"/>
      <c r="N33" s="54"/>
      <c r="O33" s="29"/>
      <c r="P33" s="28"/>
      <c r="Q33" s="29"/>
      <c r="R33" s="29"/>
      <c r="S33" s="29"/>
      <c r="T33" s="29"/>
      <c r="U33" s="28"/>
      <c r="V33" s="29"/>
      <c r="W33" s="29"/>
      <c r="X33" s="29"/>
      <c r="Y33" s="29"/>
      <c r="Z33" s="28"/>
      <c r="AA33" s="29"/>
      <c r="AB33" s="29"/>
      <c r="AC33" s="29"/>
      <c r="AD33" s="29"/>
      <c r="AE33" s="28"/>
      <c r="AF33" s="54">
        <v>106</v>
      </c>
      <c r="AG33" s="54">
        <v>109</v>
      </c>
      <c r="AH33" s="54"/>
      <c r="AI33" s="29"/>
      <c r="AJ33" s="28"/>
      <c r="AK33" s="29">
        <v>117</v>
      </c>
      <c r="AL33" s="29">
        <v>108</v>
      </c>
    </row>
    <row r="34" spans="2:38" x14ac:dyDescent="0.75">
      <c r="B34" s="7" t="s">
        <v>284</v>
      </c>
      <c r="C34" s="6"/>
      <c r="D34" s="14"/>
      <c r="E34" s="28"/>
      <c r="F34" s="28"/>
      <c r="G34" s="29"/>
      <c r="H34" s="29"/>
      <c r="I34" s="29"/>
      <c r="J34" s="29"/>
      <c r="K34" s="28"/>
      <c r="L34" s="29"/>
      <c r="M34" s="29"/>
      <c r="N34" s="54"/>
      <c r="O34" s="29"/>
      <c r="P34" s="28"/>
      <c r="Q34" s="29"/>
      <c r="R34" s="29"/>
      <c r="S34" s="29"/>
      <c r="T34" s="29"/>
      <c r="U34" s="28"/>
      <c r="V34" s="29"/>
      <c r="W34" s="29"/>
      <c r="X34" s="29"/>
      <c r="Y34" s="29"/>
      <c r="Z34" s="28"/>
      <c r="AA34" s="29"/>
      <c r="AB34" s="29"/>
      <c r="AC34" s="29"/>
      <c r="AD34" s="29"/>
      <c r="AE34" s="28"/>
      <c r="AF34" s="54">
        <v>17</v>
      </c>
      <c r="AG34" s="54">
        <v>16</v>
      </c>
      <c r="AH34" s="54"/>
      <c r="AI34" s="29"/>
      <c r="AJ34" s="28"/>
      <c r="AK34" s="29">
        <v>12</v>
      </c>
      <c r="AL34" s="29">
        <v>14</v>
      </c>
    </row>
    <row r="35" spans="2:38" x14ac:dyDescent="0.75">
      <c r="B35" s="7" t="s">
        <v>281</v>
      </c>
      <c r="C35" s="6"/>
      <c r="D35" s="14"/>
      <c r="E35" s="28"/>
      <c r="F35" s="28"/>
      <c r="G35" s="29"/>
      <c r="H35" s="29"/>
      <c r="I35" s="29"/>
      <c r="J35" s="29"/>
      <c r="K35" s="28"/>
      <c r="L35" s="29"/>
      <c r="M35" s="29"/>
      <c r="N35" s="54">
        <v>1</v>
      </c>
      <c r="O35" s="29"/>
      <c r="P35" s="28"/>
      <c r="Q35" s="54">
        <v>0</v>
      </c>
      <c r="R35" s="54">
        <v>1</v>
      </c>
      <c r="S35" s="54">
        <v>1</v>
      </c>
      <c r="T35" s="29">
        <v>0</v>
      </c>
      <c r="U35" s="55">
        <v>2</v>
      </c>
      <c r="V35" s="54">
        <v>0</v>
      </c>
      <c r="W35" s="54">
        <v>1</v>
      </c>
      <c r="X35" s="54">
        <v>0</v>
      </c>
      <c r="Y35" s="29">
        <f>Z35-SUM(V35:X35)</f>
        <v>0</v>
      </c>
      <c r="Z35" s="55">
        <v>1</v>
      </c>
      <c r="AA35" s="54">
        <v>0</v>
      </c>
      <c r="AB35" s="54">
        <v>0</v>
      </c>
      <c r="AC35" s="54">
        <v>0</v>
      </c>
      <c r="AD35" s="29">
        <f>AE35-SUM(AA35:AC35)</f>
        <v>1</v>
      </c>
      <c r="AE35" s="28">
        <v>1</v>
      </c>
      <c r="AF35" s="54">
        <v>28</v>
      </c>
      <c r="AG35" s="54">
        <v>42</v>
      </c>
      <c r="AH35" s="54">
        <v>0</v>
      </c>
      <c r="AI35" s="58">
        <v>-103</v>
      </c>
      <c r="AJ35" s="28"/>
      <c r="AK35" s="29">
        <v>33</v>
      </c>
      <c r="AL35" s="29">
        <v>36</v>
      </c>
    </row>
    <row r="36" spans="2:38" x14ac:dyDescent="0.75">
      <c r="B36" s="4" t="s">
        <v>285</v>
      </c>
      <c r="C36" s="6"/>
      <c r="D36" s="14"/>
      <c r="E36" s="28"/>
      <c r="F36" s="28"/>
      <c r="G36" s="29"/>
      <c r="H36" s="29"/>
      <c r="I36" s="29"/>
      <c r="J36" s="29"/>
      <c r="K36" s="28"/>
      <c r="L36" s="29"/>
      <c r="M36" s="29"/>
      <c r="N36" s="29"/>
      <c r="O36" s="29"/>
      <c r="P36" s="28"/>
      <c r="Q36" s="29"/>
      <c r="R36" s="29"/>
      <c r="S36" s="29"/>
      <c r="T36" s="29"/>
      <c r="U36" s="28"/>
      <c r="V36" s="29"/>
      <c r="W36" s="29"/>
      <c r="X36" s="29"/>
      <c r="Y36" s="29"/>
      <c r="Z36" s="28"/>
      <c r="AA36" s="29"/>
      <c r="AB36" s="29"/>
      <c r="AC36" s="29"/>
      <c r="AD36" s="29"/>
      <c r="AE36" s="28"/>
      <c r="AF36" s="29"/>
      <c r="AG36" s="29"/>
      <c r="AH36" s="29"/>
      <c r="AI36" s="29"/>
      <c r="AJ36" s="28"/>
      <c r="AK36" s="29"/>
      <c r="AL36" s="29"/>
    </row>
    <row r="37" spans="2:38" x14ac:dyDescent="0.75">
      <c r="B37" s="7" t="s">
        <v>280</v>
      </c>
      <c r="C37" s="6"/>
      <c r="D37" s="14">
        <f t="shared" ref="D37:AK37" si="7">D21+D30</f>
        <v>0</v>
      </c>
      <c r="E37" s="28">
        <f t="shared" si="7"/>
        <v>0</v>
      </c>
      <c r="F37" s="28">
        <f t="shared" si="7"/>
        <v>0</v>
      </c>
      <c r="G37" s="29">
        <f t="shared" si="7"/>
        <v>0</v>
      </c>
      <c r="H37" s="29">
        <f t="shared" si="7"/>
        <v>0</v>
      </c>
      <c r="I37" s="29">
        <f t="shared" si="7"/>
        <v>0</v>
      </c>
      <c r="J37" s="29">
        <f t="shared" si="7"/>
        <v>0</v>
      </c>
      <c r="K37" s="28">
        <f t="shared" si="7"/>
        <v>0</v>
      </c>
      <c r="L37" s="29">
        <f t="shared" si="7"/>
        <v>0</v>
      </c>
      <c r="M37" s="29">
        <f t="shared" si="7"/>
        <v>0</v>
      </c>
      <c r="N37" s="29">
        <f t="shared" si="7"/>
        <v>1590</v>
      </c>
      <c r="O37" s="29">
        <f t="shared" si="7"/>
        <v>0</v>
      </c>
      <c r="P37" s="28">
        <f>P21+P30</f>
        <v>3142</v>
      </c>
      <c r="Q37" s="29">
        <f t="shared" si="7"/>
        <v>1439</v>
      </c>
      <c r="R37" s="29">
        <f t="shared" si="7"/>
        <v>1708</v>
      </c>
      <c r="S37" s="29">
        <f t="shared" si="7"/>
        <v>1696</v>
      </c>
      <c r="T37" s="29">
        <f t="shared" si="7"/>
        <v>1617</v>
      </c>
      <c r="U37" s="28">
        <f t="shared" si="7"/>
        <v>6460</v>
      </c>
      <c r="V37" s="29">
        <f t="shared" si="7"/>
        <v>1546</v>
      </c>
      <c r="W37" s="29">
        <f t="shared" si="7"/>
        <v>1708</v>
      </c>
      <c r="X37" s="29">
        <f>X21+X30</f>
        <v>1820</v>
      </c>
      <c r="Y37" s="29">
        <f t="shared" si="7"/>
        <v>1702</v>
      </c>
      <c r="Z37" s="28">
        <f t="shared" si="7"/>
        <v>6776</v>
      </c>
      <c r="AA37" s="29">
        <f t="shared" si="7"/>
        <v>1656</v>
      </c>
      <c r="AB37" s="29">
        <f t="shared" si="7"/>
        <v>1922</v>
      </c>
      <c r="AC37" s="29">
        <f t="shared" si="7"/>
        <v>1977</v>
      </c>
      <c r="AD37" s="29">
        <f t="shared" si="7"/>
        <v>1959</v>
      </c>
      <c r="AE37" s="28">
        <f t="shared" si="7"/>
        <v>7514</v>
      </c>
      <c r="AF37" s="29">
        <f t="shared" si="7"/>
        <v>1956</v>
      </c>
      <c r="AG37" s="29">
        <f t="shared" si="7"/>
        <v>2326</v>
      </c>
      <c r="AH37" s="29">
        <f t="shared" si="7"/>
        <v>2306</v>
      </c>
      <c r="AI37" s="29">
        <f t="shared" si="7"/>
        <v>2055</v>
      </c>
      <c r="AJ37" s="28">
        <f t="shared" si="7"/>
        <v>8643</v>
      </c>
      <c r="AK37" s="29">
        <f t="shared" si="7"/>
        <v>2223</v>
      </c>
      <c r="AL37" s="29">
        <f>AL21+AL30</f>
        <v>2627</v>
      </c>
    </row>
    <row r="38" spans="2:38" x14ac:dyDescent="0.75">
      <c r="B38" s="7" t="s">
        <v>283</v>
      </c>
      <c r="C38" s="6"/>
      <c r="D38" s="14">
        <f t="shared" ref="D38:AK38" si="8">D26+D33</f>
        <v>0</v>
      </c>
      <c r="E38" s="28">
        <f t="shared" si="8"/>
        <v>0</v>
      </c>
      <c r="F38" s="28">
        <f t="shared" si="8"/>
        <v>0</v>
      </c>
      <c r="G38" s="29">
        <f t="shared" si="8"/>
        <v>0</v>
      </c>
      <c r="H38" s="29">
        <f t="shared" si="8"/>
        <v>0</v>
      </c>
      <c r="I38" s="29">
        <f t="shared" si="8"/>
        <v>922</v>
      </c>
      <c r="J38" s="29">
        <f t="shared" si="8"/>
        <v>0</v>
      </c>
      <c r="K38" s="28">
        <f t="shared" si="8"/>
        <v>0</v>
      </c>
      <c r="L38" s="29">
        <f t="shared" si="8"/>
        <v>794</v>
      </c>
      <c r="M38" s="29">
        <f t="shared" si="8"/>
        <v>763</v>
      </c>
      <c r="N38" s="29">
        <f t="shared" si="8"/>
        <v>831</v>
      </c>
      <c r="O38" s="29">
        <f t="shared" si="8"/>
        <v>861</v>
      </c>
      <c r="P38" s="28">
        <f>P26+P33</f>
        <v>3249</v>
      </c>
      <c r="Q38" s="29">
        <f t="shared" si="8"/>
        <v>793</v>
      </c>
      <c r="R38" s="29">
        <f t="shared" si="8"/>
        <v>783</v>
      </c>
      <c r="S38" s="29">
        <f t="shared" si="8"/>
        <v>824</v>
      </c>
      <c r="T38" s="29">
        <f t="shared" si="8"/>
        <v>893</v>
      </c>
      <c r="U38" s="28">
        <f>U26+U33</f>
        <v>3293</v>
      </c>
      <c r="V38" s="29">
        <f t="shared" si="8"/>
        <v>791</v>
      </c>
      <c r="W38" s="29">
        <f t="shared" si="8"/>
        <v>830</v>
      </c>
      <c r="X38" s="29">
        <f t="shared" si="8"/>
        <v>812</v>
      </c>
      <c r="Y38" s="29">
        <f t="shared" si="8"/>
        <v>936</v>
      </c>
      <c r="Z38" s="28">
        <f t="shared" si="8"/>
        <v>3369</v>
      </c>
      <c r="AA38" s="29">
        <f t="shared" si="8"/>
        <v>903</v>
      </c>
      <c r="AB38" s="29">
        <f t="shared" si="8"/>
        <v>831</v>
      </c>
      <c r="AC38" s="29">
        <f t="shared" si="8"/>
        <v>848</v>
      </c>
      <c r="AD38" s="29">
        <f t="shared" si="8"/>
        <v>964</v>
      </c>
      <c r="AE38" s="28">
        <f t="shared" si="8"/>
        <v>3546</v>
      </c>
      <c r="AF38" s="29">
        <f t="shared" si="8"/>
        <v>855</v>
      </c>
      <c r="AG38" s="29">
        <f t="shared" si="8"/>
        <v>907</v>
      </c>
      <c r="AH38" s="29">
        <f t="shared" si="8"/>
        <v>913</v>
      </c>
      <c r="AI38" s="29">
        <f t="shared" si="8"/>
        <v>1097</v>
      </c>
      <c r="AJ38" s="28">
        <f t="shared" si="8"/>
        <v>3772</v>
      </c>
      <c r="AK38" s="29">
        <f t="shared" si="8"/>
        <v>888</v>
      </c>
      <c r="AL38" s="29">
        <f>AL26+AL33</f>
        <v>869</v>
      </c>
    </row>
    <row r="39" spans="2:38" x14ac:dyDescent="0.75">
      <c r="B39" s="7" t="s">
        <v>284</v>
      </c>
      <c r="C39" s="6"/>
      <c r="D39" s="14">
        <f t="shared" ref="D39:AK39" si="9">D27+D34</f>
        <v>0</v>
      </c>
      <c r="E39" s="28">
        <f t="shared" si="9"/>
        <v>0</v>
      </c>
      <c r="F39" s="28">
        <f t="shared" si="9"/>
        <v>0</v>
      </c>
      <c r="G39" s="29">
        <f t="shared" si="9"/>
        <v>0</v>
      </c>
      <c r="H39" s="29">
        <f t="shared" si="9"/>
        <v>0</v>
      </c>
      <c r="I39" s="29">
        <f t="shared" si="9"/>
        <v>165</v>
      </c>
      <c r="J39" s="29">
        <f t="shared" si="9"/>
        <v>0</v>
      </c>
      <c r="K39" s="28">
        <f t="shared" si="9"/>
        <v>0</v>
      </c>
      <c r="L39" s="29">
        <f t="shared" si="9"/>
        <v>101</v>
      </c>
      <c r="M39" s="29">
        <f t="shared" si="9"/>
        <v>131</v>
      </c>
      <c r="N39" s="29">
        <f t="shared" si="9"/>
        <v>171</v>
      </c>
      <c r="O39" s="29">
        <f t="shared" si="9"/>
        <v>240</v>
      </c>
      <c r="P39" s="28">
        <f>P27+P34</f>
        <v>643</v>
      </c>
      <c r="Q39" s="29">
        <f t="shared" si="9"/>
        <v>123</v>
      </c>
      <c r="R39" s="29">
        <f t="shared" si="9"/>
        <v>154</v>
      </c>
      <c r="S39" s="29">
        <f t="shared" si="9"/>
        <v>187</v>
      </c>
      <c r="T39" s="29">
        <f t="shared" si="9"/>
        <v>259</v>
      </c>
      <c r="U39" s="28">
        <f>U27+U34</f>
        <v>723</v>
      </c>
      <c r="V39" s="29">
        <f t="shared" si="9"/>
        <v>127</v>
      </c>
      <c r="W39" s="29">
        <f t="shared" si="9"/>
        <v>173</v>
      </c>
      <c r="X39" s="29">
        <f t="shared" si="9"/>
        <v>230</v>
      </c>
      <c r="Y39" s="29">
        <f t="shared" si="9"/>
        <v>320</v>
      </c>
      <c r="Z39" s="28">
        <f t="shared" si="9"/>
        <v>850</v>
      </c>
      <c r="AA39" s="29">
        <f t="shared" si="9"/>
        <v>174</v>
      </c>
      <c r="AB39" s="29">
        <f t="shared" si="9"/>
        <v>210</v>
      </c>
      <c r="AC39" s="29">
        <f t="shared" si="9"/>
        <v>243</v>
      </c>
      <c r="AD39" s="29">
        <f t="shared" si="9"/>
        <v>280</v>
      </c>
      <c r="AE39" s="28">
        <f t="shared" si="9"/>
        <v>907</v>
      </c>
      <c r="AF39" s="29">
        <f t="shared" si="9"/>
        <v>178</v>
      </c>
      <c r="AG39" s="29">
        <f t="shared" si="9"/>
        <v>217</v>
      </c>
      <c r="AH39" s="29">
        <f t="shared" si="9"/>
        <v>225</v>
      </c>
      <c r="AI39" s="29">
        <f t="shared" si="9"/>
        <v>336</v>
      </c>
      <c r="AJ39" s="28">
        <f t="shared" si="9"/>
        <v>923</v>
      </c>
      <c r="AK39" s="29">
        <f t="shared" si="9"/>
        <v>137</v>
      </c>
      <c r="AL39" s="29">
        <f>AL27+AL34</f>
        <v>190</v>
      </c>
    </row>
    <row r="40" spans="2:38" x14ac:dyDescent="0.75">
      <c r="B40" s="7" t="s">
        <v>281</v>
      </c>
      <c r="C40" s="6"/>
      <c r="D40" s="14">
        <f t="shared" ref="D40:AK40" si="10">D24+D28+D35</f>
        <v>0</v>
      </c>
      <c r="E40" s="28">
        <f t="shared" si="10"/>
        <v>0</v>
      </c>
      <c r="F40" s="28">
        <f t="shared" si="10"/>
        <v>0</v>
      </c>
      <c r="G40" s="29">
        <f t="shared" si="10"/>
        <v>0</v>
      </c>
      <c r="H40" s="29">
        <f t="shared" si="10"/>
        <v>0</v>
      </c>
      <c r="I40" s="29">
        <f t="shared" si="10"/>
        <v>53</v>
      </c>
      <c r="J40" s="29">
        <f t="shared" si="10"/>
        <v>0</v>
      </c>
      <c r="K40" s="28">
        <f t="shared" si="10"/>
        <v>0</v>
      </c>
      <c r="L40" s="29">
        <f t="shared" si="10"/>
        <v>53</v>
      </c>
      <c r="M40" s="29">
        <f t="shared" si="10"/>
        <v>55</v>
      </c>
      <c r="N40" s="29">
        <f t="shared" si="10"/>
        <v>140</v>
      </c>
      <c r="O40" s="29">
        <f t="shared" si="10"/>
        <v>63</v>
      </c>
      <c r="P40" s="28">
        <f>P24+P28+P35</f>
        <v>407</v>
      </c>
      <c r="Q40" s="29">
        <f t="shared" si="10"/>
        <v>149</v>
      </c>
      <c r="R40" s="29">
        <f t="shared" si="10"/>
        <v>167</v>
      </c>
      <c r="S40" s="29">
        <f t="shared" si="10"/>
        <v>163</v>
      </c>
      <c r="T40" s="29">
        <f t="shared" si="10"/>
        <v>165</v>
      </c>
      <c r="U40" s="28">
        <f t="shared" si="10"/>
        <v>644</v>
      </c>
      <c r="V40" s="29">
        <f t="shared" si="10"/>
        <v>149</v>
      </c>
      <c r="W40" s="29">
        <f t="shared" si="10"/>
        <v>153</v>
      </c>
      <c r="X40" s="29">
        <f t="shared" si="10"/>
        <v>158</v>
      </c>
      <c r="Y40" s="29">
        <f t="shared" si="10"/>
        <v>163</v>
      </c>
      <c r="Z40" s="28">
        <f t="shared" si="10"/>
        <v>623</v>
      </c>
      <c r="AA40" s="29">
        <f t="shared" si="10"/>
        <v>169</v>
      </c>
      <c r="AB40" s="29">
        <f t="shared" si="10"/>
        <v>177</v>
      </c>
      <c r="AC40" s="29">
        <f t="shared" si="10"/>
        <v>182</v>
      </c>
      <c r="AD40" s="29">
        <f t="shared" si="10"/>
        <v>188</v>
      </c>
      <c r="AE40" s="28">
        <f t="shared" si="10"/>
        <v>716</v>
      </c>
      <c r="AF40" s="29">
        <f t="shared" si="10"/>
        <v>89</v>
      </c>
      <c r="AG40" s="29">
        <f t="shared" si="10"/>
        <v>104</v>
      </c>
      <c r="AH40" s="29">
        <f t="shared" si="10"/>
        <v>178</v>
      </c>
      <c r="AI40" s="29">
        <f>AI24+AI28+AI35</f>
        <v>315</v>
      </c>
      <c r="AJ40" s="28">
        <f t="shared" si="10"/>
        <v>719</v>
      </c>
      <c r="AK40" s="29">
        <f t="shared" si="10"/>
        <v>105</v>
      </c>
      <c r="AL40" s="29">
        <f>AL24+AL28+AL35</f>
        <v>103</v>
      </c>
    </row>
    <row r="41" spans="2:38" s="11" customFormat="1" x14ac:dyDescent="0.75">
      <c r="B41" s="30" t="s">
        <v>12</v>
      </c>
      <c r="C41" s="30"/>
      <c r="D41" s="16">
        <f t="shared" ref="D41:AK41" si="11">SUM(D37:D40)</f>
        <v>0</v>
      </c>
      <c r="E41" s="31">
        <f t="shared" si="11"/>
        <v>0</v>
      </c>
      <c r="F41" s="31">
        <f t="shared" si="11"/>
        <v>0</v>
      </c>
      <c r="G41" s="32">
        <f t="shared" si="11"/>
        <v>0</v>
      </c>
      <c r="H41" s="32">
        <f t="shared" si="11"/>
        <v>0</v>
      </c>
      <c r="I41" s="32">
        <f t="shared" si="11"/>
        <v>1140</v>
      </c>
      <c r="J41" s="32">
        <f t="shared" si="11"/>
        <v>0</v>
      </c>
      <c r="K41" s="31">
        <f t="shared" si="11"/>
        <v>0</v>
      </c>
      <c r="L41" s="32">
        <f t="shared" si="11"/>
        <v>948</v>
      </c>
      <c r="M41" s="32">
        <f t="shared" si="11"/>
        <v>949</v>
      </c>
      <c r="N41" s="32">
        <f t="shared" si="11"/>
        <v>2732</v>
      </c>
      <c r="O41" s="32">
        <f t="shared" si="11"/>
        <v>1164</v>
      </c>
      <c r="P41" s="31">
        <f>SUM(P37:P40)</f>
        <v>7441</v>
      </c>
      <c r="Q41" s="32">
        <f t="shared" si="11"/>
        <v>2504</v>
      </c>
      <c r="R41" s="32">
        <f t="shared" si="11"/>
        <v>2812</v>
      </c>
      <c r="S41" s="32">
        <f t="shared" si="11"/>
        <v>2870</v>
      </c>
      <c r="T41" s="32">
        <f t="shared" si="11"/>
        <v>2934</v>
      </c>
      <c r="U41" s="31">
        <f t="shared" si="11"/>
        <v>11120</v>
      </c>
      <c r="V41" s="32">
        <f t="shared" si="11"/>
        <v>2613</v>
      </c>
      <c r="W41" s="32">
        <f t="shared" si="11"/>
        <v>2864</v>
      </c>
      <c r="X41" s="32">
        <f t="shared" si="11"/>
        <v>3020</v>
      </c>
      <c r="Y41" s="32">
        <f t="shared" si="11"/>
        <v>3121</v>
      </c>
      <c r="Z41" s="31">
        <f t="shared" si="11"/>
        <v>11618</v>
      </c>
      <c r="AA41" s="32">
        <f t="shared" si="11"/>
        <v>2902</v>
      </c>
      <c r="AB41" s="32">
        <f t="shared" si="11"/>
        <v>3140</v>
      </c>
      <c r="AC41" s="32">
        <f t="shared" si="11"/>
        <v>3250</v>
      </c>
      <c r="AD41" s="32">
        <f t="shared" si="11"/>
        <v>3391</v>
      </c>
      <c r="AE41" s="31">
        <f t="shared" si="11"/>
        <v>12683</v>
      </c>
      <c r="AF41" s="32">
        <f t="shared" si="11"/>
        <v>3078</v>
      </c>
      <c r="AG41" s="32">
        <f t="shared" si="11"/>
        <v>3554</v>
      </c>
      <c r="AH41" s="32">
        <f t="shared" si="11"/>
        <v>3622</v>
      </c>
      <c r="AI41" s="32">
        <f t="shared" si="11"/>
        <v>3803</v>
      </c>
      <c r="AJ41" s="31">
        <f t="shared" si="11"/>
        <v>14057</v>
      </c>
      <c r="AK41" s="32">
        <f t="shared" si="11"/>
        <v>3353</v>
      </c>
      <c r="AL41" s="32">
        <f>SUM(AL37:AL40)</f>
        <v>3789</v>
      </c>
    </row>
    <row r="42" spans="2:38" s="11" customFormat="1" x14ac:dyDescent="0.75">
      <c r="B42" s="34" t="s">
        <v>124</v>
      </c>
      <c r="C42" s="30"/>
      <c r="D42" s="37">
        <f t="shared" ref="D42:AK42" si="12">D41-D8</f>
        <v>-6121</v>
      </c>
      <c r="E42" s="38">
        <f t="shared" si="12"/>
        <v>-6282</v>
      </c>
      <c r="F42" s="38">
        <f t="shared" si="12"/>
        <v>-6440</v>
      </c>
      <c r="G42" s="36">
        <f t="shared" si="12"/>
        <v>-2466</v>
      </c>
      <c r="H42" s="36">
        <f t="shared" si="12"/>
        <v>-2733</v>
      </c>
      <c r="I42" s="36">
        <f t="shared" si="12"/>
        <v>-1636</v>
      </c>
      <c r="J42" s="36">
        <f t="shared" si="12"/>
        <v>-2800</v>
      </c>
      <c r="K42" s="38">
        <f t="shared" si="12"/>
        <v>-10775</v>
      </c>
      <c r="L42" s="36">
        <f t="shared" si="12"/>
        <v>-1581</v>
      </c>
      <c r="M42" s="36">
        <f t="shared" si="12"/>
        <v>-1873</v>
      </c>
      <c r="N42" s="36">
        <f t="shared" si="12"/>
        <v>0</v>
      </c>
      <c r="O42" s="36">
        <f t="shared" si="12"/>
        <v>-1649</v>
      </c>
      <c r="P42" s="38">
        <f>P41-P8</f>
        <v>-3583</v>
      </c>
      <c r="Q42" s="36">
        <f t="shared" si="12"/>
        <v>0</v>
      </c>
      <c r="R42" s="36">
        <f t="shared" si="12"/>
        <v>0</v>
      </c>
      <c r="S42" s="36">
        <f t="shared" si="12"/>
        <v>0</v>
      </c>
      <c r="T42" s="36">
        <f t="shared" si="12"/>
        <v>0</v>
      </c>
      <c r="U42" s="38">
        <f t="shared" si="12"/>
        <v>0</v>
      </c>
      <c r="V42" s="36">
        <f t="shared" si="12"/>
        <v>0</v>
      </c>
      <c r="W42" s="36">
        <f t="shared" si="12"/>
        <v>0</v>
      </c>
      <c r="X42" s="36">
        <f t="shared" si="12"/>
        <v>0</v>
      </c>
      <c r="Y42" s="36">
        <f t="shared" si="12"/>
        <v>0</v>
      </c>
      <c r="Z42" s="38">
        <f t="shared" si="12"/>
        <v>0</v>
      </c>
      <c r="AA42" s="36">
        <f t="shared" si="12"/>
        <v>0</v>
      </c>
      <c r="AB42" s="36">
        <f t="shared" si="12"/>
        <v>0</v>
      </c>
      <c r="AC42" s="36">
        <f t="shared" si="12"/>
        <v>0</v>
      </c>
      <c r="AD42" s="36">
        <f t="shared" si="12"/>
        <v>0</v>
      </c>
      <c r="AE42" s="38">
        <f t="shared" si="12"/>
        <v>0</v>
      </c>
      <c r="AF42" s="36">
        <f t="shared" si="12"/>
        <v>0</v>
      </c>
      <c r="AG42" s="36">
        <f t="shared" si="12"/>
        <v>0</v>
      </c>
      <c r="AH42" s="36">
        <f t="shared" si="12"/>
        <v>0</v>
      </c>
      <c r="AI42" s="36">
        <f t="shared" si="12"/>
        <v>0</v>
      </c>
      <c r="AJ42" s="38">
        <f t="shared" si="12"/>
        <v>0</v>
      </c>
      <c r="AK42" s="36">
        <f t="shared" si="12"/>
        <v>0</v>
      </c>
      <c r="AL42" s="36">
        <f>AL41-AL8</f>
        <v>0</v>
      </c>
    </row>
    <row r="43" spans="2:38" s="11" customFormat="1" x14ac:dyDescent="0.75">
      <c r="B43" s="34"/>
      <c r="C43" s="30"/>
      <c r="D43" s="37"/>
      <c r="E43" s="38"/>
      <c r="F43" s="38"/>
      <c r="G43" s="36"/>
      <c r="H43" s="36"/>
      <c r="I43" s="36"/>
      <c r="J43" s="36"/>
      <c r="K43" s="38"/>
      <c r="L43" s="36"/>
      <c r="M43" s="36"/>
      <c r="N43" s="36"/>
      <c r="O43" s="36"/>
      <c r="P43" s="38"/>
      <c r="Q43" s="36"/>
      <c r="R43" s="36"/>
      <c r="S43" s="36"/>
      <c r="T43" s="36"/>
      <c r="U43" s="38"/>
      <c r="V43" s="36"/>
      <c r="W43" s="36"/>
      <c r="X43" s="36"/>
      <c r="Y43" s="36"/>
      <c r="Z43" s="38"/>
      <c r="AA43" s="36"/>
      <c r="AB43" s="36"/>
      <c r="AC43" s="36"/>
      <c r="AD43" s="36"/>
      <c r="AE43" s="38"/>
      <c r="AF43" s="36"/>
      <c r="AG43" s="36"/>
      <c r="AH43" s="36"/>
      <c r="AI43" s="36"/>
      <c r="AJ43" s="38"/>
      <c r="AK43" s="36"/>
      <c r="AL43" s="36"/>
    </row>
    <row r="44" spans="2:38" s="11" customFormat="1" x14ac:dyDescent="0.75">
      <c r="B44" s="30" t="s">
        <v>302</v>
      </c>
      <c r="C44" s="30"/>
      <c r="D44" s="37"/>
      <c r="E44" s="38"/>
      <c r="F44" s="38"/>
      <c r="G44" s="36"/>
      <c r="H44" s="36"/>
      <c r="I44" s="36"/>
      <c r="J44" s="36"/>
      <c r="K44" s="38"/>
      <c r="L44" s="36"/>
      <c r="M44" s="36"/>
      <c r="N44" s="36"/>
      <c r="O44" s="36"/>
      <c r="P44" s="38"/>
      <c r="Q44" s="36"/>
      <c r="R44" s="36"/>
      <c r="S44" s="36"/>
      <c r="T44" s="36"/>
      <c r="U44" s="38"/>
      <c r="V44" s="36"/>
      <c r="W44" s="36"/>
      <c r="X44" s="36"/>
      <c r="Y44" s="36"/>
      <c r="Z44" s="38"/>
      <c r="AA44" s="36"/>
      <c r="AB44" s="36"/>
      <c r="AC44" s="36"/>
      <c r="AD44" s="36"/>
      <c r="AE44" s="38"/>
      <c r="AF44" s="36"/>
      <c r="AG44" s="36"/>
      <c r="AH44" s="36"/>
      <c r="AI44" s="36"/>
      <c r="AJ44" s="38"/>
      <c r="AK44" s="36"/>
      <c r="AL44" s="36"/>
    </row>
    <row r="45" spans="2:38" s="11" customFormat="1" x14ac:dyDescent="0.75">
      <c r="B45" s="49" t="s">
        <v>305</v>
      </c>
      <c r="C45" s="30"/>
      <c r="D45" s="37"/>
      <c r="E45" s="38"/>
      <c r="F45" s="38"/>
      <c r="G45" s="36"/>
      <c r="H45" s="36"/>
      <c r="I45" s="36"/>
      <c r="J45" s="36"/>
      <c r="K45" s="38"/>
      <c r="L45" s="36"/>
      <c r="M45" s="36"/>
      <c r="N45" s="36"/>
      <c r="O45" s="36"/>
      <c r="P45" s="38"/>
      <c r="Q45" s="36"/>
      <c r="R45" s="36"/>
      <c r="S45" s="36"/>
      <c r="T45" s="36"/>
      <c r="U45" s="38"/>
      <c r="V45" s="36"/>
      <c r="W45" s="36"/>
      <c r="X45" s="36"/>
      <c r="Y45" s="36"/>
      <c r="Z45" s="38"/>
      <c r="AA45" s="36"/>
      <c r="AB45" s="36"/>
      <c r="AC45" s="36"/>
      <c r="AD45" s="36"/>
      <c r="AE45" s="38"/>
      <c r="AF45" s="36"/>
      <c r="AG45" s="36"/>
      <c r="AH45" s="36"/>
      <c r="AI45" s="36"/>
      <c r="AJ45" s="38"/>
      <c r="AK45" s="36"/>
      <c r="AL45" s="36"/>
    </row>
    <row r="46" spans="2:38" s="11" customFormat="1" x14ac:dyDescent="0.75">
      <c r="B46" s="60" t="s">
        <v>304</v>
      </c>
      <c r="C46" s="33" t="s">
        <v>306</v>
      </c>
      <c r="D46" s="63"/>
      <c r="E46" s="64"/>
      <c r="F46" s="64"/>
      <c r="G46" s="61"/>
      <c r="H46" s="61"/>
      <c r="I46" s="61"/>
      <c r="J46" s="61"/>
      <c r="K46" s="64"/>
      <c r="L46" s="61"/>
      <c r="M46" s="61"/>
      <c r="N46" s="61"/>
      <c r="O46" s="61"/>
      <c r="P46" s="64"/>
      <c r="Q46" s="61"/>
      <c r="R46" s="61"/>
      <c r="S46" s="61"/>
      <c r="T46" s="61"/>
      <c r="U46" s="65">
        <f>U38/P38-1</f>
        <v>1.3542628501077347E-2</v>
      </c>
      <c r="V46" s="62">
        <f t="shared" ref="V46:AK46" si="13">V38/Q38-1</f>
        <v>-2.5220680958385477E-3</v>
      </c>
      <c r="W46" s="62">
        <f t="shared" si="13"/>
        <v>6.0025542784163388E-2</v>
      </c>
      <c r="X46" s="62">
        <f t="shared" si="13"/>
        <v>-1.4563106796116498E-2</v>
      </c>
      <c r="Y46" s="62">
        <f t="shared" si="13"/>
        <v>4.8152295632698738E-2</v>
      </c>
      <c r="Z46" s="65">
        <f t="shared" si="13"/>
        <v>2.307925903431518E-2</v>
      </c>
      <c r="AA46" s="62">
        <f t="shared" si="13"/>
        <v>0.1415929203539823</v>
      </c>
      <c r="AB46" s="62">
        <f t="shared" si="13"/>
        <v>1.2048192771083599E-3</v>
      </c>
      <c r="AC46" s="62">
        <f t="shared" si="13"/>
        <v>4.4334975369458185E-2</v>
      </c>
      <c r="AD46" s="62">
        <f t="shared" si="13"/>
        <v>2.9914529914529808E-2</v>
      </c>
      <c r="AE46" s="65">
        <f t="shared" si="13"/>
        <v>5.2537845057880617E-2</v>
      </c>
      <c r="AF46" s="62">
        <f t="shared" si="13"/>
        <v>-5.3156146179402008E-2</v>
      </c>
      <c r="AG46" s="62">
        <f t="shared" si="13"/>
        <v>9.1456077015643844E-2</v>
      </c>
      <c r="AH46" s="62">
        <f t="shared" si="13"/>
        <v>7.6650943396226356E-2</v>
      </c>
      <c r="AI46" s="62">
        <f t="shared" si="13"/>
        <v>0.13796680497925307</v>
      </c>
      <c r="AJ46" s="65">
        <f t="shared" si="13"/>
        <v>6.3733784545967342E-2</v>
      </c>
      <c r="AK46" s="62">
        <f t="shared" si="13"/>
        <v>3.8596491228070073E-2</v>
      </c>
      <c r="AL46" s="62">
        <f>AL38/AG38-1</f>
        <v>-4.1896361631753032E-2</v>
      </c>
    </row>
    <row r="47" spans="2:38" s="11" customFormat="1" x14ac:dyDescent="0.75">
      <c r="B47" s="60" t="s">
        <v>284</v>
      </c>
      <c r="C47" s="33" t="s">
        <v>307</v>
      </c>
      <c r="D47" s="63"/>
      <c r="E47" s="64"/>
      <c r="F47" s="64"/>
      <c r="G47" s="61"/>
      <c r="H47" s="61"/>
      <c r="I47" s="61"/>
      <c r="J47" s="61"/>
      <c r="K47" s="64"/>
      <c r="L47" s="61"/>
      <c r="M47" s="61"/>
      <c r="N47" s="61"/>
      <c r="O47" s="61"/>
      <c r="P47" s="64"/>
      <c r="Q47" s="61"/>
      <c r="R47" s="61"/>
      <c r="S47" s="61"/>
      <c r="T47" s="61"/>
      <c r="U47" s="65">
        <f t="shared" ref="U47:AK47" si="14">U39/P39-1</f>
        <v>0.12441679626749602</v>
      </c>
      <c r="V47" s="62">
        <f t="shared" si="14"/>
        <v>3.2520325203251987E-2</v>
      </c>
      <c r="W47" s="62">
        <f t="shared" si="14"/>
        <v>0.12337662337662336</v>
      </c>
      <c r="X47" s="62">
        <f t="shared" si="14"/>
        <v>0.22994652406417115</v>
      </c>
      <c r="Y47" s="62">
        <f t="shared" si="14"/>
        <v>0.23552123552123549</v>
      </c>
      <c r="Z47" s="65">
        <f t="shared" si="14"/>
        <v>0.17565698478561553</v>
      </c>
      <c r="AA47" s="62">
        <f t="shared" si="14"/>
        <v>0.37007874015748032</v>
      </c>
      <c r="AB47" s="62">
        <f t="shared" si="14"/>
        <v>0.21387283236994215</v>
      </c>
      <c r="AC47" s="62">
        <f t="shared" si="14"/>
        <v>5.6521739130434678E-2</v>
      </c>
      <c r="AD47" s="62">
        <f t="shared" si="14"/>
        <v>-0.125</v>
      </c>
      <c r="AE47" s="65">
        <f t="shared" si="14"/>
        <v>6.7058823529411837E-2</v>
      </c>
      <c r="AF47" s="62">
        <f t="shared" si="14"/>
        <v>2.2988505747126409E-2</v>
      </c>
      <c r="AG47" s="62">
        <f t="shared" si="14"/>
        <v>3.3333333333333437E-2</v>
      </c>
      <c r="AH47" s="62">
        <f t="shared" si="14"/>
        <v>-7.407407407407407E-2</v>
      </c>
      <c r="AI47" s="62">
        <f t="shared" si="14"/>
        <v>0.19999999999999996</v>
      </c>
      <c r="AJ47" s="65">
        <f t="shared" si="14"/>
        <v>1.7640573318632891E-2</v>
      </c>
      <c r="AK47" s="62">
        <f t="shared" si="14"/>
        <v>-0.2303370786516854</v>
      </c>
      <c r="AL47" s="62">
        <f>AL39/AG39-1</f>
        <v>-0.12442396313364057</v>
      </c>
    </row>
    <row r="48" spans="2:38" s="11" customFormat="1" x14ac:dyDescent="0.75">
      <c r="B48" s="34"/>
      <c r="C48" s="30"/>
      <c r="D48" s="37"/>
      <c r="E48" s="38"/>
      <c r="F48" s="38"/>
      <c r="G48" s="36"/>
      <c r="H48" s="36"/>
      <c r="I48" s="36"/>
      <c r="J48" s="36"/>
      <c r="K48" s="38"/>
      <c r="L48" s="36"/>
      <c r="M48" s="36"/>
      <c r="N48" s="36"/>
      <c r="O48" s="36"/>
      <c r="P48" s="38"/>
      <c r="Q48" s="36"/>
      <c r="R48" s="36"/>
      <c r="S48" s="36"/>
      <c r="T48" s="36"/>
      <c r="U48" s="38"/>
      <c r="V48" s="36"/>
      <c r="W48" s="36"/>
      <c r="X48" s="36"/>
      <c r="Y48" s="36"/>
      <c r="Z48" s="38"/>
      <c r="AA48" s="36"/>
      <c r="AB48" s="36"/>
      <c r="AC48" s="36"/>
      <c r="AD48" s="36"/>
      <c r="AE48" s="38"/>
      <c r="AF48" s="36"/>
      <c r="AG48" s="36"/>
      <c r="AH48" s="36"/>
      <c r="AI48" s="36"/>
      <c r="AJ48" s="38"/>
      <c r="AK48" s="36"/>
      <c r="AL48" s="36"/>
    </row>
    <row r="49" spans="2:38" s="11" customFormat="1" x14ac:dyDescent="0.75">
      <c r="B49" s="33" t="s">
        <v>316</v>
      </c>
      <c r="C49" s="33" t="s">
        <v>317</v>
      </c>
      <c r="D49" s="37"/>
      <c r="E49" s="38"/>
      <c r="F49" s="38"/>
      <c r="G49" s="36"/>
      <c r="H49" s="36"/>
      <c r="I49" s="36"/>
      <c r="J49" s="36"/>
      <c r="K49" s="38"/>
      <c r="L49" s="36"/>
      <c r="M49" s="36"/>
      <c r="N49" s="36"/>
      <c r="O49" s="36"/>
      <c r="P49" s="65">
        <f t="shared" ref="P49:AK49" si="15">P39/SUM(P38:P39)</f>
        <v>0.16521068859198357</v>
      </c>
      <c r="Q49" s="62">
        <f t="shared" si="15"/>
        <v>0.13427947598253276</v>
      </c>
      <c r="R49" s="62">
        <f t="shared" si="15"/>
        <v>0.16435432230522945</v>
      </c>
      <c r="S49" s="62">
        <f t="shared" si="15"/>
        <v>0.18496538081107813</v>
      </c>
      <c r="T49" s="62">
        <f t="shared" si="15"/>
        <v>0.2248263888888889</v>
      </c>
      <c r="U49" s="65">
        <f t="shared" si="15"/>
        <v>0.18002988047808766</v>
      </c>
      <c r="V49" s="62">
        <f t="shared" si="15"/>
        <v>0.1383442265795207</v>
      </c>
      <c r="W49" s="62">
        <f t="shared" si="15"/>
        <v>0.17248255234297108</v>
      </c>
      <c r="X49" s="62">
        <f t="shared" si="15"/>
        <v>0.22072936660268713</v>
      </c>
      <c r="Y49" s="62">
        <f t="shared" si="15"/>
        <v>0.25477707006369427</v>
      </c>
      <c r="Z49" s="65">
        <f t="shared" si="15"/>
        <v>0.20146954254562693</v>
      </c>
      <c r="AA49" s="62">
        <f t="shared" si="15"/>
        <v>0.16155988857938719</v>
      </c>
      <c r="AB49" s="62">
        <f t="shared" si="15"/>
        <v>0.20172910662824209</v>
      </c>
      <c r="AC49" s="62">
        <f t="shared" si="15"/>
        <v>0.22273143904674611</v>
      </c>
      <c r="AD49" s="62">
        <f t="shared" si="15"/>
        <v>0.22508038585209003</v>
      </c>
      <c r="AE49" s="65">
        <f t="shared" si="15"/>
        <v>0.20368291039748485</v>
      </c>
      <c r="AF49" s="62">
        <f t="shared" si="15"/>
        <v>0.17231364956437561</v>
      </c>
      <c r="AG49" s="62">
        <f t="shared" si="15"/>
        <v>0.19306049822064056</v>
      </c>
      <c r="AH49" s="62">
        <f t="shared" si="15"/>
        <v>0.1977152899824253</v>
      </c>
      <c r="AI49" s="62">
        <f t="shared" si="15"/>
        <v>0.23447313328681088</v>
      </c>
      <c r="AJ49" s="65">
        <f t="shared" si="15"/>
        <v>0.19659211927582534</v>
      </c>
      <c r="AK49" s="62">
        <f t="shared" si="15"/>
        <v>0.13365853658536586</v>
      </c>
      <c r="AL49" s="62">
        <f>AL39/SUM(AL38:AL39)</f>
        <v>0.17941454202077431</v>
      </c>
    </row>
    <row r="50" spans="2:38" s="11" customFormat="1" x14ac:dyDescent="0.75">
      <c r="B50" s="34"/>
      <c r="C50" s="30"/>
      <c r="D50" s="37"/>
      <c r="E50" s="38"/>
      <c r="F50" s="38"/>
      <c r="G50" s="36"/>
      <c r="H50" s="36"/>
      <c r="I50" s="36"/>
      <c r="J50" s="36"/>
      <c r="K50" s="38"/>
      <c r="L50" s="36"/>
      <c r="M50" s="36"/>
      <c r="N50" s="36"/>
      <c r="O50" s="36"/>
      <c r="P50" s="38"/>
      <c r="Q50" s="36"/>
      <c r="R50" s="36"/>
      <c r="S50" s="36"/>
      <c r="T50" s="36"/>
      <c r="U50" s="38"/>
      <c r="V50" s="36"/>
      <c r="W50" s="36"/>
      <c r="X50" s="36"/>
      <c r="Y50" s="36"/>
      <c r="Z50" s="38"/>
      <c r="AA50" s="36"/>
      <c r="AB50" s="36"/>
      <c r="AC50" s="36"/>
      <c r="AD50" s="36"/>
      <c r="AE50" s="38"/>
      <c r="AF50" s="36"/>
      <c r="AG50" s="36"/>
      <c r="AH50" s="36"/>
      <c r="AI50" s="36"/>
      <c r="AJ50" s="38"/>
      <c r="AK50" s="36"/>
      <c r="AL50" s="36"/>
    </row>
    <row r="51" spans="2:38" s="11" customFormat="1" x14ac:dyDescent="0.75">
      <c r="B51" s="30" t="s">
        <v>289</v>
      </c>
      <c r="C51" s="30"/>
      <c r="D51" s="37"/>
      <c r="E51" s="38"/>
      <c r="F51" s="38"/>
      <c r="G51" s="36"/>
      <c r="H51" s="36"/>
      <c r="I51" s="36"/>
      <c r="J51" s="36"/>
      <c r="K51" s="38"/>
      <c r="L51" s="36"/>
      <c r="M51" s="36"/>
      <c r="N51" s="36"/>
      <c r="O51" s="36"/>
      <c r="P51" s="38"/>
      <c r="Q51" s="36"/>
      <c r="R51" s="36"/>
      <c r="S51" s="36"/>
      <c r="T51" s="36"/>
      <c r="U51" s="38"/>
      <c r="V51" s="36"/>
      <c r="W51" s="36"/>
      <c r="X51" s="36"/>
      <c r="Y51" s="36"/>
      <c r="Z51" s="38"/>
      <c r="AA51" s="36"/>
      <c r="AB51" s="36"/>
      <c r="AC51" s="36"/>
      <c r="AD51" s="36"/>
      <c r="AE51" s="38"/>
      <c r="AF51" s="36"/>
      <c r="AG51" s="36"/>
      <c r="AH51" s="36"/>
      <c r="AI51" s="36"/>
      <c r="AJ51" s="38"/>
      <c r="AK51" s="36"/>
      <c r="AL51" s="36"/>
    </row>
    <row r="52" spans="2:38" s="45" customFormat="1" x14ac:dyDescent="0.75">
      <c r="B52" s="48" t="s">
        <v>290</v>
      </c>
      <c r="C52" s="42"/>
      <c r="D52" s="67">
        <v>0.65</v>
      </c>
      <c r="E52" s="68">
        <v>0.67</v>
      </c>
      <c r="F52" s="68">
        <v>0.65</v>
      </c>
      <c r="G52" s="69"/>
      <c r="H52" s="69"/>
      <c r="I52" s="69"/>
      <c r="J52" s="69"/>
      <c r="K52" s="68">
        <v>0.65</v>
      </c>
      <c r="L52" s="70">
        <v>0.64500000000000002</v>
      </c>
      <c r="M52" s="70">
        <v>0.64</v>
      </c>
      <c r="N52" s="70">
        <v>0.63500000000000001</v>
      </c>
      <c r="O52" s="70">
        <v>0.63</v>
      </c>
      <c r="P52" s="68">
        <v>0.62</v>
      </c>
      <c r="Q52" s="70">
        <v>0.61499999999999999</v>
      </c>
      <c r="R52" s="70">
        <v>0.61</v>
      </c>
      <c r="S52" s="70">
        <v>0.60499999999999998</v>
      </c>
      <c r="T52" s="70">
        <v>0.6</v>
      </c>
      <c r="U52" s="68">
        <v>0.6</v>
      </c>
      <c r="V52" s="70">
        <v>0.59499999999999997</v>
      </c>
      <c r="W52" s="70">
        <v>0.59</v>
      </c>
      <c r="X52" s="70">
        <v>0.58499999999999996</v>
      </c>
      <c r="Y52" s="70">
        <v>0.57999999999999996</v>
      </c>
      <c r="Z52" s="71">
        <v>0.57999999999999996</v>
      </c>
      <c r="AA52" s="70">
        <v>0.57499999999999996</v>
      </c>
      <c r="AB52" s="70">
        <v>0.56999999999999995</v>
      </c>
      <c r="AC52" s="70">
        <v>0.56499999999999995</v>
      </c>
      <c r="AD52" s="70">
        <v>0.56000000000000005</v>
      </c>
      <c r="AE52" s="71">
        <v>0.56000000000000005</v>
      </c>
      <c r="AF52" s="70">
        <v>0.55500000000000005</v>
      </c>
      <c r="AG52" s="70">
        <v>0.55000000000000004</v>
      </c>
      <c r="AH52" s="70">
        <v>0.54500000000000004</v>
      </c>
      <c r="AI52" s="70">
        <v>0.54</v>
      </c>
      <c r="AJ52" s="71">
        <v>0.54</v>
      </c>
      <c r="AK52" s="70">
        <v>0.53500000000000003</v>
      </c>
      <c r="AL52" s="70">
        <v>0.53</v>
      </c>
    </row>
    <row r="53" spans="2:38" s="11" customFormat="1" x14ac:dyDescent="0.75">
      <c r="B53" s="49" t="s">
        <v>291</v>
      </c>
      <c r="C53" s="30"/>
      <c r="D53" s="51">
        <v>6.1</v>
      </c>
      <c r="E53" s="52">
        <v>6.2</v>
      </c>
      <c r="F53" s="52">
        <v>5.9</v>
      </c>
      <c r="G53" s="53"/>
      <c r="H53" s="53"/>
      <c r="I53" s="53"/>
      <c r="J53" s="53"/>
      <c r="K53" s="52">
        <v>5.8</v>
      </c>
      <c r="L53" s="53"/>
      <c r="M53" s="53"/>
      <c r="N53" s="53"/>
      <c r="O53" s="53"/>
      <c r="P53" s="52">
        <v>5.7</v>
      </c>
      <c r="Q53" s="53"/>
      <c r="R53" s="53"/>
      <c r="S53" s="53"/>
      <c r="T53" s="53"/>
      <c r="U53" s="52">
        <v>5.5</v>
      </c>
      <c r="V53" s="36"/>
      <c r="W53" s="36"/>
      <c r="X53" s="36"/>
      <c r="Y53" s="36"/>
      <c r="Z53" s="38"/>
      <c r="AA53" s="36"/>
      <c r="AB53" s="36"/>
      <c r="AC53" s="36"/>
      <c r="AD53" s="36"/>
      <c r="AE53" s="38"/>
      <c r="AF53" s="36"/>
      <c r="AG53" s="36"/>
      <c r="AH53" s="36"/>
      <c r="AI53" s="36"/>
      <c r="AJ53" s="38"/>
      <c r="AK53" s="36"/>
      <c r="AL53" s="36"/>
    </row>
    <row r="54" spans="2:38" s="45" customFormat="1" x14ac:dyDescent="0.75">
      <c r="B54" s="48" t="s">
        <v>292</v>
      </c>
      <c r="C54" s="42"/>
      <c r="D54" s="46">
        <f>D52/D53</f>
        <v>0.10655737704918034</v>
      </c>
      <c r="E54" s="46">
        <f>E52/E53</f>
        <v>0.10806451612903226</v>
      </c>
      <c r="F54" s="46">
        <f>F52/F53</f>
        <v>0.11016949152542373</v>
      </c>
      <c r="G54" s="47"/>
      <c r="H54" s="47"/>
      <c r="I54" s="47"/>
      <c r="J54" s="47"/>
      <c r="K54" s="46">
        <f>K52/K53</f>
        <v>0.11206896551724138</v>
      </c>
      <c r="M54" s="47"/>
      <c r="N54" s="47"/>
      <c r="O54" s="47"/>
      <c r="P54" s="46">
        <f>P52/P53</f>
        <v>0.10877192982456139</v>
      </c>
      <c r="Q54" s="47"/>
      <c r="R54" s="47"/>
      <c r="S54" s="47"/>
      <c r="T54" s="47"/>
      <c r="U54" s="46">
        <f>U52/U53</f>
        <v>0.10909090909090909</v>
      </c>
      <c r="V54" s="44"/>
      <c r="W54" s="44"/>
      <c r="X54" s="44"/>
      <c r="Y54" s="44"/>
      <c r="Z54" s="43"/>
      <c r="AA54" s="44"/>
      <c r="AB54" s="44"/>
      <c r="AC54" s="44"/>
      <c r="AD54" s="44"/>
      <c r="AE54" s="43"/>
      <c r="AF54" s="44"/>
      <c r="AG54" s="44"/>
      <c r="AH54" s="44"/>
      <c r="AI54" s="44"/>
      <c r="AJ54" s="43"/>
      <c r="AK54" s="44"/>
      <c r="AL54" s="44"/>
    </row>
    <row r="55" spans="2:38" s="45" customFormat="1" x14ac:dyDescent="0.75">
      <c r="B55" s="48" t="s">
        <v>293</v>
      </c>
      <c r="C55" s="41" t="s">
        <v>297</v>
      </c>
      <c r="D55" s="46"/>
      <c r="E55" s="46"/>
      <c r="F55" s="46"/>
      <c r="G55" s="47"/>
      <c r="H55" s="47"/>
      <c r="I55" s="47"/>
      <c r="J55" s="47"/>
      <c r="K55" s="46"/>
      <c r="L55" s="35">
        <f>L26/L52</f>
        <v>1231.0077519379845</v>
      </c>
      <c r="M55" s="35">
        <f t="shared" ref="M55:O55" si="16">M26/M52</f>
        <v>1192.1875</v>
      </c>
      <c r="N55" s="35">
        <f t="shared" si="16"/>
        <v>1308.6614173228347</v>
      </c>
      <c r="O55" s="35">
        <f t="shared" si="16"/>
        <v>1366.6666666666667</v>
      </c>
      <c r="P55" s="50">
        <f>P26/P52</f>
        <v>5240.322580645161</v>
      </c>
      <c r="Q55" s="35">
        <f>Q26/Q52</f>
        <v>1289.4308943089432</v>
      </c>
      <c r="R55" s="35">
        <f t="shared" ref="R55:T55" si="17">R26/R52</f>
        <v>1283.6065573770493</v>
      </c>
      <c r="S55" s="35">
        <f t="shared" si="17"/>
        <v>1361.9834710743803</v>
      </c>
      <c r="T55" s="35">
        <f t="shared" si="17"/>
        <v>1488.3333333333335</v>
      </c>
      <c r="U55" s="50">
        <f>U26/U52</f>
        <v>5488.3333333333339</v>
      </c>
      <c r="V55" s="35">
        <f>V26/V52</f>
        <v>1329.4117647058824</v>
      </c>
      <c r="W55" s="35">
        <f t="shared" ref="W55:Y55" si="18">W26/W52</f>
        <v>1406.7796610169491</v>
      </c>
      <c r="X55" s="35">
        <f t="shared" si="18"/>
        <v>1388.0341880341882</v>
      </c>
      <c r="Y55" s="35">
        <f t="shared" si="18"/>
        <v>1613.793103448276</v>
      </c>
      <c r="Z55" s="50">
        <f>Z26/Z52</f>
        <v>5808.620689655173</v>
      </c>
      <c r="AA55" s="35">
        <f>AA26/AA52</f>
        <v>1570.4347826086957</v>
      </c>
      <c r="AB55" s="35">
        <f t="shared" ref="AB55:AD55" si="19">AB26/AB52</f>
        <v>1457.8947368421054</v>
      </c>
      <c r="AC55" s="35">
        <f t="shared" si="19"/>
        <v>1500.8849557522126</v>
      </c>
      <c r="AD55" s="35">
        <f t="shared" si="19"/>
        <v>1721.4285714285713</v>
      </c>
      <c r="AE55" s="50">
        <f>AE26/AE52</f>
        <v>6332.1428571428569</v>
      </c>
      <c r="AF55" s="35">
        <f>AF26/AF52</f>
        <v>1349.5495495495495</v>
      </c>
      <c r="AG55" s="35">
        <f t="shared" ref="AG55:AL55" si="20">AG26/AG52</f>
        <v>1450.9090909090908</v>
      </c>
      <c r="AH55" s="35">
        <f t="shared" si="20"/>
        <v>1675.229357798165</v>
      </c>
      <c r="AI55" s="35">
        <f t="shared" si="20"/>
        <v>2031.4814814814813</v>
      </c>
      <c r="AJ55" s="50">
        <f>AJ26/AJ52</f>
        <v>6985.1851851851843</v>
      </c>
      <c r="AK55" s="35">
        <f t="shared" si="20"/>
        <v>1441.1214953271028</v>
      </c>
      <c r="AL55" s="35">
        <f t="shared" si="20"/>
        <v>1435.8490566037735</v>
      </c>
    </row>
    <row r="56" spans="2:38" s="45" customFormat="1" x14ac:dyDescent="0.75">
      <c r="B56" s="48"/>
      <c r="C56" s="41"/>
      <c r="D56" s="46"/>
      <c r="E56" s="46"/>
      <c r="F56" s="46"/>
      <c r="G56" s="47"/>
      <c r="H56" s="47"/>
      <c r="I56" s="47"/>
      <c r="J56" s="47"/>
      <c r="K56" s="46"/>
      <c r="L56" s="35"/>
      <c r="M56" s="35"/>
      <c r="N56" s="35"/>
      <c r="O56" s="35"/>
      <c r="P56" s="50"/>
      <c r="Q56" s="35"/>
      <c r="R56" s="35"/>
      <c r="S56" s="35"/>
      <c r="T56" s="35"/>
      <c r="U56" s="50"/>
      <c r="V56" s="35"/>
      <c r="W56" s="35"/>
      <c r="X56" s="35"/>
      <c r="Y56" s="35"/>
      <c r="Z56" s="50"/>
      <c r="AA56" s="35"/>
      <c r="AB56" s="35"/>
      <c r="AC56" s="35"/>
      <c r="AD56" s="35"/>
      <c r="AE56" s="50"/>
      <c r="AF56" s="35"/>
      <c r="AG56" s="35"/>
      <c r="AH56" s="35"/>
      <c r="AI56" s="35"/>
      <c r="AJ56" s="50"/>
      <c r="AK56" s="35"/>
      <c r="AL56" s="35"/>
    </row>
    <row r="57" spans="2:38" s="45" customFormat="1" x14ac:dyDescent="0.75">
      <c r="B57" s="41" t="s">
        <v>337</v>
      </c>
      <c r="C57" s="41"/>
      <c r="D57" s="46"/>
      <c r="E57" s="46"/>
      <c r="F57" s="46"/>
      <c r="G57" s="47"/>
      <c r="H57" s="47"/>
      <c r="I57" s="47"/>
      <c r="J57" s="47"/>
      <c r="K57" s="46"/>
      <c r="L57" s="35"/>
      <c r="M57" s="35"/>
      <c r="N57" s="35"/>
      <c r="O57" s="35"/>
      <c r="P57" s="88">
        <v>28</v>
      </c>
      <c r="Q57" s="54"/>
      <c r="R57" s="54"/>
      <c r="S57" s="54"/>
      <c r="T57" s="54"/>
      <c r="U57" s="88">
        <v>30</v>
      </c>
      <c r="V57" s="54"/>
      <c r="W57" s="54"/>
      <c r="X57" s="54"/>
      <c r="Y57" s="54"/>
      <c r="Z57" s="88">
        <v>33</v>
      </c>
      <c r="AA57" s="54"/>
      <c r="AB57" s="54"/>
      <c r="AC57" s="54"/>
      <c r="AD57" s="54"/>
      <c r="AE57" s="88">
        <v>36</v>
      </c>
      <c r="AF57" s="54"/>
      <c r="AG57" s="54"/>
      <c r="AH57" s="54"/>
      <c r="AI57" s="54"/>
      <c r="AJ57" s="88">
        <v>38</v>
      </c>
      <c r="AK57" s="35"/>
      <c r="AL57" s="35"/>
    </row>
    <row r="58" spans="2:38" s="45" customFormat="1" x14ac:dyDescent="0.75">
      <c r="B58" s="48"/>
      <c r="C58" s="41"/>
      <c r="D58" s="46"/>
      <c r="E58" s="46"/>
      <c r="F58" s="46"/>
      <c r="G58" s="47"/>
      <c r="H58" s="47"/>
      <c r="I58" s="47"/>
      <c r="J58" s="47"/>
      <c r="K58" s="46"/>
      <c r="L58" s="35"/>
      <c r="M58" s="35"/>
      <c r="N58" s="35"/>
      <c r="O58" s="35"/>
      <c r="P58" s="50"/>
      <c r="Q58" s="35"/>
      <c r="R58" s="35"/>
      <c r="S58" s="35"/>
      <c r="T58" s="35"/>
      <c r="U58" s="50"/>
      <c r="V58" s="35"/>
      <c r="W58" s="35"/>
      <c r="X58" s="35"/>
      <c r="Y58" s="35"/>
      <c r="Z58" s="50"/>
      <c r="AA58" s="35"/>
      <c r="AB58" s="35"/>
      <c r="AC58" s="35"/>
      <c r="AD58" s="35"/>
      <c r="AE58" s="50"/>
      <c r="AF58" s="35"/>
      <c r="AG58" s="35"/>
      <c r="AH58" s="35"/>
      <c r="AI58" s="35"/>
      <c r="AJ58" s="50"/>
      <c r="AK58" s="35"/>
      <c r="AL58" s="35"/>
    </row>
    <row r="59" spans="2:38" s="74" customFormat="1" x14ac:dyDescent="0.75">
      <c r="B59" s="74" t="s">
        <v>318</v>
      </c>
      <c r="D59" s="75"/>
      <c r="E59" s="75"/>
      <c r="F59" s="75"/>
      <c r="G59" s="76"/>
      <c r="H59" s="76"/>
      <c r="I59" s="76"/>
      <c r="J59" s="76"/>
      <c r="K59" s="75"/>
      <c r="L59" s="76"/>
      <c r="M59" s="76"/>
      <c r="N59" s="76"/>
      <c r="O59" s="76">
        <v>2019</v>
      </c>
      <c r="P59" s="75">
        <v>2019</v>
      </c>
      <c r="Q59" s="76">
        <v>2019</v>
      </c>
      <c r="R59" s="76">
        <v>2019</v>
      </c>
      <c r="S59" s="76">
        <v>2019</v>
      </c>
      <c r="T59" s="76">
        <v>2020</v>
      </c>
      <c r="U59" s="75">
        <v>2020</v>
      </c>
      <c r="V59" s="76">
        <v>2020</v>
      </c>
      <c r="W59" s="76">
        <v>2020</v>
      </c>
      <c r="X59" s="76">
        <v>2020</v>
      </c>
      <c r="Y59" s="76">
        <v>2021</v>
      </c>
      <c r="Z59" s="75">
        <v>2021</v>
      </c>
      <c r="AA59" s="76">
        <v>2021</v>
      </c>
      <c r="AB59" s="76">
        <v>2021</v>
      </c>
      <c r="AC59" s="76">
        <v>2021</v>
      </c>
      <c r="AD59" s="76">
        <v>2022</v>
      </c>
      <c r="AE59" s="75">
        <v>2022</v>
      </c>
      <c r="AF59" s="76">
        <v>2022</v>
      </c>
      <c r="AG59" s="76">
        <v>2022</v>
      </c>
      <c r="AH59" s="76">
        <v>2022</v>
      </c>
      <c r="AI59" s="76">
        <v>2023</v>
      </c>
      <c r="AJ59" s="75">
        <v>2023</v>
      </c>
      <c r="AK59" s="76">
        <v>2023</v>
      </c>
      <c r="AL59" s="76">
        <v>2023</v>
      </c>
    </row>
    <row r="60" spans="2:38" s="82" customFormat="1" x14ac:dyDescent="0.75">
      <c r="B60" s="48" t="s">
        <v>319</v>
      </c>
      <c r="C60" s="77"/>
      <c r="D60" s="78"/>
      <c r="E60" s="78"/>
      <c r="F60" s="78"/>
      <c r="G60" s="79"/>
      <c r="H60" s="79"/>
      <c r="I60" s="79"/>
      <c r="J60" s="79"/>
      <c r="K60" s="80"/>
      <c r="L60" s="81"/>
      <c r="M60" s="81"/>
      <c r="N60" s="81"/>
      <c r="O60" s="90" t="s">
        <v>332</v>
      </c>
      <c r="P60" s="89" t="s">
        <v>332</v>
      </c>
      <c r="Q60" s="90" t="s">
        <v>332</v>
      </c>
      <c r="R60" s="90" t="s">
        <v>332</v>
      </c>
      <c r="S60" s="90" t="s">
        <v>332</v>
      </c>
      <c r="T60" s="90" t="s">
        <v>333</v>
      </c>
      <c r="U60" s="89" t="s">
        <v>333</v>
      </c>
      <c r="V60" s="90" t="s">
        <v>333</v>
      </c>
      <c r="W60" s="90" t="s">
        <v>333</v>
      </c>
      <c r="X60" s="90" t="s">
        <v>333</v>
      </c>
      <c r="Y60" s="90" t="str">
        <f>Z60</f>
        <v>[2%, 3%]</v>
      </c>
      <c r="Z60" s="89" t="s">
        <v>332</v>
      </c>
      <c r="AA60" s="90" t="s">
        <v>331</v>
      </c>
      <c r="AB60" s="90" t="s">
        <v>321</v>
      </c>
      <c r="AC60" s="90" t="s">
        <v>328</v>
      </c>
      <c r="AD60" s="90" t="s">
        <v>325</v>
      </c>
      <c r="AE60" s="89" t="s">
        <v>325</v>
      </c>
      <c r="AF60" s="90" t="s">
        <v>327</v>
      </c>
      <c r="AG60" s="91" t="s">
        <v>326</v>
      </c>
      <c r="AH60" s="90" t="s">
        <v>324</v>
      </c>
      <c r="AI60" s="90" t="str">
        <f>AJ60</f>
        <v>[5%]</v>
      </c>
      <c r="AJ60" s="89" t="s">
        <v>323</v>
      </c>
      <c r="AK60" s="92" t="s">
        <v>323</v>
      </c>
      <c r="AL60" s="92" t="s">
        <v>322</v>
      </c>
    </row>
    <row r="61" spans="2:38" s="82" customFormat="1" x14ac:dyDescent="0.75">
      <c r="B61" s="48" t="s">
        <v>320</v>
      </c>
      <c r="C61" s="77"/>
      <c r="D61" s="78"/>
      <c r="E61" s="78"/>
      <c r="F61" s="78"/>
      <c r="G61" s="79"/>
      <c r="H61" s="79"/>
      <c r="I61" s="79"/>
      <c r="J61" s="79"/>
      <c r="K61" s="83"/>
      <c r="L61" s="72"/>
      <c r="M61" s="72"/>
      <c r="N61" s="72"/>
      <c r="O61" s="94" t="s">
        <v>336</v>
      </c>
      <c r="P61" s="93" t="s">
        <v>336</v>
      </c>
      <c r="Q61" s="94" t="s">
        <v>336</v>
      </c>
      <c r="R61" s="94" t="s">
        <v>336</v>
      </c>
      <c r="S61" s="94" t="s">
        <v>336</v>
      </c>
      <c r="T61" s="94" t="s">
        <v>329</v>
      </c>
      <c r="U61" s="93" t="s">
        <v>329</v>
      </c>
      <c r="V61" s="94" t="s">
        <v>329</v>
      </c>
      <c r="W61" s="94" t="s">
        <v>329</v>
      </c>
      <c r="X61" s="94" t="s">
        <v>329</v>
      </c>
      <c r="Y61" s="90" t="str">
        <f>Z61</f>
        <v>[13%, 15%]</v>
      </c>
      <c r="Z61" s="93" t="s">
        <v>329</v>
      </c>
      <c r="AA61" s="94" t="s">
        <v>329</v>
      </c>
      <c r="AB61" s="94" t="s">
        <v>329</v>
      </c>
      <c r="AC61" s="94" t="s">
        <v>329</v>
      </c>
      <c r="AD61" s="94" t="s">
        <v>325</v>
      </c>
      <c r="AE61" s="93" t="s">
        <v>325</v>
      </c>
      <c r="AF61" s="94" t="s">
        <v>325</v>
      </c>
      <c r="AG61" s="94" t="s">
        <v>325</v>
      </c>
      <c r="AH61" s="94" t="s">
        <v>325</v>
      </c>
      <c r="AI61" s="94" t="str">
        <f>AJ61</f>
        <v>[6%, 7%]</v>
      </c>
      <c r="AJ61" s="93" t="s">
        <v>321</v>
      </c>
      <c r="AK61" s="94" t="s">
        <v>321</v>
      </c>
      <c r="AL61" s="94" t="s">
        <v>321</v>
      </c>
    </row>
    <row r="62" spans="2:38" s="45" customFormat="1" x14ac:dyDescent="0.75">
      <c r="B62" s="48" t="s">
        <v>330</v>
      </c>
      <c r="C62" s="41"/>
      <c r="D62" s="46"/>
      <c r="E62" s="46"/>
      <c r="F62" s="46"/>
      <c r="G62" s="47"/>
      <c r="H62" s="47"/>
      <c r="I62" s="47"/>
      <c r="J62" s="47"/>
      <c r="K62" s="46"/>
      <c r="L62" s="35"/>
      <c r="M62" s="35"/>
      <c r="N62" s="35"/>
      <c r="O62" s="35"/>
      <c r="P62" s="50"/>
      <c r="Q62" s="35"/>
      <c r="R62" s="35"/>
      <c r="S62" s="35"/>
      <c r="T62" s="35"/>
      <c r="U62" s="50"/>
      <c r="V62" s="35"/>
      <c r="W62" s="35"/>
      <c r="X62" s="72" t="s">
        <v>334</v>
      </c>
      <c r="Y62" s="35"/>
      <c r="Z62" s="50"/>
      <c r="AA62" s="72" t="s">
        <v>335</v>
      </c>
      <c r="AB62" s="72" t="s">
        <v>335</v>
      </c>
      <c r="AC62" s="72" t="s">
        <v>335</v>
      </c>
      <c r="AD62" s="35"/>
      <c r="AE62" s="50"/>
      <c r="AF62" s="35"/>
      <c r="AG62" s="35"/>
      <c r="AH62" s="35"/>
      <c r="AI62" s="35"/>
      <c r="AJ62" s="50"/>
      <c r="AK62" s="35"/>
      <c r="AL62" s="35"/>
    </row>
    <row r="63" spans="2:38" s="45" customFormat="1" x14ac:dyDescent="0.75">
      <c r="B63" s="48"/>
      <c r="C63" s="41"/>
      <c r="D63" s="46"/>
      <c r="E63" s="46"/>
      <c r="F63" s="46"/>
      <c r="G63" s="47"/>
      <c r="H63" s="47"/>
      <c r="I63" s="47"/>
      <c r="J63" s="47"/>
      <c r="K63" s="46"/>
      <c r="L63" s="35"/>
      <c r="M63" s="35"/>
      <c r="N63" s="35"/>
      <c r="O63" s="35"/>
      <c r="P63" s="50"/>
      <c r="Q63" s="35"/>
      <c r="R63" s="35"/>
      <c r="S63" s="35"/>
      <c r="T63" s="35"/>
      <c r="U63" s="50"/>
      <c r="V63" s="35"/>
      <c r="W63" s="35"/>
      <c r="X63" s="35"/>
      <c r="Y63" s="35"/>
      <c r="Z63" s="50"/>
      <c r="AA63" s="35"/>
      <c r="AB63" s="35"/>
      <c r="AC63" s="35"/>
      <c r="AD63" s="35"/>
      <c r="AE63" s="50"/>
      <c r="AF63" s="35"/>
      <c r="AG63" s="35"/>
      <c r="AH63" s="35"/>
      <c r="AI63" s="35"/>
      <c r="AJ63" s="50"/>
      <c r="AK63" s="35"/>
      <c r="AL63" s="35"/>
    </row>
    <row r="64" spans="2:38" x14ac:dyDescent="0.75">
      <c r="B64" s="4"/>
      <c r="C64" s="6"/>
      <c r="D64" s="12"/>
      <c r="E64" s="18"/>
      <c r="F64" s="18"/>
      <c r="G64" s="19"/>
      <c r="H64" s="19"/>
      <c r="I64" s="19"/>
      <c r="J64" s="19"/>
      <c r="K64" s="18"/>
      <c r="L64" s="19"/>
      <c r="M64" s="19"/>
      <c r="N64" s="19"/>
      <c r="O64" s="19"/>
      <c r="P64" s="18"/>
      <c r="Q64" s="19"/>
      <c r="R64" s="19"/>
      <c r="S64" s="19"/>
      <c r="T64" s="19"/>
      <c r="U64" s="18"/>
      <c r="V64" s="19"/>
      <c r="W64" s="19"/>
      <c r="X64" s="19"/>
      <c r="Y64" s="19"/>
      <c r="Z64" s="18"/>
      <c r="AA64" s="19"/>
      <c r="AB64" s="19"/>
      <c r="AC64" s="19"/>
      <c r="AD64" s="19"/>
      <c r="AE64" s="18"/>
      <c r="AF64" s="19"/>
      <c r="AG64" s="19"/>
      <c r="AH64" s="19"/>
      <c r="AI64" s="19"/>
      <c r="AJ64" s="18"/>
      <c r="AK64" s="19"/>
      <c r="AL64" s="19"/>
    </row>
    <row r="65" spans="2:38" x14ac:dyDescent="0.75">
      <c r="B65" t="s">
        <v>9</v>
      </c>
      <c r="C65" s="6"/>
      <c r="D65" s="12" cm="1">
        <f t="array" ref="D65">_xll.VAData("KDP_US", D3, "Cost of sales", "va actuals", "CD", "IMPL","","")</f>
        <v>2491</v>
      </c>
      <c r="E65" s="14" cm="1">
        <f t="array" ref="E65">_xll.VAData("KDP_US", E3, "Cost of sales", "va actuals", "CD", "IMPL","","")</f>
        <v>2559</v>
      </c>
      <c r="F65" s="14" cm="1">
        <f t="array" ref="F65">_xll.VAData("KDP_US", F3, "Cost of sales", "va actuals", "CD", "IMPL","","")</f>
        <v>2582</v>
      </c>
      <c r="G65" s="15" cm="1">
        <f t="array" ref="G65">_xll.VAData("KDP_US", G3, "Cost of sales", "va actuals", "CD", "IMPL","","")</f>
        <v>607</v>
      </c>
      <c r="H65" s="15" cm="1">
        <f t="array" ref="H65">_xll.VAData("KDP_US", H3, "Cost of sales", "va actuals", "CD", "IMPL","","")</f>
        <v>718</v>
      </c>
      <c r="I65" s="15" cm="1">
        <f t="array" ref="I65">_xll.VAData("KDP_US", I3, "Cost of sales", "va actuals", "CD", "IMPL","","")</f>
        <v>585</v>
      </c>
      <c r="J65" s="15" cm="1">
        <f t="array" ref="J65">_xll.VAData("KDP_US", J3, "Cost of sales", "va actuals", "CD", "IMPL","","")</f>
        <v>1301</v>
      </c>
      <c r="K65" s="14" cm="1">
        <f t="array" ref="K65">_xll.VAData("KDP_US", K3, "Cost of sales", "va actuals", "CD", "IMPL","","")</f>
        <v>4836</v>
      </c>
      <c r="L65" s="15" cm="1">
        <f t="array" ref="L65">_xll.VAData("KDP_US", L3, "Cost of sales", "va actuals", "CD", "IMPL","","")</f>
        <v>1135</v>
      </c>
      <c r="M65" s="15" cm="1">
        <f t="array" ref="M65">_xll.VAData("KDP_US", M3, "Cost of sales", "va actuals", "CD", "IMPL","","")</f>
        <v>458</v>
      </c>
      <c r="N65" s="15" cm="1">
        <f t="array" ref="N65">_xll.VAData("KDP_US", N3, "Cost of sales", "va actuals", "CD", "IMPL","","")</f>
        <v>1298</v>
      </c>
      <c r="O65" s="15" cm="1">
        <f t="array" ref="O65">_xll.VAData("KDP_US", O3, "Cost of sales", "va actuals", "CD", "IMPL","","")</f>
        <v>1268</v>
      </c>
      <c r="P65" s="14" cm="1">
        <f t="array" ref="P65">_xll.VAData("KDP_US", P3, "Cost of sales", "va actuals", "CD", "IMPL","","")</f>
        <v>3560</v>
      </c>
      <c r="Q65" s="15" cm="1">
        <f t="array" ref="Q65">_xll.VAData("KDP_US", Q3, "Cost of sales", "va actuals", "CD", "IMPL","","")</f>
        <v>1106</v>
      </c>
      <c r="R65" s="15" cm="1">
        <f t="array" ref="R65">_xll.VAData("KDP_US", R3, "Cost of sales", "va actuals", "CD", "IMPL","","")</f>
        <v>1186</v>
      </c>
      <c r="S65" s="15" cm="1">
        <f t="array" ref="S65">_xll.VAData("KDP_US", S3, "Cost of sales", "va actuals", "CD", "IMPL","","")</f>
        <v>1245</v>
      </c>
      <c r="T65" s="15" cm="1">
        <f t="array" ref="T65">_xll.VAData("KDP_US", T3, "Cost of sales", "va actuals", "CD", "IMPL","","")</f>
        <v>1241</v>
      </c>
      <c r="U65" s="14" cm="1">
        <f t="array" ref="U65">_xll.VAData("KDP_US", U3, "Cost of sales", "va actuals", "CD", "IMPL","","")</f>
        <v>4778</v>
      </c>
      <c r="V65" s="15" cm="1">
        <f t="array" ref="V65">_xll.VAData("KDP_US", V3, "Cost of sales", "va actuals", "CD", "IMPL","","")</f>
        <v>1161</v>
      </c>
      <c r="W65" s="15" cm="1">
        <f t="array" ref="W65">_xll.VAData("KDP_US", W3, "Cost of sales", "va actuals", "CD", "IMPL","","")</f>
        <v>1302</v>
      </c>
      <c r="X65" s="15" cm="1">
        <f t="array" ref="X65">_xll.VAData("KDP_US", X3, "Cost of sales", "va actuals", "CD", "IMPL","","")</f>
        <v>1316</v>
      </c>
      <c r="Y65" s="15" cm="1">
        <f t="array" ref="Y65">_xll.VAData("KDP_US", Y3, "Cost of sales", "va actuals", "CD", "IMPL","","")</f>
        <v>1353</v>
      </c>
      <c r="Z65" s="14" cm="1">
        <f t="array" ref="Z65">_xll.VAData("KDP_US", Z3, "Cost of sales", "va actuals", "CD", "IMPL","","")</f>
        <v>5132</v>
      </c>
      <c r="AA65" s="15" cm="1">
        <f t="array" ref="AA65">_xll.VAData("KDP_US", AA3, "Cost of sales", "va actuals", "CD", "IMPL","","")</f>
        <v>1302</v>
      </c>
      <c r="AB65" s="15" cm="1">
        <f t="array" ref="AB65">_xll.VAData("KDP_US", AB3, "Cost of sales", "va actuals", "CD", "IMPL","","")</f>
        <v>1370</v>
      </c>
      <c r="AC65" s="15" cm="1">
        <f t="array" ref="AC65">_xll.VAData("KDP_US", AC3, "Cost of sales", "va actuals", "CD", "IMPL","","")</f>
        <v>1415</v>
      </c>
      <c r="AD65" s="15" cm="1">
        <f t="array" ref="AD65">_xll.VAData("KDP_US", AD3, "Cost of sales", "va actuals", "CD", "IMPL","","")</f>
        <v>1619</v>
      </c>
      <c r="AE65" s="14" cm="1">
        <f t="array" ref="AE65">_xll.VAData("KDP_US", AE3, "Cost of sales", "va actuals", "CD", "IMPL","","")</f>
        <v>5706</v>
      </c>
      <c r="AF65" s="15" cm="1">
        <f t="array" ref="AF65">_xll.VAData("KDP_US", AF3, "Cost of sales", "va actuals", "CD", "IMPL","","")</f>
        <v>1428</v>
      </c>
      <c r="AG65" s="15" cm="1">
        <f t="array" ref="AG65">_xll.VAData("KDP_US", AG3, "Cost of sales", "va actuals", "CD", "IMPL","","")</f>
        <v>1778</v>
      </c>
      <c r="AH65" s="15" cm="1">
        <f t="array" ref="AH65">_xll.VAData("KDP_US", AH3, "Cost of sales", "va actuals", "CD", "IMPL","","")</f>
        <v>1721</v>
      </c>
      <c r="AI65" s="15" cm="1">
        <f t="array" ref="AI65">_xll.VAData("KDP_US", AI3, "Cost of sales", "va actuals", "CD", "IMPL","","")</f>
        <v>1807</v>
      </c>
      <c r="AJ65" s="14" cm="1">
        <f t="array" ref="AJ65">_xll.VAData("KDP_US", AJ3, "Cost of sales", "va actuals", "CD", "IMPL","","")</f>
        <v>6734</v>
      </c>
      <c r="AK65" s="15" cm="1">
        <f t="array" ref="AK65">_xll.VAData("KDP_US", AK3, "Cost of sales", "va actuals", "CD", "IMPL","","")</f>
        <v>1609</v>
      </c>
      <c r="AL65" s="15" cm="1">
        <f t="array" ref="AL65">_xll.VAData("KDP_US", AL3, "Cost of sales", "va actuals", "CD", "IMPL","","")</f>
        <v>1748</v>
      </c>
    </row>
    <row r="66" spans="2:38" x14ac:dyDescent="0.75">
      <c r="B66" s="6" t="s">
        <v>83</v>
      </c>
      <c r="C66" s="6"/>
      <c r="D66" s="12"/>
      <c r="E66" s="12"/>
      <c r="F66" s="12"/>
      <c r="K66" s="12"/>
      <c r="P66" s="12"/>
      <c r="U66" s="12"/>
      <c r="Z66" s="12"/>
      <c r="AE66" s="12"/>
      <c r="AJ66" s="12"/>
    </row>
    <row r="67" spans="2:38" x14ac:dyDescent="0.75">
      <c r="B67" s="5" t="s">
        <v>84</v>
      </c>
      <c r="C67" s="6" t="s">
        <v>86</v>
      </c>
      <c r="D67" s="12" t="str" cm="1">
        <f t="array" ref="D67">_xll.VAData("KDP_US", D$3, $C67, "VA Actuals", "CD", "IMPL","","")</f>
        <v>-</v>
      </c>
      <c r="E67" s="18" t="str" cm="1">
        <f t="array" ref="E67">IFERROR(_xll.VAData("KDP_US", E$3, $C67, "VA Actuals", "CD", "IMPL","","")/100, "")</f>
        <v/>
      </c>
      <c r="F67" s="18" t="str" cm="1">
        <f t="array" ref="F67">IFERROR(_xll.VAData("KDP_US", F$3, $C67, "VA Actuals", "CD", "IMPL","","")/100, "")</f>
        <v/>
      </c>
      <c r="G67" s="19" cm="1">
        <f t="array" ref="G67">IFERROR(_xll.VAData("KDP_US", G$3, $C67, "VA Actuals", "CD", "IMPL","","")/100, "")</f>
        <v>0.38505495342768448</v>
      </c>
      <c r="H67" s="19" cm="1">
        <f t="array" ref="H67">IFERROR(_xll.VAData("KDP_US", H$3, $C67, "VA Actuals", "CD", "IMPL","","")/100, "")</f>
        <v>0.4077669599671595</v>
      </c>
      <c r="I67" s="19" cm="1">
        <f t="array" ref="I67">IFERROR(_xll.VAData("KDP_US", I$3, $C67, "VA Actuals", "CD", "IMPL","","")/100, "")</f>
        <v>0.394347739903532</v>
      </c>
      <c r="J67" s="19" cm="1">
        <f t="array" ref="J67">IFERROR(_xll.VAData("KDP_US", J$3, $C67, "VA Actuals", "CD", "IMPL","","")/100, "")</f>
        <v>0.39625850340136048</v>
      </c>
      <c r="K67" s="18" cm="1">
        <f t="array" ref="K67">IFERROR(_xll.VAData("KDP_US", K$3, $C67, "VA Actuals", "CD", "IMPL","","")/100, "")</f>
        <v>0.39656449843945701</v>
      </c>
      <c r="L67" s="19" cm="1">
        <f t="array" ref="L67">IFERROR(_xll.VAData("KDP_US", L$3, $C67, "VA Actuals", "CD", "IMPL","","")/100, "")</f>
        <v>0.37825654235700495</v>
      </c>
      <c r="M67" s="19" cm="1">
        <f t="array" ref="M67">IFERROR(_xll.VAData("KDP_US", M$3, $C67, "VA Actuals", "CD", "IMPL","","")/100, "")</f>
        <v>0.38602027078928353</v>
      </c>
      <c r="N67" s="19" cm="1">
        <f t="array" ref="N67">IFERROR(_xll.VAData("KDP_US", N$3, $C67, "VA Actuals", "CD", "IMPL","","")/100, "")</f>
        <v>0.36953434520686701</v>
      </c>
      <c r="O67" s="19" cm="1">
        <f t="array" ref="O67">IFERROR(_xll.VAData("KDP_US", O$3, $C67, "VA Actuals", "CD", "IMPL","","")/100, "")</f>
        <v>0.43126062022090056</v>
      </c>
      <c r="P67" s="18" cm="1">
        <f t="array" ref="P67">IFERROR(_xll.VAData("KDP_US", P$3, $C67, "VA Actuals", "CD", "IMPL","","")/100, "")</f>
        <v>0.38993555599395002</v>
      </c>
      <c r="Q67" s="19" cm="1">
        <f t="array" ref="Q67">IFERROR(_xll.VAData("KDP_US", Q$3, $C67, "VA Actuals", "CD", "IMPL","","")/100, "")</f>
        <v>0.40227669307677799</v>
      </c>
      <c r="R67" s="19" cm="1">
        <f t="array" ref="R67">IFERROR(_xll.VAData("KDP_US", R$3, $C67, "VA Actuals", "CD", "IMPL","","")/100, "")</f>
        <v>0.4048962005483745</v>
      </c>
      <c r="S67" s="19" cm="1">
        <f t="array" ref="S67">IFERROR(_xll.VAData("KDP_US", S$3, $C67, "VA Actuals", "CD", "IMPL","","")/100, "")</f>
        <v>0.415782538468078</v>
      </c>
      <c r="T67" s="19" cm="1">
        <f t="array" ref="T67">IFERROR(_xll.VAData("KDP_US", T$3, $C67, "VA Actuals", "CD", "IMPL","","")/100, "")</f>
        <v>0.44578860445912449</v>
      </c>
      <c r="U67" s="18" cm="1">
        <f t="array" ref="U67">IFERROR(_xll.VAData("KDP_US", U$3, $C67, "VA Actuals", "CD", "IMPL","","")/100, "")</f>
        <v>0.4175725769890295</v>
      </c>
      <c r="V67" s="19" cm="1">
        <f t="array" ref="V67">IFERROR(_xll.VAData("KDP_US", V$3, $C67, "VA Actuals", "CD", "IMPL","","")/100, "")</f>
        <v>0.35801744995273355</v>
      </c>
      <c r="W67" s="19" cm="1">
        <f t="array" ref="W67">IFERROR(_xll.VAData("KDP_US", W$3, $C67, "VA Actuals", "CD", "IMPL","","")/100, "")</f>
        <v>0.39911543919113429</v>
      </c>
      <c r="X67" s="19" cm="1">
        <f t="array" ref="X67">IFERROR(_xll.VAData("KDP_US", X$3, $C67, "VA Actuals", "CD", "IMPL","","")/100, "")</f>
        <v>0.4253664910590082</v>
      </c>
      <c r="Y67" s="19" cm="1">
        <f t="array" ref="Y67">IFERROR(_xll.VAData("KDP_US", Y$3, $C67, "VA Actuals", "CD", "IMPL","","")/100, "")</f>
        <v>0.39769479774793609</v>
      </c>
      <c r="Z67" s="18" cm="1">
        <f t="array" ref="Z67">IFERROR(_xll.VAData("KDP_US", Z$3, $C67, "VA Actuals", "CD", "IMPL","","")/100, "")</f>
        <v>0.39633526181648215</v>
      </c>
      <c r="AA67" s="19" cm="1">
        <f t="array" ref="AA67">IFERROR(_xll.VAData("KDP_US", AA$3, $C67, "VA Actuals", "CD", "IMPL","","")/100, "")</f>
        <v>0.26345788473717502</v>
      </c>
      <c r="AB67" s="19" cm="1">
        <f t="array" ref="AB67">IFERROR(_xll.VAData("KDP_US", AB$3, $C67, "VA Actuals", "CD", "IMPL","","")/100, "")</f>
        <v>0.28721638074156103</v>
      </c>
      <c r="AC67" s="19" cm="1">
        <f t="array" ref="AC67">IFERROR(_xll.VAData("KDP_US", AC$3, $C67, "VA Actuals", "CD", "IMPL","","")/100, "")</f>
        <v>0.30736392742796198</v>
      </c>
      <c r="AD67" s="19" cm="1">
        <f t="array" ref="AD67">IFERROR(_xll.VAData("KDP_US", AD$3, $C67, "VA Actuals", "CD", "IMPL","","")/100, "")</f>
        <v>0.29946236559139799</v>
      </c>
      <c r="AE67" s="18" cm="1">
        <f t="array" ref="AE67">IFERROR(_xll.VAData("KDP_US", AE$3, $C67, "VA Actuals", "CD", "IMPL","","")/100, "")</f>
        <v>0.290449438202247</v>
      </c>
      <c r="AF67" s="19" cm="1">
        <f t="array" ref="AF67">IFERROR(_xll.VAData("KDP_US", AF$3, $C67, "VA Actuals", "CD", "IMPL","","")/100, "")</f>
        <v>0.25547445255474499</v>
      </c>
      <c r="AG67" s="19" cm="1">
        <f t="array" ref="AG67">IFERROR(_xll.VAData("KDP_US", AG$3, $C67, "VA Actuals", "CD", "IMPL","","")/100, "")</f>
        <v>0.26247600767754298</v>
      </c>
      <c r="AH67" s="19" cm="1">
        <f t="array" ref="AH67">IFERROR(_xll.VAData("KDP_US", AH$3, $C67, "VA Actuals", "CD", "IMPL","","")/100, "")</f>
        <v>0.30550373134328401</v>
      </c>
      <c r="AI67" s="19" cm="1">
        <f t="array" ref="AI67">IFERROR(_xll.VAData("KDP_US", AI$3, $C67, "VA Actuals", "CD", "IMPL","","")/100, "")</f>
        <v>0.28592092574734801</v>
      </c>
      <c r="AJ67" s="18" cm="1">
        <f t="array" ref="AJ67">IFERROR(_xll.VAData("KDP_US", AJ$3, $C67, "VA Actuals", "CD", "IMPL","","")/100, "")</f>
        <v>0.27836199430904401</v>
      </c>
      <c r="AK67" s="19" cm="1">
        <f t="array" ref="AK67">IFERROR(_xll.VAData("KDP_US", AK$3, $C67, "VA Actuals", "CD", "IMPL","","")/100, "")</f>
        <v>0.25311410064773299</v>
      </c>
      <c r="AL67" s="19" cm="1">
        <f t="array" ref="AL67">IFERROR(_xll.VAData("KDP_US", AL$3, $C67, "VA Actuals", "CD", "IMPL","","")/100, "")</f>
        <v>0.27725321888412002</v>
      </c>
    </row>
    <row r="68" spans="2:38" x14ac:dyDescent="0.75">
      <c r="B68" s="5" t="s">
        <v>72</v>
      </c>
      <c r="C68" s="6" t="s">
        <v>87</v>
      </c>
      <c r="D68" s="12" t="str" cm="1">
        <f t="array" ref="D68">_xll.VAData("KDP_US", D$3, $C68, "VA Actuals", "CD", "IMPL","","")</f>
        <v>-</v>
      </c>
      <c r="E68" s="18" t="str" cm="1">
        <f t="array" ref="E68">IFERROR(_xll.VAData("KDP_US", E$3, $C68, "VA Actuals", "CD", "IMPL","","")/100, "")</f>
        <v/>
      </c>
      <c r="F68" s="18" t="str" cm="1">
        <f t="array" ref="F68">IFERROR(_xll.VAData("KDP_US", F$3, $C68, "VA Actuals", "CD", "IMPL","","")/100, "")</f>
        <v/>
      </c>
      <c r="G68" s="19" cm="1">
        <f t="array" ref="G68">IFERROR(_xll.VAData("KDP_US", G$3, $C68, "VA Actuals", "CD", "IMPL","","")/100, "")</f>
        <v>0.23873439777443997</v>
      </c>
      <c r="H68" s="19" cm="1">
        <f t="array" ref="H68">IFERROR(_xll.VAData("KDP_US", H$3, $C68, "VA Actuals", "CD", "IMPL","","")/100, "")</f>
        <v>0.23059241736855199</v>
      </c>
      <c r="I68" s="19" cm="1">
        <f t="array" ref="I68">IFERROR(_xll.VAData("KDP_US", I$3, $C68, "VA Actuals", "CD", "IMPL","","")/100, "")</f>
        <v>0.225303790614935</v>
      </c>
      <c r="J68" s="19" cm="1">
        <f t="array" ref="J68">IFERROR(_xll.VAData("KDP_US", J$3, $C68, "VA Actuals", "CD", "IMPL","","")/100, "")</f>
        <v>0.20984214198499898</v>
      </c>
      <c r="K68" s="18" cm="1">
        <f t="array" ref="K68">IFERROR(_xll.VAData("KDP_US", K$3, $C68, "VA Actuals", "CD", "IMPL","","")/100, "")</f>
        <v>0.22518887168015803</v>
      </c>
      <c r="L68" s="19" cm="1">
        <f t="array" ref="L68">IFERROR(_xll.VAData("KDP_US", L$3, $C68, "VA Actuals", "CD", "IMPL","","")/100, "")</f>
        <v>0.23246867679611452</v>
      </c>
      <c r="M68" s="19" cm="1">
        <f t="array" ref="M68">IFERROR(_xll.VAData("KDP_US", M$3, $C68, "VA Actuals", "CD", "IMPL","","")/100, "")</f>
        <v>0.22122094757142602</v>
      </c>
      <c r="N68" s="19" cm="1">
        <f t="array" ref="N68">IFERROR(_xll.VAData("KDP_US", N$3, $C68, "VA Actuals", "CD", "IMPL","","")/100, "")</f>
        <v>0.24181409261249598</v>
      </c>
      <c r="O68" s="19" cm="1">
        <f t="array" ref="O68">IFERROR(_xll.VAData("KDP_US", O$3, $C68, "VA Actuals", "CD", "IMPL","","")/100, "")</f>
        <v>0.22840409101127851</v>
      </c>
      <c r="P68" s="18" cm="1">
        <f t="array" ref="P68">IFERROR(_xll.VAData("KDP_US", P$3, $C68, "VA Actuals", "CD", "IMPL","","")/100, "")</f>
        <v>0.22938511736864498</v>
      </c>
      <c r="Q68" s="19" cm="1">
        <f t="array" ref="Q68">IFERROR(_xll.VAData("KDP_US", Q$3, $C68, "VA Actuals", "CD", "IMPL","","")/100, "")</f>
        <v>0.24472177789626451</v>
      </c>
      <c r="R68" s="19" cm="1">
        <f t="array" ref="R68">IFERROR(_xll.VAData("KDP_US", R$3, $C68, "VA Actuals", "CD", "IMPL","","")/100, "")</f>
        <v>0.23963548528765902</v>
      </c>
      <c r="S68" s="19" cm="1">
        <f t="array" ref="S68">IFERROR(_xll.VAData("KDP_US", S$3, $C68, "VA Actuals", "CD", "IMPL","","")/100, "")</f>
        <v>0.24919411906275699</v>
      </c>
      <c r="T68" s="19" cm="1">
        <f t="array" ref="T68">IFERROR(_xll.VAData("KDP_US", T$3, $C68, "VA Actuals", "CD", "IMPL","","")/100, "")</f>
        <v>0.24868116644259552</v>
      </c>
      <c r="U68" s="18" cm="1">
        <f t="array" ref="U68">IFERROR(_xll.VAData("KDP_US", U$3, $C68, "VA Actuals", "CD", "IMPL","","")/100, "")</f>
        <v>0.24489259004733652</v>
      </c>
      <c r="V68" s="19" cm="1">
        <f t="array" ref="V68">IFERROR(_xll.VAData("KDP_US", V$3, $C68, "VA Actuals", "CD", "IMPL","","")/100, "")</f>
        <v>0.31183757591662831</v>
      </c>
      <c r="W68" s="19" cm="1">
        <f t="array" ref="W68">IFERROR(_xll.VAData("KDP_US", W$3, $C68, "VA Actuals", "CD", "IMPL","","")/100, "")</f>
        <v>0.31262962966488994</v>
      </c>
      <c r="X68" s="19" cm="1">
        <f t="array" ref="X68">IFERROR(_xll.VAData("KDP_US", X$3, $C68, "VA Actuals", "CD", "IMPL","","")/100, "")</f>
        <v>0.31157893836866157</v>
      </c>
      <c r="Y68" s="19" cm="1">
        <f t="array" ref="Y68">IFERROR(_xll.VAData("KDP_US", Y$3, $C68, "VA Actuals", "CD", "IMPL","","")/100, "")</f>
        <v>0.29369680076270172</v>
      </c>
      <c r="Z68" s="18" cm="1">
        <f t="array" ref="Z68">IFERROR(_xll.VAData("KDP_US", Z$3, $C68, "VA Actuals", "CD", "IMPL","","")/100, "")</f>
        <v>0.30665464810072568</v>
      </c>
      <c r="AA68" s="19" cm="1">
        <f t="array" ref="AA68">IFERROR(_xll.VAData("KDP_US", AA$3, $C68, "VA Actuals", "CD", "IMPL","","")/100, "")</f>
        <v>0.38916750250752302</v>
      </c>
      <c r="AB68" s="19" cm="1">
        <f t="array" ref="AB68">IFERROR(_xll.VAData("KDP_US", AB$3, $C68, "VA Actuals", "CD", "IMPL","","")/100, "")</f>
        <v>0.38219895287958106</v>
      </c>
      <c r="AC68" s="19" cm="1">
        <f t="array" ref="AC68">IFERROR(_xll.VAData("KDP_US", AC$3, $C68, "VA Actuals", "CD", "IMPL","","")/100, "")</f>
        <v>0.36526946107784397</v>
      </c>
      <c r="AD68" s="19" cm="1">
        <f t="array" ref="AD68">IFERROR(_xll.VAData("KDP_US", AD$3, $C68, "VA Actuals", "CD", "IMPL","","")/100, "")</f>
        <v>0.32863436123348</v>
      </c>
      <c r="AE68" s="18" cm="1">
        <f t="array" ref="AE68">IFERROR(_xll.VAData("KDP_US", AE$3, $C68, "VA Actuals", "CD", "IMPL","","")/100, "")</f>
        <v>0.36488138909268797</v>
      </c>
      <c r="AF68" s="19" cm="1">
        <f t="array" ref="AF68">IFERROR(_xll.VAData("KDP_US", AF$3, $C68, "VA Actuals", "CD", "IMPL","","")/100, "")</f>
        <v>0.31919406150583202</v>
      </c>
      <c r="AG68" s="19" cm="1">
        <f t="array" ref="AG68">IFERROR(_xll.VAData("KDP_US", AG$3, $C68, "VA Actuals", "CD", "IMPL","","")/100, "")</f>
        <v>0.33236151603498498</v>
      </c>
      <c r="AH68" s="19" cm="1">
        <f t="array" ref="AH68">IFERROR(_xll.VAData("KDP_US", AH$3, $C68, "VA Actuals", "CD", "IMPL","","")/100, "")</f>
        <v>0.301435406698565</v>
      </c>
      <c r="AI68" s="19" cm="1">
        <f t="array" ref="AI68">IFERROR(_xll.VAData("KDP_US", AI$3, $C68, "VA Actuals", "CD", "IMPL","","")/100, "")</f>
        <v>0.33852140077820997</v>
      </c>
      <c r="AJ68" s="18" cm="1">
        <f t="array" ref="AJ68">IFERROR(_xll.VAData("KDP_US", AJ$3, $C68, "VA Actuals", "CD", "IMPL","","")/100, "")</f>
        <v>0.32380288238028798</v>
      </c>
      <c r="AK68" s="19" cm="1">
        <f t="array" ref="AK68">IFERROR(_xll.VAData("KDP_US", AK$3, $C68, "VA Actuals", "CD", "IMPL","","")/100, "")</f>
        <v>0.30612244897959201</v>
      </c>
      <c r="AL68" s="19" cm="1">
        <f t="array" ref="AL68">IFERROR(_xll.VAData("KDP_US", AL$3, $C68, "VA Actuals", "CD", "IMPL","","")/100, "")</f>
        <v>0.30103092783505203</v>
      </c>
    </row>
    <row r="69" spans="2:38" x14ac:dyDescent="0.75">
      <c r="B69" s="5" t="s">
        <v>64</v>
      </c>
      <c r="C69" s="6" t="s">
        <v>89</v>
      </c>
      <c r="D69" s="12" t="str" cm="1">
        <f t="array" ref="D69">_xll.VAData("KDP_US", D$3, $C69, "VA Actuals", "CD", "IMPL","","")</f>
        <v>-</v>
      </c>
      <c r="E69" s="18" t="str" cm="1">
        <f t="array" ref="E69">IFERROR(_xll.VAData("KDP_US", E$3, $C69, "VA Actuals", "CD", "IMPL","","")/100, "")</f>
        <v/>
      </c>
      <c r="F69" s="18" t="str" cm="1">
        <f t="array" ref="F69">IFERROR(_xll.VAData("KDP_US", F$3, $C69, "VA Actuals", "CD", "IMPL","","")/100, "")</f>
        <v/>
      </c>
      <c r="G69" s="19" cm="1">
        <f t="array" ref="G69">IFERROR(_xll.VAData("KDP_US", G$3, $C69, "VA Actuals", "CD", "IMPL","","")/100, "")</f>
        <v>6.5977591506060501E-2</v>
      </c>
      <c r="H69" s="19" cm="1">
        <f t="array" ref="H69">IFERROR(_xll.VAData("KDP_US", H$3, $C69, "VA Actuals", "CD", "IMPL","","")/100, "")</f>
        <v>0.18695652173913049</v>
      </c>
      <c r="I69" s="19" cm="1">
        <f t="array" ref="I69">IFERROR(_xll.VAData("KDP_US", I$3, $C69, "VA Actuals", "CD", "IMPL","","")/100, "")</f>
        <v>8.270676690864659E-2</v>
      </c>
      <c r="J69" s="19" cm="1">
        <f t="array" ref="J69">IFERROR(_xll.VAData("KDP_US", J$3, $C69, "VA Actuals", "CD", "IMPL","","")/100, "")</f>
        <v>0.12711864406779699</v>
      </c>
      <c r="K69" s="18" cm="1">
        <f t="array" ref="K69">IFERROR(_xll.VAData("KDP_US", K$3, $C69, "VA Actuals", "CD", "IMPL","","")/100, "")</f>
        <v>0.13087235331739999</v>
      </c>
      <c r="L69" s="19" cm="1">
        <f t="array" ref="L69">IFERROR(_xll.VAData("KDP_US", L$3, $C69, "VA Actuals", "CD", "IMPL","","")/100, "")</f>
        <v>0.106194690265487</v>
      </c>
      <c r="M69" s="19" cm="1">
        <f t="array" ref="M69">IFERROR(_xll.VAData("KDP_US", M$3, $C69, "VA Actuals", "CD", "IMPL","","")/100, "")</f>
        <v>0.18680227565478749</v>
      </c>
      <c r="N69" s="19" cm="1">
        <f t="array" ref="N69">IFERROR(_xll.VAData("KDP_US", N$3, $C69, "VA Actuals", "CD", "IMPL","","")/100, "")</f>
        <v>0.19852941176470601</v>
      </c>
      <c r="O69" s="19" cm="1">
        <f t="array" ref="O69">IFERROR(_xll.VAData("KDP_US", O$3, $C69, "VA Actuals", "CD", "IMPL","","")/100, "")</f>
        <v>0.15</v>
      </c>
      <c r="P69" s="18" cm="1">
        <f t="array" ref="P69">IFERROR(_xll.VAData("KDP_US", P$3, $C69, "VA Actuals", "CD", "IMPL","","")/100, "")</f>
        <v>0.16221578679607049</v>
      </c>
      <c r="Q69" s="19" cm="1">
        <f t="array" ref="Q69">IFERROR(_xll.VAData("KDP_US", Q$3, $C69, "VA Actuals", "CD", "IMPL","","")/100, "")</f>
        <v>0.10344827586206901</v>
      </c>
      <c r="R69" s="19" cm="1">
        <f t="array" ref="R69">IFERROR(_xll.VAData("KDP_US", R$3, $C69, "VA Actuals", "CD", "IMPL","","")/100, "")</f>
        <v>0.14184397163120599</v>
      </c>
      <c r="S69" s="19" cm="1">
        <f t="array" ref="S69">IFERROR(_xll.VAData("KDP_US", S$3, $C69, "VA Actuals", "CD", "IMPL","","")/100, "")</f>
        <v>0.18115942028985502</v>
      </c>
      <c r="T69" s="19" cm="1">
        <f t="array" ref="T69">IFERROR(_xll.VAData("KDP_US", T$3, $C69, "VA Actuals", "CD", "IMPL","","")/100, "")</f>
        <v>0.18796992481202998</v>
      </c>
      <c r="U69" s="18" cm="1">
        <f t="array" ref="U69">IFERROR(_xll.VAData("KDP_US", U$3, $C69, "VA Actuals", "CD", "IMPL","","")/100, "")</f>
        <v>0.15530303030303</v>
      </c>
      <c r="V69" s="19" cm="1">
        <f t="array" ref="V69">IFERROR(_xll.VAData("KDP_US", V$3, $C69, "VA Actuals", "CD", "IMPL","","")/100, "")</f>
        <v>0.24030669020444148</v>
      </c>
      <c r="W69" s="19" cm="1">
        <f t="array" ref="W69">IFERROR(_xll.VAData("KDP_US", W$3, $C69, "VA Actuals", "CD", "IMPL","","")/100, "")</f>
        <v>0.21358738970396693</v>
      </c>
      <c r="X69" s="19" cm="1">
        <f t="array" ref="X69">IFERROR(_xll.VAData("KDP_US", X$3, $C69, "VA Actuals", "CD", "IMPL","","")/100, "")</f>
        <v>0.231093094129148</v>
      </c>
      <c r="Y69" s="19" cm="1">
        <f t="array" ref="Y69">IFERROR(_xll.VAData("KDP_US", Y$3, $C69, "VA Actuals", "CD", "IMPL","","")/100, "")</f>
        <v>0.25363510995485522</v>
      </c>
      <c r="Z69" s="18" cm="1">
        <f t="array" ref="Z69">IFERROR(_xll.VAData("KDP_US", Z$3, $C69, "VA Actuals", "CD", "IMPL","","")/100, "")</f>
        <v>0.23531915119661734</v>
      </c>
      <c r="AA69" s="19" cm="1">
        <f t="array" ref="AA69">IFERROR(_xll.VAData("KDP_US", AA$3, $C69, "VA Actuals", "CD", "IMPL","","")/100, "")</f>
        <v>0.245398773006135</v>
      </c>
      <c r="AB69" s="19" cm="1">
        <f t="array" ref="AB69">IFERROR(_xll.VAData("KDP_US", AB$3, $C69, "VA Actuals", "CD", "IMPL","","")/100, "")</f>
        <v>0.272486772486772</v>
      </c>
      <c r="AC69" s="19" cm="1">
        <f t="array" ref="AC69">IFERROR(_xll.VAData("KDP_US", AC$3, $C69, "VA Actuals", "CD", "IMPL","","")/100, "")</f>
        <v>0.28877005347593598</v>
      </c>
      <c r="AD69" s="19" cm="1">
        <f t="array" ref="AD69">IFERROR(_xll.VAData("KDP_US", AD$3, $C69, "VA Actuals", "CD", "IMPL","","")/100, "")</f>
        <v>0.27020202020202</v>
      </c>
      <c r="AE69" s="18" cm="1">
        <f t="array" ref="AE69">IFERROR(_xll.VAData("KDP_US", AE$3, $C69, "VA Actuals", "CD", "IMPL","","")/100, "")</f>
        <v>0.27001356852103098</v>
      </c>
      <c r="AF69" s="19" cm="1">
        <f t="array" ref="AF69">IFERROR(_xll.VAData("KDP_US", AF$3, $C69, "VA Actuals", "CD", "IMPL","","")/100, "")</f>
        <v>0.200564971751412</v>
      </c>
      <c r="AG69" s="19" cm="1">
        <f t="array" ref="AG69">IFERROR(_xll.VAData("KDP_US", AG$3, $C69, "VA Actuals", "CD", "IMPL","","")/100, "")</f>
        <v>0.235827664399093</v>
      </c>
      <c r="AH69" s="19" cm="1">
        <f t="array" ref="AH69">IFERROR(_xll.VAData("KDP_US", AH$3, $C69, "VA Actuals", "CD", "IMPL","","")/100, "")</f>
        <v>0.240184757505774</v>
      </c>
      <c r="AI69" s="19" cm="1">
        <f t="array" ref="AI69">IFERROR(_xll.VAData("KDP_US", AI$3, $C69, "VA Actuals", "CD", "IMPL","","")/100, "")</f>
        <v>0.27252252252252301</v>
      </c>
      <c r="AJ69" s="18" cm="1">
        <f t="array" ref="AJ69">IFERROR(_xll.VAData("KDP_US", AJ$3, $C69, "VA Actuals", "CD", "IMPL","","")/100, "")</f>
        <v>0.23923444976076599</v>
      </c>
      <c r="AK69" s="19" cm="1">
        <f t="array" ref="AK69">IFERROR(_xll.VAData("KDP_US", AK$3, $C69, "VA Actuals", "CD", "IMPL","","")/100, "")</f>
        <v>0.20240963855421701</v>
      </c>
      <c r="AL69" s="19" cm="1">
        <f t="array" ref="AL69">IFERROR(_xll.VAData("KDP_US", AL$3, $C69, "VA Actuals", "CD", "IMPL","","")/100, "")</f>
        <v>0.23721881390593003</v>
      </c>
    </row>
    <row r="70" spans="2:38" x14ac:dyDescent="0.75">
      <c r="B70" s="5" t="s">
        <v>85</v>
      </c>
      <c r="C70" s="6" t="s">
        <v>88</v>
      </c>
      <c r="D70" s="18" cm="1">
        <f t="array" ref="D70">_xll.VAData("KDP_US", D$3, $C70, "VA Actuals", "CD", "IMPL","","")/100</f>
        <v>0.19686325763764093</v>
      </c>
      <c r="E70" s="18" cm="1">
        <f t="array" ref="E70">IFERROR(_xll.VAData("KDP_US", E$3, $C70, "VA Actuals", "CD", "IMPL","","")/100, "")</f>
        <v>0.20885068449538399</v>
      </c>
      <c r="F70" s="18" cm="1">
        <f t="array" ref="F70">IFERROR(_xll.VAData("KDP_US", F$3, $C70, "VA Actuals", "CD", "IMPL","","")/100, "")</f>
        <v>-0.20695210553307875</v>
      </c>
      <c r="G70" s="19" cm="1">
        <f t="array" ref="G70">IFERROR(_xll.VAData("KDP_US", G$3, $C70, "VA Actuals", "CD", "IMPL","","")/100, "")</f>
        <v>0.23195458231954583</v>
      </c>
      <c r="H70" s="19" cm="1">
        <f t="array" ref="H70">IFERROR(_xll.VAData("KDP_US", H$3, $C70, "VA Actuals", "CD", "IMPL","","")/100, "")</f>
        <v>0.2327113062568606</v>
      </c>
      <c r="I70" s="19" cm="1">
        <f t="array" ref="I70">IFERROR(_xll.VAData("KDP_US", I$3, $C70, "VA Actuals", "CD", "IMPL","","")/100, "")</f>
        <v>0.21974063400576369</v>
      </c>
      <c r="J70" s="19" cm="1">
        <f t="array" ref="J70">IFERROR(_xll.VAData("KDP_US", J$3, $C70, "VA Actuals", "CD", "IMPL","","")/100, "")</f>
        <v>0.22750000000000001</v>
      </c>
      <c r="K70" s="18" cm="1">
        <f t="array" ref="K70">IFERROR(_xll.VAData("KDP_US", K$3, $C70, "VA Actuals", "CD", "IMPL","","")/100, "")</f>
        <v>0.22787935034802786</v>
      </c>
      <c r="L70" s="19" cm="1">
        <f t="array" ref="L70">IFERROR(_xll.VAData("KDP_US", L$3, $C70, "VA Actuals", "CD", "IMPL","","")/100, "")</f>
        <v>0.2218712988551125</v>
      </c>
      <c r="M70" s="19" cm="1">
        <f t="array" ref="M70">IFERROR(_xll.VAData("KDP_US", M$3, $C70, "VA Actuals", "CD", "IMPL","","")/100, "")</f>
        <v>0.22678951098511693</v>
      </c>
      <c r="N70" s="19" cm="1">
        <f t="array" ref="N70">IFERROR(_xll.VAData("KDP_US", N$3, $C70, "VA Actuals", "CD", "IMPL","","")/100, "")</f>
        <v>0.24439775910364148</v>
      </c>
      <c r="O70" s="19" cm="1">
        <f t="array" ref="O70">IFERROR(_xll.VAData("KDP_US", O$3, $C70, "VA Actuals", "CD", "IMPL","","")/100, "")</f>
        <v>0.25595449697831496</v>
      </c>
      <c r="P70" s="18" cm="1">
        <f t="array" ref="P70">IFERROR(_xll.VAData("KDP_US", P$3, $C70, "VA Actuals", "CD", "IMPL","","")/100, "")</f>
        <v>0.23766328011611029</v>
      </c>
      <c r="Q70" s="19" cm="1">
        <f t="array" ref="Q70">IFERROR(_xll.VAData("KDP_US", Q$3, $C70, "VA Actuals", "CD", "IMPL","","")/100, "")</f>
        <v>0.2480031948881789</v>
      </c>
      <c r="R70" s="19" cm="1">
        <f t="array" ref="R70">IFERROR(_xll.VAData("KDP_US", R$3, $C70, "VA Actuals", "CD", "IMPL","","")/100, "")</f>
        <v>0.24964438122332858</v>
      </c>
      <c r="S70" s="19" cm="1">
        <f t="array" ref="S70">IFERROR(_xll.VAData("KDP_US", S$3, $C70, "VA Actuals", "CD", "IMPL","","")/100, "")</f>
        <v>0.2627177700348432</v>
      </c>
      <c r="T70" s="19" cm="1">
        <f t="array" ref="T70">IFERROR(_xll.VAData("KDP_US", T$3, $C70, "VA Actuals", "CD", "IMPL","","")/100, "")</f>
        <v>0.27709611451942739</v>
      </c>
      <c r="U70" s="18" cm="1">
        <f t="array" ref="U70">IFERROR(_xll.VAData("KDP_US", U$3, $C70, "VA Actuals", "CD", "IMPL","","")/100, "")</f>
        <v>0.25989208633093525</v>
      </c>
      <c r="V70" s="19" cm="1">
        <f t="array" ref="V70">IFERROR(_xll.VAData("KDP_US", V$3, $C70, "VA Actuals", "CD", "IMPL","","")/100, "")</f>
        <v>0.26176808266360507</v>
      </c>
      <c r="W70" s="19" cm="1">
        <f t="array" ref="W70">IFERROR(_xll.VAData("KDP_US", W$3, $C70, "VA Actuals", "CD", "IMPL","","")/100, "")</f>
        <v>0.27060055865921789</v>
      </c>
      <c r="X70" s="19" cm="1">
        <f t="array" ref="X70">IFERROR(_xll.VAData("KDP_US", X$3, $C70, "VA Actuals", "CD", "IMPL","","")/100, "")</f>
        <v>0.28940397350993374</v>
      </c>
      <c r="Y70" s="19" cm="1">
        <f t="array" ref="Y70">IFERROR(_xll.VAData("KDP_US", Y$3, $C70, "VA Actuals", "CD", "IMPL","","")/100, "")</f>
        <v>0.27491188721563597</v>
      </c>
      <c r="Z70" s="18" cm="1">
        <f t="array" ref="Z70">IFERROR(_xll.VAData("KDP_US", Z$3, $C70, "VA Actuals", "CD", "IMPL","","")/100, "")</f>
        <v>0.27466001032880016</v>
      </c>
      <c r="AA70" s="19" cm="1">
        <f t="array" ref="AA70">IFERROR(_xll.VAData("KDP_US", AA$3, $C70, "VA Actuals", "CD", "IMPL","","")/100, "")</f>
        <v>0.25534114403859398</v>
      </c>
      <c r="AB70" s="19" cm="1">
        <f t="array" ref="AB70">IFERROR(_xll.VAData("KDP_US", AB$3, $C70, "VA Actuals", "CD", "IMPL","","")/100, "")</f>
        <v>0.26719745222929903</v>
      </c>
      <c r="AC70" s="19" cm="1">
        <f t="array" ref="AC70">IFERROR(_xll.VAData("KDP_US", AC$3, $C70, "VA Actuals", "CD", "IMPL","","")/100, "")</f>
        <v>0.28646153846153799</v>
      </c>
      <c r="AD70" s="19" cm="1">
        <f t="array" ref="AD70">IFERROR(_xll.VAData("KDP_US", AD$3, $C70, "VA Actuals", "CD", "IMPL","","")/100, "")</f>
        <v>0.26835741669124202</v>
      </c>
      <c r="AE70" s="18" cm="1">
        <f t="array" ref="AE70">IFERROR(_xll.VAData("KDP_US", AE$3, $C70, "VA Actuals", "CD", "IMPL","","")/100, "")</f>
        <v>0.269731136166522</v>
      </c>
      <c r="AF70" s="19" cm="1">
        <f t="array" ref="AF70">IFERROR(_xll.VAData("KDP_US", AF$3, $C70, "VA Actuals", "CD", "IMPL","","")/100, "")</f>
        <v>0.23781676413255401</v>
      </c>
      <c r="AG70" s="19" cm="1">
        <f t="array" ref="AG70">IFERROR(_xll.VAData("KDP_US", AG$3, $C70, "VA Actuals", "CD", "IMPL","","")/100, "")</f>
        <v>0.234102419808666</v>
      </c>
      <c r="AH70" s="19" cm="1">
        <f t="array" ref="AH70">IFERROR(_xll.VAData("KDP_US", AH$3, $C70, "VA Actuals", "CD", "IMPL","","")/100, "")</f>
        <v>0.26145775814467098</v>
      </c>
      <c r="AI70" s="19" cm="1">
        <f t="array" ref="AI70">IFERROR(_xll.VAData("KDP_US", AI$3, $C70, "VA Actuals", "CD", "IMPL","","")/100, "")</f>
        <v>0.270049960557455</v>
      </c>
      <c r="AJ70" s="18" cm="1">
        <f t="array" ref="AJ70">IFERROR(_xll.VAData("KDP_US", AJ$3, $C70, "VA Actuals", "CD", "IMPL","","")/100, "")</f>
        <v>0.25168954969054602</v>
      </c>
      <c r="AK70" s="19" cm="1">
        <f t="array" ref="AK70">IFERROR(_xll.VAData("KDP_US", AK$3, $C70, "VA Actuals", "CD", "IMPL","","")/100, "")</f>
        <v>0.20847002684163399</v>
      </c>
      <c r="AL70" s="19" cm="1">
        <f t="array" ref="AL70">IFERROR(_xll.VAData("KDP_US", AL$3, $C70, "VA Actuals", "CD", "IMPL","","")/100, "")</f>
        <v>0.23040380047505898</v>
      </c>
    </row>
    <row r="71" spans="2:38" x14ac:dyDescent="0.75">
      <c r="B71" t="s">
        <v>10</v>
      </c>
      <c r="C71" s="6"/>
      <c r="D71" s="12">
        <f t="shared" ref="D71" si="21">D8-D65</f>
        <v>3630</v>
      </c>
      <c r="E71" s="14">
        <f t="shared" ref="E71" si="22">E8-E65</f>
        <v>3723</v>
      </c>
      <c r="F71" s="14">
        <f t="shared" ref="F71" si="23">F8-F65</f>
        <v>3858</v>
      </c>
      <c r="G71" s="15">
        <f t="shared" ref="G71" si="24">G8-G65</f>
        <v>1859</v>
      </c>
      <c r="H71" s="15">
        <f t="shared" ref="H71" si="25">H8-H65</f>
        <v>2015</v>
      </c>
      <c r="I71" s="15">
        <f t="shared" ref="I71" si="26">I8-I65</f>
        <v>2191</v>
      </c>
      <c r="J71" s="15">
        <f t="shared" ref="J71" si="27">J8-J65</f>
        <v>1499</v>
      </c>
      <c r="K71" s="14">
        <f t="shared" ref="K71" si="28">K8-K65</f>
        <v>5939</v>
      </c>
      <c r="L71" s="15">
        <f t="shared" ref="L71" si="29">L8-L65</f>
        <v>1394</v>
      </c>
      <c r="M71" s="15">
        <f t="shared" ref="M71" si="30">M8-M65</f>
        <v>2364</v>
      </c>
      <c r="N71" s="15">
        <f t="shared" ref="N71" si="31">N8-N65</f>
        <v>1434</v>
      </c>
      <c r="O71" s="15">
        <f t="shared" ref="O71" si="32">O8-O65</f>
        <v>1545</v>
      </c>
      <c r="P71" s="14">
        <f t="shared" ref="P71" si="33">P8-P65</f>
        <v>7464</v>
      </c>
      <c r="Q71" s="15">
        <f t="shared" ref="Q71" si="34">Q8-Q65</f>
        <v>1398</v>
      </c>
      <c r="R71" s="15">
        <f t="shared" ref="R71" si="35">R8-R65</f>
        <v>1626</v>
      </c>
      <c r="S71" s="15">
        <f t="shared" ref="S71:Y71" si="36">S8-S65</f>
        <v>1625</v>
      </c>
      <c r="T71" s="15">
        <f t="shared" si="36"/>
        <v>1693</v>
      </c>
      <c r="U71" s="14">
        <f t="shared" si="36"/>
        <v>6342</v>
      </c>
      <c r="V71" s="15">
        <f t="shared" si="36"/>
        <v>1452</v>
      </c>
      <c r="W71" s="15">
        <f t="shared" si="36"/>
        <v>1562</v>
      </c>
      <c r="X71" s="15">
        <f t="shared" si="36"/>
        <v>1704</v>
      </c>
      <c r="Y71" s="15">
        <f t="shared" si="36"/>
        <v>1768</v>
      </c>
      <c r="Z71" s="14">
        <f>Z8-Z65</f>
        <v>6486</v>
      </c>
      <c r="AA71" s="15">
        <f t="shared" ref="AA71" si="37">AA8-AA65</f>
        <v>1600</v>
      </c>
      <c r="AB71" s="15">
        <f t="shared" ref="AB71" si="38">AB8-AB65</f>
        <v>1770</v>
      </c>
      <c r="AC71" s="15">
        <f t="shared" ref="AC71" si="39">AC8-AC65</f>
        <v>1835</v>
      </c>
      <c r="AD71" s="15">
        <f t="shared" ref="AD71:AJ71" si="40">AD8-AD65</f>
        <v>1772</v>
      </c>
      <c r="AE71" s="14">
        <f t="shared" si="40"/>
        <v>6977</v>
      </c>
      <c r="AF71" s="15">
        <f t="shared" ref="AF71" si="41">AF8-AF65</f>
        <v>1650</v>
      </c>
      <c r="AG71" s="15">
        <f t="shared" ref="AG71" si="42">AG8-AG65</f>
        <v>1776</v>
      </c>
      <c r="AH71" s="15">
        <f t="shared" ref="AH71" si="43">AH8-AH65</f>
        <v>1901</v>
      </c>
      <c r="AI71" s="15">
        <f t="shared" ref="AI71" si="44">AI8-AI65</f>
        <v>1996</v>
      </c>
      <c r="AJ71" s="14">
        <f t="shared" si="40"/>
        <v>7323</v>
      </c>
      <c r="AK71" s="15">
        <f t="shared" ref="AK71" si="45">AK8-AK65</f>
        <v>1744</v>
      </c>
      <c r="AL71" s="15">
        <f t="shared" ref="AL71" si="46">AL8-AL65</f>
        <v>2041</v>
      </c>
    </row>
    <row r="72" spans="2:38" x14ac:dyDescent="0.75">
      <c r="B72" t="s">
        <v>13</v>
      </c>
      <c r="C72" s="6"/>
      <c r="D72" s="12" cm="1">
        <f t="array" ref="D72">_xll.VAData("KDP_US",D3, "SG&amp;A", "va actuals", "CD", "IMPL","","")</f>
        <v>2334</v>
      </c>
      <c r="E72" s="14" cm="1">
        <f t="array" ref="E72">_xll.VAData("KDP_US",E3, "SG&amp;A", "va actuals", "CD", "IMPL","","")</f>
        <v>2313</v>
      </c>
      <c r="F72" s="14" cm="1">
        <f t="array" ref="F72">_xll.VAData("KDP_US",F3, "SG&amp;A", "va actuals", "CD", "IMPL","","")</f>
        <v>2329</v>
      </c>
      <c r="G72" s="15" cm="1">
        <f t="array" ref="G72">_xll.VAData("KDP_US",G3, "SG&amp;A", "va actuals", "CD", "IMPL","","")</f>
        <v>620</v>
      </c>
      <c r="H72" s="15" cm="1">
        <f t="array" ref="H72">_xll.VAData("KDP_US",H3, "SG&amp;A", "va actuals", "CD", "IMPL","","")</f>
        <v>681</v>
      </c>
      <c r="I72" s="15" cm="1">
        <f t="array" ref="I72">_xll.VAData("KDP_US",I3, "SG&amp;A", "va actuals", "CD", "IMPL","","")</f>
        <v>318</v>
      </c>
      <c r="J72" s="15" cm="1">
        <f t="array" ref="J72">_xll.VAData("KDP_US",J3, "SG&amp;A", "va actuals", "CD", "IMPL","","")</f>
        <v>937</v>
      </c>
      <c r="K72" s="14" cm="1">
        <f t="array" ref="K72">_xll.VAData("KDP_US",K3, "SG&amp;A", "va actuals", "CD", "IMPL","","")</f>
        <v>3807</v>
      </c>
      <c r="L72" s="15" cm="1">
        <f t="array" ref="L72">_xll.VAData("KDP_US",L3, "SG&amp;A", "va actuals", "CD", "IMPL","","")</f>
        <v>904</v>
      </c>
      <c r="M72" s="15" cm="1">
        <f t="array" ref="M72">_xll.VAData("KDP_US",M3, "SG&amp;A", "va actuals", "CD", "IMPL","","")</f>
        <v>321</v>
      </c>
      <c r="N72" s="15" cm="1">
        <f t="array" ref="N72">_xll.VAData("KDP_US",N3, "SG&amp;A", "va actuals", "CD", "IMPL","","")</f>
        <v>999.5</v>
      </c>
      <c r="O72" s="15" cm="1">
        <f t="array" ref="O72">_xll.VAData("KDP_US",O3, "SG&amp;A", "va actuals", "CD", "IMPL","","")</f>
        <v>986</v>
      </c>
      <c r="P72" s="14" cm="1">
        <f t="array" ref="P72">_xll.VAData("KDP_US",P3, "SG&amp;A", "va actuals", "CD", "IMPL","","")</f>
        <v>2635</v>
      </c>
      <c r="Q72" s="15" cm="1">
        <f t="array" ref="Q72">_xll.VAData("KDP_US",Q3, "SG&amp;A", "va actuals", "CD", "IMPL","","")</f>
        <v>911</v>
      </c>
      <c r="R72" s="15" cm="1">
        <f t="array" ref="R72">_xll.VAData("KDP_US",R3, "SG&amp;A", "va actuals", "CD", "IMPL","","")</f>
        <v>1028</v>
      </c>
      <c r="S72" s="15" cm="1">
        <f t="array" ref="S72">_xll.VAData("KDP_US",S3, "SG&amp;A", "va actuals", "CD", "IMPL","","")</f>
        <v>1012</v>
      </c>
      <c r="T72" s="15" cm="1">
        <f t="array" ref="T72">_xll.VAData("KDP_US",T3, "SG&amp;A", "va actuals", "CD", "IMPL","","")</f>
        <v>1011</v>
      </c>
      <c r="U72" s="14" cm="1">
        <f t="array" ref="U72">_xll.VAData("KDP_US",U3, "SG&amp;A", "va actuals", "CD", "IMPL","","")</f>
        <v>3962</v>
      </c>
      <c r="V72" s="15" cm="1">
        <f t="array" ref="V72">_xll.VAData("KDP_US",V3, "SG&amp;A", "va actuals", "CD", "IMPL","","")</f>
        <v>1028</v>
      </c>
      <c r="W72" s="15" cm="1">
        <f t="array" ref="W72">_xll.VAData("KDP_US",W3, "SG&amp;A", "va actuals", "CD", "IMPL","","")</f>
        <v>1001</v>
      </c>
      <c r="X72" s="15" cm="1">
        <f t="array" ref="X72">_xll.VAData("KDP_US",X3, "SG&amp;A", "va actuals", "CD", "IMPL","","")</f>
        <v>949</v>
      </c>
      <c r="Y72" s="15" cm="1">
        <f t="array" ref="Y72">_xll.VAData("KDP_US",Y3, "SG&amp;A", "va actuals", "CD", "IMPL","","")</f>
        <v>1000</v>
      </c>
      <c r="Z72" s="14" cm="1">
        <f t="array" ref="Z72">_xll.VAData("KDP_US",Z3, "SG&amp;A", "va actuals", "CD", "IMPL","","")</f>
        <v>3978</v>
      </c>
      <c r="AA72" s="15" cm="1">
        <f t="array" ref="AA72">_xll.VAData("KDP_US",AA3, "SG&amp;A", "va actuals", "CD", "IMPL","","")</f>
        <v>961</v>
      </c>
      <c r="AB72" s="15" cm="1">
        <f t="array" ref="AB72">_xll.VAData("KDP_US",AB3, "SG&amp;A", "va actuals", "CD", "IMPL","","")</f>
        <v>1039</v>
      </c>
      <c r="AC72" s="15" cm="1">
        <f t="array" ref="AC72">_xll.VAData("KDP_US",AC3, "SG&amp;A", "va actuals", "CD", "IMPL","","")</f>
        <v>1040</v>
      </c>
      <c r="AD72" s="15" cm="1">
        <f t="array" ref="AD72">_xll.VAData("KDP_US",AD3, "SG&amp;A", "va actuals", "CD", "IMPL","","")</f>
        <v>1113</v>
      </c>
      <c r="AE72" s="14" cm="1">
        <f t="array" ref="AE72">_xll.VAData("KDP_US",AE3, "SG&amp;A", "va actuals", "CD", "IMPL","","")</f>
        <v>4153</v>
      </c>
      <c r="AF72" s="15" cm="1">
        <f t="array" ref="AF72">_xll.VAData("KDP_US",AF3, "SG&amp;A", "va actuals", "CD", "IMPL","","")</f>
        <v>1018</v>
      </c>
      <c r="AG72" s="15" cm="1">
        <f t="array" ref="AG72">_xll.VAData("KDP_US",AG3, "SG&amp;A", "va actuals", "CD", "IMPL","","")</f>
        <v>1204</v>
      </c>
      <c r="AH72" s="15" cm="1">
        <f t="array" ref="AH72">_xll.VAData("KDP_US",AH3, "SG&amp;A", "va actuals", "CD", "IMPL","","")</f>
        <v>1196</v>
      </c>
      <c r="AI72" s="15" cm="1">
        <f t="array" ref="AI72">_xll.VAData("KDP_US",AI3, "SG&amp;A", "va actuals", "CD", "IMPL","","")</f>
        <v>1227</v>
      </c>
      <c r="AJ72" s="14" cm="1">
        <f t="array" ref="AJ72">_xll.VAData("KDP_US",AJ3, "SG&amp;A", "va actuals", "CD", "IMPL","","")</f>
        <v>4645</v>
      </c>
      <c r="AK72" s="15" cm="1">
        <f t="array" ref="AK72">_xll.VAData("KDP_US",AK3, "SG&amp;A", "va actuals", "CD", "IMPL","","")</f>
        <v>1165</v>
      </c>
      <c r="AL72" s="15" cm="1">
        <f t="array" ref="AL72">_xll.VAData("KDP_US",AL3, "SG&amp;A", "va actuals", "CD", "IMPL","","")</f>
        <v>1272</v>
      </c>
    </row>
    <row r="73" spans="2:38" x14ac:dyDescent="0.75">
      <c r="B73" t="s">
        <v>11</v>
      </c>
      <c r="C73" s="6"/>
      <c r="D73" s="12" cm="1">
        <f t="array" ref="D73">_xll.VAData("KDP_US", D3, "Operating costs", "va actuals", "CD", "IMPL","","")</f>
        <v>2335</v>
      </c>
      <c r="E73" s="14" cm="1">
        <f t="array" ref="E73">_xll.VAData("KDP_US", E3, "Operating costs", "va actuals", "CD", "IMPL","","")</f>
        <v>2320</v>
      </c>
      <c r="F73" s="14" cm="1">
        <f t="array" ref="F73">_xll.VAData("KDP_US", F3, "Operating costs", "va actuals", "CD", "IMPL","","")</f>
        <v>2334</v>
      </c>
      <c r="G73" s="15" cm="1">
        <f t="array" ref="G73">_xll.VAData("KDP_US", G3, "Operating costs", "va actuals", "CD", "IMPL","","")</f>
        <v>648</v>
      </c>
      <c r="H73" s="15" cm="1">
        <f t="array" ref="H73">_xll.VAData("KDP_US", H3, "Operating costs", "va actuals", "CD", "IMPL","","")</f>
        <v>683</v>
      </c>
      <c r="I73" s="15" cm="1">
        <f t="array" ref="I73">_xll.VAData("KDP_US", I3, "Operating costs", "va actuals", "CD", "IMPL","","")</f>
        <v>319</v>
      </c>
      <c r="J73" s="15" cm="1">
        <f t="array" ref="J73">_xll.VAData("KDP_US", J3, "Operating costs", "va actuals", "CD", "IMPL","","")</f>
        <v>916</v>
      </c>
      <c r="K73" s="14" cm="1">
        <f t="array" ref="K73">_xll.VAData("KDP_US", K3, "Operating costs", "va actuals", "CD", "IMPL","","")</f>
        <v>3756</v>
      </c>
      <c r="L73" s="15" cm="1">
        <f t="array" ref="L73">_xll.VAData("KDP_US", L3, "Operating costs", "va actuals", "CD", "IMPL","","")</f>
        <v>910</v>
      </c>
      <c r="M73" s="15" cm="1">
        <f t="array" ref="M73">_xll.VAData("KDP_US", M3, "Operating costs", "va actuals", "CD", "IMPL","","")</f>
        <v>318</v>
      </c>
      <c r="N73" s="15" cm="1">
        <f t="array" ref="N73">_xll.VAData("KDP_US", N3, "Operating costs", "va actuals", "CD", "IMPL","","")</f>
        <v>995.5</v>
      </c>
      <c r="O73" s="15" cm="1">
        <f t="array" ref="O73">_xll.VAData("KDP_US", O3, "Operating costs", "va actuals", "CD", "IMPL","","")</f>
        <v>998</v>
      </c>
      <c r="P73" s="14" cm="1">
        <f t="array" ref="P73">_xll.VAData("KDP_US", P3, "Operating costs", "va actuals", "CD", "IMPL","","")</f>
        <v>2645</v>
      </c>
      <c r="Q73" s="15" cm="1">
        <f t="array" ref="Q73">_xll.VAData("KDP_US", Q3, "Operating costs", "va actuals", "CD", "IMPL","","")</f>
        <v>900</v>
      </c>
      <c r="R73" s="15" cm="1">
        <f t="array" ref="R73">_xll.VAData("KDP_US", R3, "Operating costs", "va actuals", "CD", "IMPL","","")</f>
        <v>1039</v>
      </c>
      <c r="S73" s="15" cm="1">
        <f t="array" ref="S73">_xll.VAData("KDP_US", S3, "Operating costs", "va actuals", "CD", "IMPL","","")</f>
        <v>979</v>
      </c>
      <c r="T73" s="15" cm="1">
        <f t="array" ref="T73">_xll.VAData("KDP_US", T3, "Operating costs", "va actuals", "CD", "IMPL","","")</f>
        <v>980</v>
      </c>
      <c r="U73" s="14" cm="1">
        <f t="array" ref="U73">_xll.VAData("KDP_US", U3, "Operating costs", "va actuals", "CD", "IMPL","","")</f>
        <v>3964</v>
      </c>
      <c r="V73" s="15" cm="1">
        <f t="array" ref="V73">_xll.VAData("KDP_US", V3, "Operating costs", "va actuals", "CD", "IMPL","","")</f>
        <v>986</v>
      </c>
      <c r="W73" s="15" cm="1">
        <f t="array" ref="W73">_xll.VAData("KDP_US", W3, "Operating costs", "va actuals", "CD", "IMPL","","")</f>
        <v>1001</v>
      </c>
      <c r="X73" s="15" cm="1">
        <f t="array" ref="X73">_xll.VAData("KDP_US", X3, "Operating costs", "va actuals", "CD", "IMPL","","")</f>
        <v>947</v>
      </c>
      <c r="Y73" s="15" cm="1">
        <f t="array" ref="Y73">_xll.VAData("KDP_US", Y3, "Operating costs", "va actuals", "CD", "IMPL","","")</f>
        <v>1066</v>
      </c>
      <c r="Z73" s="14" cm="1">
        <f t="array" ref="Z73">_xll.VAData("KDP_US", Z3, "Operating costs", "va actuals", "CD", "IMPL","","")</f>
        <v>4084</v>
      </c>
      <c r="AA73" s="15" cm="1">
        <f t="array" ref="AA73">_xll.VAData("KDP_US", AA3, "Operating costs", "va actuals", "CD", "IMPL","","")</f>
        <v>960</v>
      </c>
      <c r="AB73" s="15" cm="1">
        <f t="array" ref="AB73">_xll.VAData("KDP_US", AB3, "Operating costs", "va actuals", "CD", "IMPL","","")</f>
        <v>1036</v>
      </c>
      <c r="AC73" s="15" cm="1">
        <f t="array" ref="AC73">_xll.VAData("KDP_US", AC3, "Operating costs", "va actuals", "CD", "IMPL","","")</f>
        <v>1040</v>
      </c>
      <c r="AD73" s="15" cm="1">
        <f t="array" ref="AD73">_xll.VAData("KDP_US", AD3, "Operating costs", "va actuals", "CD", "IMPL","","")</f>
        <v>1047</v>
      </c>
      <c r="AE73" s="14" cm="1">
        <f t="array" ref="AE73">_xll.VAData("KDP_US", AE3, "Operating costs", "va actuals", "CD", "IMPL","","")</f>
        <v>4083</v>
      </c>
      <c r="AF73" s="15" cm="1">
        <f t="array" ref="AF73">_xll.VAData("KDP_US", AF3, "Operating costs", "va actuals", "CD", "IMPL","","")</f>
        <v>385</v>
      </c>
      <c r="AG73" s="15" cm="1">
        <f t="array" ref="AG73">_xll.VAData("KDP_US", AG3, "Operating costs", "va actuals", "CD", "IMPL","","")</f>
        <v>1204</v>
      </c>
      <c r="AH73" s="15" cm="1">
        <f t="array" ref="AH73">_xll.VAData("KDP_US", AH3, "Operating costs", "va actuals", "CD", "IMPL","","")</f>
        <v>1507</v>
      </c>
      <c r="AI73" s="15" cm="1">
        <f t="array" ref="AI73">_xll.VAData("KDP_US", AI3, "Operating costs", "va actuals", "CD", "IMPL","","")</f>
        <v>1323</v>
      </c>
      <c r="AJ73" s="14" cm="1">
        <f t="array" ref="AJ73">_xll.VAData("KDP_US", AJ3, "Operating costs", "va actuals", "CD", "IMPL","","")</f>
        <v>4718</v>
      </c>
      <c r="AK73" s="15" cm="1">
        <f t="array" ref="AK73">_xll.VAData("KDP_US", AK3, "Operating costs", "va actuals", "CD", "IMPL","","")</f>
        <v>1160</v>
      </c>
      <c r="AL73" s="15" cm="1">
        <f t="array" ref="AL73">_xll.VAData("KDP_US", AL3, "Operating costs", "va actuals", "CD", "IMPL","","")</f>
        <v>1272</v>
      </c>
    </row>
    <row r="74" spans="2:38" x14ac:dyDescent="0.75">
      <c r="D74" s="12"/>
      <c r="E74" s="14"/>
      <c r="F74" s="14"/>
      <c r="G74" s="15"/>
      <c r="H74" s="15"/>
      <c r="I74" s="15"/>
      <c r="J74" s="15"/>
      <c r="K74" s="14"/>
      <c r="L74" s="15"/>
      <c r="M74" s="15"/>
      <c r="N74" s="15"/>
      <c r="O74" s="15"/>
      <c r="P74" s="14"/>
      <c r="Q74" s="15"/>
      <c r="R74" s="15"/>
      <c r="S74" s="15"/>
      <c r="T74" s="15"/>
      <c r="U74" s="14"/>
      <c r="V74" s="15"/>
      <c r="W74" s="15"/>
      <c r="X74" s="15"/>
      <c r="Y74" s="15"/>
      <c r="Z74" s="14"/>
      <c r="AA74" s="15"/>
      <c r="AB74" s="15"/>
      <c r="AC74" s="15"/>
      <c r="AD74" s="15"/>
      <c r="AE74" s="14"/>
      <c r="AF74" s="15"/>
      <c r="AG74" s="15"/>
      <c r="AH74" s="15"/>
      <c r="AI74" s="15"/>
      <c r="AJ74" s="14"/>
      <c r="AK74" s="15"/>
      <c r="AL74" s="15"/>
    </row>
    <row r="75" spans="2:38" x14ac:dyDescent="0.75">
      <c r="B75" t="s">
        <v>14</v>
      </c>
      <c r="D75" s="12" cm="1">
        <f t="array" ref="D75">_xll.VAData("KDP_US", D3, "EBITDA", "va actuals", "CD", "IMPL","","")</f>
        <v>1415</v>
      </c>
      <c r="E75" s="14" cm="1">
        <f t="array" ref="E75">_xll.VAData("KDP_US", E3, "EBITDA", "va actuals", "CD", "IMPL","","")</f>
        <v>1525</v>
      </c>
      <c r="F75" s="14" cm="1">
        <f t="array" ref="F75">_xll.VAData("KDP_US", F3, "EBITDA", "va actuals", "CD", "IMPL","","")</f>
        <v>1657</v>
      </c>
      <c r="G75" s="15" cm="1">
        <f t="array" ref="G75">_xll.VAData("KDP_US", G3, "EBITDA", "va actuals", "CD", "IMPL","","")</f>
        <v>346</v>
      </c>
      <c r="H75" s="15" cm="1">
        <f t="array" ref="H75">_xll.VAData("KDP_US", H3, "EBITDA", "va actuals", "CD", "IMPL","","")</f>
        <v>430</v>
      </c>
      <c r="I75" s="15" cm="1">
        <f t="array" ref="I75">_xll.VAData("KDP_US", I3, "EBITDA", "va actuals", "CD", "IMPL","","")</f>
        <v>317</v>
      </c>
      <c r="J75" s="15" cm="1">
        <f t="array" ref="J75">_xll.VAData("KDP_US", J3, "EBITDA", "va actuals", "CD", "IMPL","","")</f>
        <v>618</v>
      </c>
      <c r="K75" s="14" cm="1">
        <f t="array" ref="K75">_xll.VAData("KDP_US", K3, "EBITDA", "va actuals", "CD", "IMPL","","")</f>
        <v>2412</v>
      </c>
      <c r="L75" s="15" cm="1">
        <f t="array" ref="L75">_xll.VAData("KDP_US", L3, "EBITDA", "va actuals", "CD", "IMPL","","")</f>
        <v>549</v>
      </c>
      <c r="M75" s="15" cm="1">
        <f t="array" ref="M75">_xll.VAData("KDP_US", M3, "EBITDA", "va actuals", "CD", "IMPL","","")</f>
        <v>233</v>
      </c>
      <c r="N75" s="15" cm="1">
        <f t="array" ref="N75">_xll.VAData("KDP_US", N3, "EBITDA", "va actuals", "CD", "IMPL","","")</f>
        <v>783.5</v>
      </c>
      <c r="O75" s="15" cm="1">
        <f t="array" ref="O75">_xll.VAData("KDP_US", O3, "EBITDA", "va actuals", "CD", "IMPL","","")</f>
        <v>613</v>
      </c>
      <c r="P75" s="14" cm="1">
        <f t="array" ref="P75">_xll.VAData("KDP_US", P3, "EBITDA", "va actuals", "CD", "IMPL","","")</f>
        <v>1647</v>
      </c>
      <c r="Q75" s="15" cm="1">
        <f t="array" ref="Q75">_xll.VAData("KDP_US", Q3, "EBITDA", "va actuals", "CD", "IMPL","","")</f>
        <v>619</v>
      </c>
      <c r="R75" s="15" cm="1">
        <f t="array" ref="R75">_xll.VAData("KDP_US", R3, "EBITDA", "va actuals", "CD", "IMPL","","")</f>
        <v>728</v>
      </c>
      <c r="S75" s="15" cm="1">
        <f t="array" ref="S75">_xll.VAData("KDP_US", S3, "EBITDA", "va actuals", "CD", "IMPL","","")</f>
        <v>724</v>
      </c>
      <c r="T75" s="15" cm="1">
        <f t="array" ref="T75">_xll.VAData("KDP_US", T3, "EBITDA", "va actuals", "CD", "IMPL","","")</f>
        <v>839</v>
      </c>
      <c r="U75" s="14" cm="1">
        <f t="array" ref="U75">_xll.VAData("KDP_US", U3, "EBITDA", "va actuals", "CD", "IMPL","","")</f>
        <v>2910</v>
      </c>
      <c r="V75" s="15" cm="1">
        <f t="array" ref="V75">_xll.VAData("KDP_US", V3, "EBITDA", "va actuals", "CD", "IMPL","","")</f>
        <v>596</v>
      </c>
      <c r="W75" s="15" cm="1">
        <f t="array" ref="W75">_xll.VAData("KDP_US", W3, "EBITDA", "va actuals", "CD", "IMPL","","")</f>
        <v>690</v>
      </c>
      <c r="X75" s="15" cm="1">
        <f t="array" ref="X75">_xll.VAData("KDP_US", X3, "EBITDA", "va actuals", "CD", "IMPL","","")</f>
        <v>884</v>
      </c>
      <c r="Y75" s="15" cm="1">
        <f t="array" ref="Y75">_xll.VAData("KDP_US", Y3, "EBITDA", "va actuals", "CD", "IMPL","","")</f>
        <v>963</v>
      </c>
      <c r="Z75" s="14" cm="1">
        <f t="array" ref="Z75">_xll.VAData("KDP_US", Z3, "EBITDA", "va actuals", "CD", "IMPL","","")</f>
        <v>3133</v>
      </c>
      <c r="AA75" s="15" cm="1">
        <f t="array" ref="AA75">_xll.VAData("KDP_US", AA3, "EBITDA", "va actuals", "CD", "IMPL","","")</f>
        <v>782</v>
      </c>
      <c r="AB75" s="15" cm="1">
        <f t="array" ref="AB75">_xll.VAData("KDP_US", AB3, "EBITDA", "va actuals", "CD", "IMPL","","")</f>
        <v>878</v>
      </c>
      <c r="AC75" s="15" cm="1">
        <f t="array" ref="AC75">_xll.VAData("KDP_US", AC3, "EBITDA", "va actuals", "CD", "IMPL","","")</f>
        <v>931</v>
      </c>
      <c r="AD75" s="15" cm="1">
        <f t="array" ref="AD75">_xll.VAData("KDP_US", AD3, "EBITDA", "va actuals", "CD", "IMPL","","")</f>
        <v>1011</v>
      </c>
      <c r="AE75" s="14" cm="1">
        <f t="array" ref="AE75">_xll.VAData("KDP_US", AE3, "EBITDA", "va actuals", "CD", "IMPL","","")</f>
        <v>3602</v>
      </c>
      <c r="AF75" s="15" cm="1">
        <f t="array" ref="AF75">_xll.VAData("KDP_US", AF3, "EBITDA", "va actuals", "CD", "IMPL","","")</f>
        <v>1144</v>
      </c>
      <c r="AG75" s="15" cm="1">
        <f t="array" ref="AG75">_xll.VAData("KDP_US", AG3, "EBITDA", "va actuals", "CD", "IMPL","","")</f>
        <v>573</v>
      </c>
      <c r="AH75" s="15" cm="1">
        <f t="array" ref="AH75">_xll.VAData("KDP_US", AH3, "EBITDA", "va actuals", "CD", "IMPL","","")</f>
        <v>567</v>
      </c>
      <c r="AI75" s="15" cm="1">
        <f t="array" ref="AI75">_xll.VAData("KDP_US", AI3, "EBITDA", "va actuals", "CD", "IMPL","","")</f>
        <v>852</v>
      </c>
      <c r="AJ75" s="14" cm="1">
        <f t="array" ref="AJ75">_xll.VAData("KDP_US", AJ3, "EBITDA", "va actuals", "CD", "IMPL","","")</f>
        <v>3314</v>
      </c>
      <c r="AK75" s="15" cm="1">
        <f t="array" ref="AK75">_xll.VAData("KDP_US", AK3, "EBITDA", "va actuals", "CD", "IMPL","","")</f>
        <v>770</v>
      </c>
      <c r="AL75" s="15" cm="1">
        <f t="array" ref="AL75">_xll.VAData("KDP_US", AL3, "EBITDA", "va actuals", "CD", "IMPL","","")</f>
        <v>944</v>
      </c>
    </row>
    <row r="76" spans="2:38" x14ac:dyDescent="0.75">
      <c r="B76" t="s">
        <v>15</v>
      </c>
      <c r="D76" s="12" cm="1">
        <f t="array" ref="D76">_xll.VAData("KDP_US", D3, "Interest income/(expense), net", "va actuals", "CD", "IMPL","","")</f>
        <v>-107</v>
      </c>
      <c r="E76" s="14" cm="1">
        <f t="array" ref="E76">_xll.VAData("KDP_US", E3, "Interest income/(expense), net", "va actuals", "CD", "IMPL","","")</f>
        <v>-115</v>
      </c>
      <c r="F76" s="14" cm="1">
        <f t="array" ref="F76">_xll.VAData("KDP_US", F3, "Interest income/(expense), net", "va actuals", "CD", "IMPL","","")</f>
        <v>-144</v>
      </c>
      <c r="G76" s="15" cm="1">
        <f t="array" ref="G76">_xll.VAData("KDP_US", G3, "Interest income/(expense), net", "va actuals", "CD", "IMPL","","")</f>
        <v>-39</v>
      </c>
      <c r="H76" s="15" cm="1">
        <f t="array" ref="H76">_xll.VAData("KDP_US", H3, "Interest income/(expense), net", "va actuals", "CD", "IMPL","","")</f>
        <v>-43</v>
      </c>
      <c r="I76" s="15" cm="1">
        <f t="array" ref="I76">_xll.VAData("KDP_US", I3, "Interest income/(expense), net", "va actuals", "CD", "IMPL","","")</f>
        <v>-3</v>
      </c>
      <c r="J76" s="15" cm="1">
        <f t="array" ref="J76">_xll.VAData("KDP_US", J3, "Interest income/(expense), net", "va actuals", "CD", "IMPL","","")</f>
        <v>-29</v>
      </c>
      <c r="K76" s="14" cm="1">
        <f t="array" ref="K76">_xll.VAData("KDP_US", K3, "Interest income/(expense), net", "va actuals", "CD", "IMPL","","")</f>
        <v>-64</v>
      </c>
      <c r="L76" s="15" cm="1">
        <f t="array" ref="L76">_xll.VAData("KDP_US", L3, "Interest income/(expense), net", "va actuals", "CD", "IMPL","","")</f>
        <v>-171</v>
      </c>
      <c r="M76" s="15" cm="1">
        <f t="array" ref="M76">_xll.VAData("KDP_US", M3, "Interest income/(expense), net", "va actuals", "CD", "IMPL","","")</f>
        <v>-77</v>
      </c>
      <c r="N76" s="15" cm="1">
        <f t="array" ref="N76">_xll.VAData("KDP_US", N3, "Interest income/(expense), net", "va actuals", "CD", "IMPL","","")</f>
        <v>-178</v>
      </c>
      <c r="O76" s="15" cm="1">
        <f t="array" ref="O76">_xll.VAData("KDP_US", O3, "Interest income/(expense), net", "va actuals", "CD", "IMPL","","")</f>
        <v>-180</v>
      </c>
      <c r="P76" s="14" cm="1">
        <f t="array" ref="P76">_xll.VAData("KDP_US", P3, "Interest income/(expense), net", "va actuals", "CD", "IMPL","","")</f>
        <v>-350</v>
      </c>
      <c r="Q76" s="15" cm="1">
        <f t="array" ref="Q76">_xll.VAData("KDP_US", Q3, "Interest income/(expense), net", "va actuals", "CD", "IMPL","","")</f>
        <v>-169</v>
      </c>
      <c r="R76" s="15" cm="1">
        <f t="array" ref="R76">_xll.VAData("KDP_US", R3, "Interest income/(expense), net", "va actuals", "CD", "IMPL","","")</f>
        <v>-170</v>
      </c>
      <c r="S76" s="15" cm="1">
        <f t="array" ref="S76">_xll.VAData("KDP_US", S3, "Interest income/(expense), net", "va actuals", "CD", "IMPL","","")</f>
        <v>-158</v>
      </c>
      <c r="T76" s="15" cm="1">
        <f t="array" ref="T76">_xll.VAData("KDP_US", T3, "Interest income/(expense), net", "va actuals", "CD", "IMPL","","")</f>
        <v>-157</v>
      </c>
      <c r="U76" s="14" cm="1">
        <f t="array" ref="U76">_xll.VAData("KDP_US", U3, "Interest income/(expense), net", "va actuals", "CD", "IMPL","","")</f>
        <v>-654</v>
      </c>
      <c r="V76" s="15" cm="1">
        <f t="array" ref="V76">_xll.VAData("KDP_US", V3, "Interest income/(expense), net", "va actuals", "CD", "IMPL","","")</f>
        <v>-153</v>
      </c>
      <c r="W76" s="15" cm="1">
        <f t="array" ref="W76">_xll.VAData("KDP_US", W3, "Interest income/(expense), net", "va actuals", "CD", "IMPL","","")</f>
        <v>-157</v>
      </c>
      <c r="X76" s="15" cm="1">
        <f t="array" ref="X76">_xll.VAData("KDP_US", X3, "Interest income/(expense), net", "va actuals", "CD", "IMPL","","")</f>
        <v>-148</v>
      </c>
      <c r="Y76" s="15" cm="1">
        <f t="array" ref="Y76">_xll.VAData("KDP_US", Y3, "Interest income/(expense), net", "va actuals", "CD", "IMPL","","")</f>
        <v>-146</v>
      </c>
      <c r="Z76" s="14" cm="1">
        <f t="array" ref="Z76">_xll.VAData("KDP_US", Z3, "Interest income/(expense), net", "va actuals", "CD", "IMPL","","")</f>
        <v>-604</v>
      </c>
      <c r="AA76" s="15" cm="1">
        <f t="array" ref="AA76">_xll.VAData("KDP_US", AA3, "Interest income/(expense), net", "va actuals", "CD", "IMPL","","")</f>
        <v>-140</v>
      </c>
      <c r="AB76" s="15" cm="1">
        <f t="array" ref="AB76">_xll.VAData("KDP_US", AB3, "Interest income/(expense), net", "va actuals", "CD", "IMPL","","")</f>
        <v>-125</v>
      </c>
      <c r="AC76" s="15" cm="1">
        <f t="array" ref="AC76">_xll.VAData("KDP_US", AC3, "Interest income/(expense), net", "va actuals", "CD", "IMPL","","")</f>
        <v>-116</v>
      </c>
      <c r="AD76" s="15" cm="1">
        <f t="array" ref="AD76">_xll.VAData("KDP_US", AD3, "Interest income/(expense), net", "va actuals", "CD", "IMPL","","")</f>
        <v>-119</v>
      </c>
      <c r="AE76" s="14" cm="1">
        <f t="array" ref="AE76">_xll.VAData("KDP_US", AE3, "Interest income/(expense), net", "va actuals", "CD", "IMPL","","")</f>
        <v>-500</v>
      </c>
      <c r="AF76" s="15" cm="1">
        <f t="array" ref="AF76">_xll.VAData("KDP_US", AF3, "Interest income/(expense), net", "va actuals", "CD", "IMPL","","")</f>
        <v>-188</v>
      </c>
      <c r="AG76" s="15" cm="1">
        <f t="array" ref="AG76">_xll.VAData("KDP_US", AG3, "Interest income/(expense), net", "va actuals", "CD", "IMPL","","")</f>
        <v>-175</v>
      </c>
      <c r="AH76" s="15" cm="1">
        <f t="array" ref="AH76">_xll.VAData("KDP_US", AH3, "Interest income/(expense), net", "va actuals", "CD", "IMPL","","")</f>
        <v>-207</v>
      </c>
      <c r="AI76" s="15" cm="1">
        <f t="array" ref="AI76">_xll.VAData("KDP_US", AI3, "Interest income/(expense), net", "va actuals", "CD", "IMPL","","")</f>
        <v>-123</v>
      </c>
      <c r="AJ76" s="14" cm="1">
        <f t="array" ref="AJ76">_xll.VAData("KDP_US", AJ3, "Interest income/(expense), net", "va actuals", "CD", "IMPL","","")</f>
        <v>-693</v>
      </c>
      <c r="AK76" s="15" cm="1">
        <f t="array" ref="AK76">_xll.VAData("KDP_US", AK3, "Interest income/(expense), net", "va actuals", "CD", "IMPL","","")</f>
        <v>-23</v>
      </c>
      <c r="AL76" s="15" cm="1">
        <f t="array" ref="AL76">_xll.VAData("KDP_US", AL3, "Interest income/(expense), net", "va actuals", "CD", "IMPL","","")</f>
        <v>-172</v>
      </c>
    </row>
    <row r="77" spans="2:38" x14ac:dyDescent="0.75">
      <c r="B77" t="s">
        <v>28</v>
      </c>
      <c r="D77" s="12" t="str" cm="1">
        <f t="array" ref="D77">_xll.VAData("KDP_US", D3, "Other income/(expense) net", "va actuals", "CD", "IMPL","","")</f>
        <v>-</v>
      </c>
      <c r="E77" s="14" cm="1">
        <f t="array" ref="E77">_xll.VAData("KDP_US", E3, "Other income/(expense) net", "va actuals", "CD", "IMPL","","")</f>
        <v>-1</v>
      </c>
      <c r="F77" s="14" cm="1">
        <f t="array" ref="F77">_xll.VAData("KDP_US", F3, "Other income/(expense) net", "va actuals", "CD", "IMPL","","")</f>
        <v>-31</v>
      </c>
      <c r="G77" s="15" cm="1">
        <f t="array" ref="G77">_xll.VAData("KDP_US", G3, "Other income/(expense) net", "va actuals", "CD", "IMPL","","")</f>
        <v>1</v>
      </c>
      <c r="H77" s="15" cm="1">
        <f t="array" ref="H77">_xll.VAData("KDP_US", H3, "Other income/(expense) net", "va actuals", "CD", "IMPL","","")</f>
        <v>-49</v>
      </c>
      <c r="I77" s="15" cm="1">
        <f t="array" ref="I77">_xll.VAData("KDP_US", I3, "Other income/(expense) net", "va actuals", "CD", "IMPL","","")</f>
        <v>-2</v>
      </c>
      <c r="J77" s="15" cm="1">
        <f t="array" ref="J77">_xll.VAData("KDP_US", J3, "Other income/(expense) net", "va actuals", "CD", "IMPL","","")</f>
        <v>5</v>
      </c>
      <c r="K77" s="14" cm="1">
        <f t="array" ref="K77">_xll.VAData("KDP_US", K3, "Other income/(expense) net", "va actuals", "CD", "IMPL","","")</f>
        <v>121</v>
      </c>
      <c r="L77" s="15" cm="1">
        <f t="array" ref="L77">_xll.VAData("KDP_US", L3, "Other income/(expense) net", "va actuals", "CD", "IMPL","","")</f>
        <v>2</v>
      </c>
      <c r="M77" s="15" cm="1">
        <f t="array" ref="M77">_xll.VAData("KDP_US", M3, "Other income/(expense) net", "va actuals", "CD", "IMPL","","")</f>
        <v>-8</v>
      </c>
      <c r="N77" s="15" cm="1">
        <f t="array" ref="N77">_xll.VAData("KDP_US", N3, "Other income/(expense) net", "va actuals", "CD", "IMPL","","")</f>
        <v>23</v>
      </c>
      <c r="O77" s="15" cm="1">
        <f t="array" ref="O77">_xll.VAData("KDP_US", O3, "Other income/(expense) net", "va actuals", "CD", "IMPL","","")</f>
        <v>9</v>
      </c>
      <c r="P77" s="14" cm="1">
        <f t="array" ref="P77">_xll.VAData("KDP_US", P3, "Other income/(expense) net", "va actuals", "CD", "IMPL","","")</f>
        <v>-6</v>
      </c>
      <c r="Q77" s="15" cm="1">
        <f t="array" ref="Q77">_xll.VAData("KDP_US", Q3, "Other income/(expense) net", "va actuals", "CD", "IMPL","","")</f>
        <v>14</v>
      </c>
      <c r="R77" s="15" cm="1">
        <f t="array" ref="R77">_xll.VAData("KDP_US", R3, "Other income/(expense) net", "va actuals", "CD", "IMPL","","")</f>
        <v>1</v>
      </c>
      <c r="S77" s="15" cm="1">
        <f t="array" ref="S77">_xll.VAData("KDP_US", S3, "Other income/(expense) net", "va actuals", "CD", "IMPL","","")</f>
        <v>9</v>
      </c>
      <c r="T77" s="15" cm="1">
        <f t="array" ref="T77">_xll.VAData("KDP_US", T3, "Other income/(expense) net", "va actuals", "CD", "IMPL","","")</f>
        <v>6</v>
      </c>
      <c r="U77" s="14" cm="1">
        <f t="array" ref="U77">_xll.VAData("KDP_US", U3, "Other income/(expense) net", "va actuals", "CD", "IMPL","","")</f>
        <v>30</v>
      </c>
      <c r="V77" s="15" cm="1">
        <f t="array" ref="V77">_xll.VAData("KDP_US", V3, "Other income/(expense) net", "va actuals", "CD", "IMPL","","")</f>
        <v>108</v>
      </c>
      <c r="W77" s="15" cm="1">
        <f t="array" ref="W77">_xll.VAData("KDP_US", W3, "Other income/(expense) net", "va actuals", "CD", "IMPL","","")</f>
        <v>-2</v>
      </c>
      <c r="X77" s="15" cm="1">
        <f t="array" ref="X77">_xll.VAData("KDP_US", X3, "Other income/(expense) net", "va actuals", "CD", "IMPL","","")</f>
        <v>21</v>
      </c>
      <c r="Y77" s="15" cm="1">
        <f t="array" ref="Y77">_xll.VAData("KDP_US", Y3, "Other income/(expense) net", "va actuals", "CD", "IMPL","","")</f>
        <v>-4</v>
      </c>
      <c r="Z77" s="14" cm="1">
        <f t="array" ref="Z77">_xll.VAData("KDP_US", Z3, "Other income/(expense) net", "va actuals", "CD", "IMPL","","")</f>
        <v>123</v>
      </c>
      <c r="AA77" s="15" cm="1">
        <f t="array" ref="AA77">_xll.VAData("KDP_US", AA3, "Other income/(expense) net", "va actuals", "CD", "IMPL","","")</f>
        <v>-108</v>
      </c>
      <c r="AB77" s="15" cm="1">
        <f t="array" ref="AB77">_xll.VAData("KDP_US", AB3, "Other income/(expense) net", "va actuals", "CD", "IMPL","","")</f>
        <v>-4</v>
      </c>
      <c r="AC77" s="15" cm="1">
        <f t="array" ref="AC77">_xll.VAData("KDP_US", AC3, "Other income/(expense) net", "va actuals", "CD", "IMPL","","")</f>
        <v>1</v>
      </c>
      <c r="AD77" s="15" cm="1">
        <f t="array" ref="AD77">_xll.VAData("KDP_US", AD3, "Other income/(expense) net", "va actuals", "CD", "IMPL","","")</f>
        <v>-537</v>
      </c>
      <c r="AE77" s="14" cm="1">
        <f t="array" ref="AE77">_xll.VAData("KDP_US", AE3, "Other income/(expense) net", "va actuals", "CD", "IMPL","","")</f>
        <v>404</v>
      </c>
      <c r="AF77" s="15" cm="1">
        <f t="array" ref="AF77">_xll.VAData("KDP_US", AF3, "Other income/(expense) net", "va actuals", "CD", "IMPL","","")</f>
        <v>-13</v>
      </c>
      <c r="AG77" s="15" cm="1">
        <f t="array" ref="AG77">_xll.VAData("KDP_US", AG3, "Other income/(expense) net", "va actuals", "CD", "IMPL","","")</f>
        <v>-184</v>
      </c>
      <c r="AH77" s="15" cm="1">
        <f t="array" ref="AH77">_xll.VAData("KDP_US", AH3, "Other income/(expense) net", "va actuals", "CD", "IMPL","","")</f>
        <v>4</v>
      </c>
      <c r="AI77" s="15" cm="1">
        <f t="array" ref="AI77">_xll.VAData("KDP_US", AI3, "Other income/(expense) net", "va actuals", "CD", "IMPL","","")</f>
        <v>8</v>
      </c>
      <c r="AJ77" s="14" cm="1">
        <f t="array" ref="AJ77">_xll.VAData("KDP_US", AJ3, "Other income/(expense) net", "va actuals", "CD", "IMPL","","")</f>
        <v>-193</v>
      </c>
      <c r="AK77" s="15" cm="1">
        <f t="array" ref="AK77">_xll.VAData("KDP_US", AK3, "Other income/(expense) net", "va actuals", "CD", "IMPL","","")</f>
        <v>20</v>
      </c>
      <c r="AL77" s="15" cm="1">
        <f t="array" ref="AL77">_xll.VAData("KDP_US", AL3, "Other income/(expense) net", "va actuals", "CD", "IMPL","","")</f>
        <v>16</v>
      </c>
    </row>
    <row r="78" spans="2:38" x14ac:dyDescent="0.75">
      <c r="B78" t="s">
        <v>16</v>
      </c>
      <c r="D78" s="12" t="e">
        <f>D75+D76+D77</f>
        <v>#VALUE!</v>
      </c>
      <c r="E78" s="14">
        <f t="shared" ref="E78" si="47">E75+E76+E77</f>
        <v>1409</v>
      </c>
      <c r="F78" s="14">
        <f t="shared" ref="F78" si="48">F75+F76+F77</f>
        <v>1482</v>
      </c>
      <c r="G78" s="15">
        <f t="shared" ref="G78" si="49">G75+G76+G77</f>
        <v>308</v>
      </c>
      <c r="H78" s="15">
        <f t="shared" ref="H78" si="50">H75+H76+H77</f>
        <v>338</v>
      </c>
      <c r="I78" s="15">
        <f t="shared" ref="I78" si="51">I75+I76+I77</f>
        <v>312</v>
      </c>
      <c r="J78" s="15">
        <f t="shared" ref="J78" si="52">J75+J76+J77</f>
        <v>594</v>
      </c>
      <c r="K78" s="14">
        <f t="shared" ref="K78" si="53">K75+K76+K77</f>
        <v>2469</v>
      </c>
      <c r="L78" s="15">
        <f t="shared" ref="L78" si="54">L75+L76+L77</f>
        <v>380</v>
      </c>
      <c r="M78" s="15">
        <f t="shared" ref="M78" si="55">M75+M76+M77</f>
        <v>148</v>
      </c>
      <c r="N78" s="15">
        <f t="shared" ref="N78" si="56">N75+N76+N77</f>
        <v>628.5</v>
      </c>
      <c r="O78" s="15">
        <f t="shared" ref="O78" si="57">O75+O76+O77</f>
        <v>442</v>
      </c>
      <c r="P78" s="14">
        <f t="shared" ref="P78" si="58">P75+P76+P77</f>
        <v>1291</v>
      </c>
      <c r="Q78" s="15">
        <f t="shared" ref="Q78" si="59">Q75+Q76+Q77</f>
        <v>464</v>
      </c>
      <c r="R78" s="15">
        <f t="shared" ref="R78" si="60">R75+R76+R77</f>
        <v>559</v>
      </c>
      <c r="S78" s="15">
        <f t="shared" ref="S78:Y78" si="61">S75+S76+S77</f>
        <v>575</v>
      </c>
      <c r="T78" s="15">
        <f t="shared" si="61"/>
        <v>688</v>
      </c>
      <c r="U78" s="14">
        <f t="shared" si="61"/>
        <v>2286</v>
      </c>
      <c r="V78" s="15">
        <f t="shared" si="61"/>
        <v>551</v>
      </c>
      <c r="W78" s="15">
        <f t="shared" si="61"/>
        <v>531</v>
      </c>
      <c r="X78" s="15">
        <f t="shared" si="61"/>
        <v>757</v>
      </c>
      <c r="Y78" s="15">
        <f t="shared" si="61"/>
        <v>813</v>
      </c>
      <c r="Z78" s="14">
        <f>Z75+Z76+Z77</f>
        <v>2652</v>
      </c>
      <c r="AA78" s="15">
        <f t="shared" ref="AA78" si="62">AA75+AA76+AA77</f>
        <v>534</v>
      </c>
      <c r="AB78" s="15">
        <f t="shared" ref="AB78" si="63">AB75+AB76+AB77</f>
        <v>749</v>
      </c>
      <c r="AC78" s="15">
        <f t="shared" ref="AC78" si="64">AC75+AC76+AC77</f>
        <v>816</v>
      </c>
      <c r="AD78" s="15">
        <f t="shared" ref="AD78:AJ78" si="65">AD75+AD76+AD77</f>
        <v>355</v>
      </c>
      <c r="AE78" s="14">
        <f t="shared" si="65"/>
        <v>3506</v>
      </c>
      <c r="AF78" s="15">
        <f t="shared" ref="AF78" si="66">AF75+AF76+AF77</f>
        <v>943</v>
      </c>
      <c r="AG78" s="15">
        <f t="shared" ref="AG78" si="67">AG75+AG76+AG77</f>
        <v>214</v>
      </c>
      <c r="AH78" s="15">
        <f t="shared" ref="AH78" si="68">AH75+AH76+AH77</f>
        <v>364</v>
      </c>
      <c r="AI78" s="15">
        <f t="shared" ref="AI78" si="69">AI75+AI76+AI77</f>
        <v>737</v>
      </c>
      <c r="AJ78" s="14">
        <f t="shared" si="65"/>
        <v>2428</v>
      </c>
      <c r="AK78" s="15">
        <f t="shared" ref="AK78" si="70">AK75+AK76+AK77</f>
        <v>767</v>
      </c>
      <c r="AL78" s="15">
        <f t="shared" ref="AL78" si="71">AL75+AL76+AL77</f>
        <v>788</v>
      </c>
    </row>
    <row r="79" spans="2:38" x14ac:dyDescent="0.75">
      <c r="B79" t="s">
        <v>29</v>
      </c>
      <c r="D79" s="12" cm="1">
        <f t="array" ref="D79">_xll.VAData("KDP_US", D3, "Income/(loss) before taxes", "va actuals", "CD", "IMPL","","")</f>
        <v>1073</v>
      </c>
      <c r="E79" s="14" cm="1">
        <f t="array" ref="E79">_xll.VAData("KDP_US", E3, "Income/(loss) before taxes", "va actuals", "CD", "IMPL","","")</f>
        <v>1184</v>
      </c>
      <c r="F79" s="14" cm="1">
        <f t="array" ref="F79">_xll.VAData("KDP_US", F3, "Income/(loss) before taxes", "va actuals", "CD", "IMPL","","")</f>
        <v>1283</v>
      </c>
      <c r="G79" s="15" cm="1">
        <f t="array" ref="G79">_xll.VAData("KDP_US", G3, "Income/(loss) before taxes", "va actuals", "CD", "IMPL","","")</f>
        <v>248</v>
      </c>
      <c r="H79" s="15" cm="1">
        <f t="array" ref="H79">_xll.VAData("KDP_US", H3, "Income/(loss) before taxes", "va actuals", "CD", "IMPL","","")</f>
        <v>283</v>
      </c>
      <c r="I79" s="15" cm="1">
        <f t="array" ref="I79">_xll.VAData("KDP_US", I3, "Income/(loss) before taxes", "va actuals", "CD", "IMPL","","")</f>
        <v>163</v>
      </c>
      <c r="J79" s="15" cm="1">
        <f t="array" ref="J79">_xll.VAData("KDP_US", J3, "Income/(loss) before taxes", "va actuals", "CD", "IMPL","","")</f>
        <v>420</v>
      </c>
      <c r="K79" s="14" cm="1">
        <f t="array" ref="K79">_xll.VAData("KDP_US", K3, "Income/(loss) before taxes", "va actuals", "CD", "IMPL","","")</f>
        <v>1363</v>
      </c>
      <c r="L79" s="15" cm="1">
        <f t="array" ref="L79">_xll.VAData("KDP_US", L3, "Income/(loss) before taxes", "va actuals", "CD", "IMPL","","")</f>
        <v>320</v>
      </c>
      <c r="M79" s="15" cm="1">
        <f t="array" ref="M79">_xll.VAData("KDP_US", M3, "Income/(loss) before taxes", "va actuals", "CD", "IMPL","","")</f>
        <v>98</v>
      </c>
      <c r="N79" s="15" cm="1">
        <f t="array" ref="N79">_xll.VAData("KDP_US", N3, "Income/(loss) before taxes", "va actuals", "CD", "IMPL","","")</f>
        <v>414</v>
      </c>
      <c r="O79" s="15" cm="1">
        <f t="array" ref="O79">_xll.VAData("KDP_US", O3, "Income/(loss) before taxes", "va actuals", "CD", "IMPL","","")</f>
        <v>358</v>
      </c>
      <c r="P79" s="14" cm="1">
        <f t="array" ref="P79">_xll.VAData("KDP_US", P3, "Income/(loss) before taxes", "va actuals", "CD", "IMPL","","")</f>
        <v>791</v>
      </c>
      <c r="Q79" s="15" cm="1">
        <f t="array" ref="Q79">_xll.VAData("KDP_US", Q3, "Income/(loss) before taxes", "va actuals", "CD", "IMPL","","")</f>
        <v>315</v>
      </c>
      <c r="R79" s="15" cm="1">
        <f t="array" ref="R79">_xll.VAData("KDP_US", R3, "Income/(loss) before taxes", "va actuals", "CD", "IMPL","","")</f>
        <v>416</v>
      </c>
      <c r="S79" s="15" cm="1">
        <f t="array" ref="S79">_xll.VAData("KDP_US", S3, "Income/(loss) before taxes", "va actuals", "CD", "IMPL","","")</f>
        <v>413</v>
      </c>
      <c r="T79" s="15" cm="1">
        <f t="array" ref="T79">_xll.VAData("KDP_US", T3, "Income/(loss) before taxes", "va actuals", "CD", "IMPL","","")</f>
        <v>550</v>
      </c>
      <c r="U79" s="14" cm="1">
        <f t="array" ref="U79">_xll.VAData("KDP_US", U3, "Income/(loss) before taxes", "va actuals", "CD", "IMPL","","")</f>
        <v>1694</v>
      </c>
      <c r="V79" s="15" cm="1">
        <f t="array" ref="V79">_xll.VAData("KDP_US", V3, "Income/(loss) before taxes", "va actuals", "CD", "IMPL","","")</f>
        <v>205</v>
      </c>
      <c r="W79" s="15" cm="1">
        <f t="array" ref="W79">_xll.VAData("KDP_US", W3, "Income/(loss) before taxes", "va actuals", "CD", "IMPL","","")</f>
        <v>406</v>
      </c>
      <c r="X79" s="15" cm="1">
        <f t="array" ref="X79">_xll.VAData("KDP_US", X3, "Income/(loss) before taxes", "va actuals", "CD", "IMPL","","")</f>
        <v>584</v>
      </c>
      <c r="Y79" s="15" cm="1">
        <f t="array" ref="Y79">_xll.VAData("KDP_US", Y3, "Income/(loss) before taxes", "va actuals", "CD", "IMPL","","")</f>
        <v>558</v>
      </c>
      <c r="Z79" s="14" cm="1">
        <f t="array" ref="Z79">_xll.VAData("KDP_US", Z3, "Income/(loss) before taxes", "va actuals", "CD", "IMPL","","")</f>
        <v>1753</v>
      </c>
      <c r="AA79" s="15" cm="1">
        <f t="array" ref="AA79">_xll.VAData("KDP_US", AA3, "Income/(loss) before taxes", "va actuals", "CD", "IMPL","","")</f>
        <v>398</v>
      </c>
      <c r="AB79" s="15" cm="1">
        <f t="array" ref="AB79">_xll.VAData("KDP_US", AB3, "Income/(loss) before taxes", "va actuals", "CD", "IMPL","","")</f>
        <v>613</v>
      </c>
      <c r="AC79" s="15" cm="1">
        <f t="array" ref="AC79">_xll.VAData("KDP_US", AC3, "Income/(loss) before taxes", "va actuals", "CD", "IMPL","","")</f>
        <v>678</v>
      </c>
      <c r="AD79" s="15" cm="1">
        <f t="array" ref="AD79">_xll.VAData("KDP_US", AD3, "Income/(loss) before taxes", "va actuals", "CD", "IMPL","","")</f>
        <v>1109</v>
      </c>
      <c r="AE79" s="14" cm="1">
        <f t="array" ref="AE79">_xll.VAData("KDP_US", AE3, "Income/(loss) before taxes", "va actuals", "CD", "IMPL","","")</f>
        <v>2798</v>
      </c>
      <c r="AF79" s="15" cm="1">
        <f t="array" ref="AF79">_xll.VAData("KDP_US", AF3, "Income/(loss) before taxes", "va actuals", "CD", "IMPL","","")</f>
        <v>765</v>
      </c>
      <c r="AG79" s="15" cm="1">
        <f t="array" ref="AG79">_xll.VAData("KDP_US", AG3, "Income/(loss) before taxes", "va actuals", "CD", "IMPL","","")</f>
        <v>213</v>
      </c>
      <c r="AH79" s="15" cm="1">
        <f t="array" ref="AH79">_xll.VAData("KDP_US", AH3, "Income/(loss) before taxes", "va actuals", "CD", "IMPL","","")</f>
        <v>183</v>
      </c>
      <c r="AI79" s="15" cm="1">
        <f t="array" ref="AI79">_xll.VAData("KDP_US", AI3, "Income/(loss) before taxes", "va actuals", "CD", "IMPL","","")</f>
        <v>558</v>
      </c>
      <c r="AJ79" s="14" cm="1">
        <f t="array" ref="AJ79">_xll.VAData("KDP_US", AJ3, "Income/(loss) before taxes", "va actuals", "CD", "IMPL","","")</f>
        <v>1719</v>
      </c>
      <c r="AK79" s="15" cm="1">
        <f t="array" ref="AK79">_xll.VAData("KDP_US", AK3, "Income/(loss) before taxes", "va actuals", "CD", "IMPL","","")</f>
        <v>581</v>
      </c>
      <c r="AL79" s="15" cm="1">
        <f t="array" ref="AL79">_xll.VAData("KDP_US", AL3, "Income/(loss) before taxes", "va actuals", "CD", "IMPL","","")</f>
        <v>613</v>
      </c>
    </row>
    <row r="80" spans="2:38" x14ac:dyDescent="0.75">
      <c r="B80" t="s">
        <v>17</v>
      </c>
      <c r="D80" s="12" cm="1">
        <f t="array" ref="D80">_xll.VAData("KDP_US", D3, "Provision/(benefit) for income taxes", "va actuals", "CD", "IMPL","","")</f>
        <v>371</v>
      </c>
      <c r="E80" s="14" cm="1">
        <f t="array" ref="E80">_xll.VAData("KDP_US", E3, "Provision/(benefit) for income taxes", "va actuals", "CD", "IMPL","","")</f>
        <v>420</v>
      </c>
      <c r="F80" s="14" cm="1">
        <f t="array" ref="F80">_xll.VAData("KDP_US", F3, "Provision/(benefit) for income taxes", "va actuals", "CD", "IMPL","","")</f>
        <v>434</v>
      </c>
      <c r="G80" s="15" cm="1">
        <f t="array" ref="G80">_xll.VAData("KDP_US", G3, "Provision/(benefit) for income taxes", "va actuals", "CD", "IMPL","","")</f>
        <v>71</v>
      </c>
      <c r="H80" s="15" cm="1">
        <f t="array" ref="H80">_xll.VAData("KDP_US", H3, "Provision/(benefit) for income taxes", "va actuals", "CD", "IMPL","","")</f>
        <v>94</v>
      </c>
      <c r="I80" s="15" cm="1">
        <f t="array" ref="I80">_xll.VAData("KDP_US", I3, "Provision/(benefit) for income taxes", "va actuals", "CD", "IMPL","","")</f>
        <v>46</v>
      </c>
      <c r="J80" s="15" cm="1">
        <f t="array" ref="J80">_xll.VAData("KDP_US", J3, "Provision/(benefit) for income taxes", "va actuals", "CD", "IMPL","","")</f>
        <v>-654</v>
      </c>
      <c r="K80" s="14" cm="1">
        <f t="array" ref="K80">_xll.VAData("KDP_US", K3, "Provision/(benefit) for income taxes", "va actuals", "CD", "IMPL","","")</f>
        <v>-364</v>
      </c>
      <c r="L80" s="15" cm="1">
        <f t="array" ref="L80">_xll.VAData("KDP_US", L3, "Provision/(benefit) for income taxes", "va actuals", "CD", "IMPL","","")</f>
        <v>98</v>
      </c>
      <c r="M80" s="15" cm="1">
        <f t="array" ref="M80">_xll.VAData("KDP_US", M3, "Provision/(benefit) for income taxes", "va actuals", "CD", "IMPL","","")</f>
        <v>13</v>
      </c>
      <c r="N80" s="15" cm="1">
        <f t="array" ref="N80">_xll.VAData("KDP_US", N3, "Provision/(benefit) for income taxes", "va actuals", "CD", "IMPL","","")</f>
        <v>111.5</v>
      </c>
      <c r="O80" s="15" cm="1">
        <f t="array" ref="O80">_xll.VAData("KDP_US", O3, "Provision/(benefit) for income taxes", "va actuals", "CD", "IMPL","","")</f>
        <v>92</v>
      </c>
      <c r="P80" s="14" cm="1">
        <f t="array" ref="P80">_xll.VAData("KDP_US", P3, "Provision/(benefit) for income taxes", "va actuals", "CD", "IMPL","","")</f>
        <v>202</v>
      </c>
      <c r="Q80" s="15" cm="1">
        <f t="array" ref="Q80">_xll.VAData("KDP_US", Q3, "Provision/(benefit) for income taxes", "va actuals", "CD", "IMPL","","")</f>
        <v>85</v>
      </c>
      <c r="R80" s="15" cm="1">
        <f t="array" ref="R80">_xll.VAData("KDP_US", R3, "Provision/(benefit) for income taxes", "va actuals", "CD", "IMPL","","")</f>
        <v>102</v>
      </c>
      <c r="S80" s="15" cm="1">
        <f t="array" ref="S80">_xll.VAData("KDP_US", S3, "Provision/(benefit) for income taxes", "va actuals", "CD", "IMPL","","")</f>
        <v>109</v>
      </c>
      <c r="T80" s="15" cm="1">
        <f t="array" ref="T80">_xll.VAData("KDP_US", T3, "Provision/(benefit) for income taxes", "va actuals", "CD", "IMPL","","")</f>
        <v>144</v>
      </c>
      <c r="U80" s="14" cm="1">
        <f t="array" ref="U80">_xll.VAData("KDP_US", U3, "Provision/(benefit) for income taxes", "va actuals", "CD", "IMPL","","")</f>
        <v>440</v>
      </c>
      <c r="V80" s="15" cm="1">
        <f t="array" ref="V80">_xll.VAData("KDP_US", V3, "Provision/(benefit) for income taxes", "va actuals", "CD", "IMPL","","")</f>
        <v>49</v>
      </c>
      <c r="W80" s="15" cm="1">
        <f t="array" ref="W80">_xll.VAData("KDP_US", W3, "Provision/(benefit) for income taxes", "va actuals", "CD", "IMPL","","")</f>
        <v>108</v>
      </c>
      <c r="X80" s="15" cm="1">
        <f t="array" ref="X80">_xll.VAData("KDP_US", X3, "Provision/(benefit) for income taxes", "va actuals", "CD", "IMPL","","")</f>
        <v>141</v>
      </c>
      <c r="Y80" s="15" cm="1">
        <f t="array" ref="Y80">_xll.VAData("KDP_US", Y3, "Provision/(benefit) for income taxes", "va actuals", "CD", "IMPL","","")</f>
        <v>130</v>
      </c>
      <c r="Z80" s="14" cm="1">
        <f t="array" ref="Z80">_xll.VAData("KDP_US", Z3, "Provision/(benefit) for income taxes", "va actuals", "CD", "IMPL","","")</f>
        <v>428</v>
      </c>
      <c r="AA80" s="15" cm="1">
        <f t="array" ref="AA80">_xll.VAData("KDP_US", AA3, "Provision/(benefit) for income taxes", "va actuals", "CD", "IMPL","","")</f>
        <v>73</v>
      </c>
      <c r="AB80" s="15" cm="1">
        <f t="array" ref="AB80">_xll.VAData("KDP_US", AB3, "Provision/(benefit) for income taxes", "va actuals", "CD", "IMPL","","")</f>
        <v>165</v>
      </c>
      <c r="AC80" s="15" cm="1">
        <f t="array" ref="AC80">_xll.VAData("KDP_US", AC3, "Provision/(benefit) for income taxes", "va actuals", "CD", "IMPL","","")</f>
        <v>149</v>
      </c>
      <c r="AD80" s="15" cm="1">
        <f t="array" ref="AD80">_xll.VAData("KDP_US", AD3, "Provision/(benefit) for income taxes", "va actuals", "CD", "IMPL","","")</f>
        <v>266</v>
      </c>
      <c r="AE80" s="14" cm="1">
        <f t="array" ref="AE80">_xll.VAData("KDP_US", AE3, "Provision/(benefit) for income taxes", "va actuals", "CD", "IMPL","","")</f>
        <v>653</v>
      </c>
      <c r="AF80" s="15" cm="1">
        <f t="array" ref="AF80">_xll.VAData("KDP_US", AF3, "Provision/(benefit) for income taxes", "va actuals", "CD", "IMPL","","")</f>
        <v>180</v>
      </c>
      <c r="AG80" s="15" cm="1">
        <f t="array" ref="AG80">_xll.VAData("KDP_US", AG3, "Provision/(benefit) for income taxes", "va actuals", "CD", "IMPL","","")</f>
        <v>-5</v>
      </c>
      <c r="AH80" s="15" cm="1">
        <f t="array" ref="AH80">_xll.VAData("KDP_US", AH3, "Provision/(benefit) for income taxes", "va actuals", "CD", "IMPL","","")</f>
        <v>4</v>
      </c>
      <c r="AI80" s="15" cm="1">
        <f t="array" ref="AI80">_xll.VAData("KDP_US", AI3, "Provision/(benefit) for income taxes", "va actuals", "CD", "IMPL","","")</f>
        <v>105</v>
      </c>
      <c r="AJ80" s="14" cm="1">
        <f t="array" ref="AJ80">_xll.VAData("KDP_US", AJ3, "Provision/(benefit) for income taxes", "va actuals", "CD", "IMPL","","")</f>
        <v>284</v>
      </c>
      <c r="AK80" s="15" cm="1">
        <f t="array" ref="AK80">_xll.VAData("KDP_US", AK3, "Provision/(benefit) for income taxes", "va actuals", "CD", "IMPL","","")</f>
        <v>114</v>
      </c>
      <c r="AL80" s="15" cm="1">
        <f t="array" ref="AL80">_xll.VAData("KDP_US", AL3, "Provision/(benefit) for income taxes", "va actuals", "CD", "IMPL","","")</f>
        <v>110</v>
      </c>
    </row>
    <row r="81" spans="2:38" x14ac:dyDescent="0.75">
      <c r="B81" t="s">
        <v>18</v>
      </c>
      <c r="D81" s="12">
        <f t="shared" ref="D81" si="72">D79-D80</f>
        <v>702</v>
      </c>
      <c r="E81" s="14">
        <f t="shared" ref="E81" si="73">E79-E80</f>
        <v>764</v>
      </c>
      <c r="F81" s="14">
        <f t="shared" ref="F81" si="74">F79-F80</f>
        <v>849</v>
      </c>
      <c r="G81" s="15">
        <f t="shared" ref="G81" si="75">G79-G80</f>
        <v>177</v>
      </c>
      <c r="H81" s="15">
        <f t="shared" ref="H81" si="76">H79-H80</f>
        <v>189</v>
      </c>
      <c r="I81" s="15">
        <f t="shared" ref="I81" si="77">I79-I80</f>
        <v>117</v>
      </c>
      <c r="J81" s="15">
        <f t="shared" ref="J81" si="78">J79-J80</f>
        <v>1074</v>
      </c>
      <c r="K81" s="14">
        <f t="shared" ref="K81" si="79">K79-K80</f>
        <v>1727</v>
      </c>
      <c r="L81" s="15">
        <f t="shared" ref="L81" si="80">L79-L80</f>
        <v>222</v>
      </c>
      <c r="M81" s="15">
        <f t="shared" ref="M81" si="81">M79-M80</f>
        <v>85</v>
      </c>
      <c r="N81" s="15">
        <f t="shared" ref="N81" si="82">N79-N80</f>
        <v>302.5</v>
      </c>
      <c r="O81" s="15">
        <f t="shared" ref="O81" si="83">O79-O80</f>
        <v>266</v>
      </c>
      <c r="P81" s="14">
        <f t="shared" ref="P81" si="84">P79-P80</f>
        <v>589</v>
      </c>
      <c r="Q81" s="15">
        <f t="shared" ref="Q81" si="85">Q79-Q80</f>
        <v>230</v>
      </c>
      <c r="R81" s="15">
        <f t="shared" ref="R81" si="86">R79-R80</f>
        <v>314</v>
      </c>
      <c r="S81" s="15">
        <f t="shared" ref="S81:Y81" si="87">S79-S80</f>
        <v>304</v>
      </c>
      <c r="T81" s="15">
        <f t="shared" si="87"/>
        <v>406</v>
      </c>
      <c r="U81" s="14">
        <f t="shared" si="87"/>
        <v>1254</v>
      </c>
      <c r="V81" s="15">
        <f t="shared" si="87"/>
        <v>156</v>
      </c>
      <c r="W81" s="15">
        <f t="shared" si="87"/>
        <v>298</v>
      </c>
      <c r="X81" s="15">
        <f t="shared" si="87"/>
        <v>443</v>
      </c>
      <c r="Y81" s="15">
        <f t="shared" si="87"/>
        <v>428</v>
      </c>
      <c r="Z81" s="14">
        <f>Z79-Z80</f>
        <v>1325</v>
      </c>
      <c r="AA81" s="15">
        <f t="shared" ref="AA81" si="88">AA79-AA80</f>
        <v>325</v>
      </c>
      <c r="AB81" s="15">
        <f t="shared" ref="AB81" si="89">AB79-AB80</f>
        <v>448</v>
      </c>
      <c r="AC81" s="15">
        <f t="shared" ref="AC81" si="90">AC79-AC80</f>
        <v>529</v>
      </c>
      <c r="AD81" s="15">
        <f t="shared" ref="AD81:AJ81" si="91">AD79-AD80</f>
        <v>843</v>
      </c>
      <c r="AE81" s="14">
        <f t="shared" si="91"/>
        <v>2145</v>
      </c>
      <c r="AF81" s="15">
        <f t="shared" ref="AF81" si="92">AF79-AF80</f>
        <v>585</v>
      </c>
      <c r="AG81" s="15">
        <f t="shared" ref="AG81" si="93">AG79-AG80</f>
        <v>218</v>
      </c>
      <c r="AH81" s="15">
        <f t="shared" ref="AH81" si="94">AH79-AH80</f>
        <v>179</v>
      </c>
      <c r="AI81" s="15">
        <f t="shared" ref="AI81" si="95">AI79-AI80</f>
        <v>453</v>
      </c>
      <c r="AJ81" s="14">
        <f t="shared" si="91"/>
        <v>1435</v>
      </c>
      <c r="AK81" s="15">
        <f t="shared" ref="AK81" si="96">AK79-AK80</f>
        <v>467</v>
      </c>
      <c r="AL81" s="15">
        <f t="shared" ref="AL81" si="97">AL79-AL80</f>
        <v>503</v>
      </c>
    </row>
    <row r="82" spans="2:38" x14ac:dyDescent="0.75">
      <c r="B82" t="s">
        <v>30</v>
      </c>
      <c r="D82" s="12" cm="1">
        <f t="array" ref="D82">_xll.VAData("KDP_US", D3, "Total adjustments in net income/(loss)", "va actuals", "CD", "IMPL","","")</f>
        <v>18</v>
      </c>
      <c r="E82" s="14" cm="1">
        <f t="array" ref="E82">_xll.VAData("KDP_US", E3, "Total adjustments in net income/(loss)", "va actuals", "CD", "IMPL","","")</f>
        <v>9</v>
      </c>
      <c r="F82" s="14" t="str" cm="1">
        <f t="array" ref="F82">_xll.VAData("KDP_US", F3, "Total adjustments in net income/(loss)", "va actuals", "CD", "IMPL","","")</f>
        <v>-</v>
      </c>
      <c r="G82" s="15" cm="1">
        <f t="array" ref="G82">_xll.VAData("KDP_US", G3, "Total adjustments in net income/(loss)", "va actuals", "CD", "IMPL","","")</f>
        <v>43</v>
      </c>
      <c r="H82" s="15" cm="1">
        <f t="array" ref="H82">_xll.VAData("KDP_US", H3, "Total adjustments in net income/(loss)", "va actuals", "CD", "IMPL","","")</f>
        <v>41</v>
      </c>
      <c r="I82" s="15" cm="1">
        <f t="array" ref="I82">_xll.VAData("KDP_US", I3, "Total adjustments in net income/(loss)", "va actuals", "CD", "IMPL","","")</f>
        <v>180</v>
      </c>
      <c r="J82" s="15" cm="1">
        <f t="array" ref="J82">_xll.VAData("KDP_US", J3, "Total adjustments in net income/(loss)", "va actuals", "CD", "IMPL","","")</f>
        <v>-744</v>
      </c>
      <c r="K82" s="14" cm="1">
        <f t="array" ref="K82">_xll.VAData("KDP_US", K3, "Total adjustments in net income/(loss)", "va actuals", "CD", "IMPL","","")</f>
        <v>-545</v>
      </c>
      <c r="L82" s="15" cm="1">
        <f t="array" ref="L82">_xll.VAData("KDP_US", L3, "Total adjustments in net income/(loss)", "va actuals", "CD", "IMPL","","")</f>
        <v>41</v>
      </c>
      <c r="M82" s="15" cm="1">
        <f t="array" ref="M82">_xll.VAData("KDP_US", M3, "Total adjustments in net income/(loss)", "va actuals", "CD", "IMPL","","")</f>
        <v>273</v>
      </c>
      <c r="N82" s="15" cm="1">
        <f t="array" ref="N82">_xll.VAData("KDP_US", N3, "Total adjustments in net income/(loss)", "va actuals", "CD", "IMPL","","")</f>
        <v>111</v>
      </c>
      <c r="O82" s="15" cm="1">
        <f t="array" ref="O82">_xll.VAData("KDP_US", O3, "Total adjustments in net income/(loss)", "va actuals", "CD", "IMPL","","")</f>
        <v>161</v>
      </c>
      <c r="P82" s="14" cm="1">
        <f t="array" ref="P82">_xll.VAData("KDP_US", P3, "Total adjustments in net income/(loss)", "va actuals", "CD", "IMPL","","")</f>
        <v>869</v>
      </c>
      <c r="Q82" s="15" cm="1">
        <f t="array" ref="Q82">_xll.VAData("KDP_US", Q3, "Total adjustments in net income/(loss)", "va actuals", "CD", "IMPL","","")</f>
        <v>132</v>
      </c>
      <c r="R82" s="15" cm="1">
        <f t="array" ref="R82">_xll.VAData("KDP_US", R3, "Total adjustments in net income/(loss)", "va actuals", "CD", "IMPL","","")</f>
        <v>109</v>
      </c>
      <c r="S82" s="15" cm="1">
        <f t="array" ref="S82">_xll.VAData("KDP_US", S3, "Total adjustments in net income/(loss)", "va actuals", "CD", "IMPL","","")</f>
        <v>147</v>
      </c>
      <c r="T82" s="15" cm="1">
        <f t="array" ref="T82">_xll.VAData("KDP_US", T3, "Total adjustments in net income/(loss)", "va actuals", "CD", "IMPL","","")</f>
        <v>85</v>
      </c>
      <c r="U82" s="14" cm="1">
        <f t="array" ref="U82">_xll.VAData("KDP_US", U3, "Total adjustments in net income/(loss)", "va actuals", "CD", "IMPL","","")</f>
        <v>473</v>
      </c>
      <c r="V82" s="15" cm="1">
        <f t="array" ref="V82">_xll.VAData("KDP_US", V3, "Total adjustments in net income/(loss)", "va actuals", "CD", "IMPL","","")</f>
        <v>252</v>
      </c>
      <c r="W82" s="15" cm="1">
        <f t="array" ref="W82">_xll.VAData("KDP_US", W3, "Total adjustments in net income/(loss)", "va actuals", "CD", "IMPL","","")</f>
        <v>171</v>
      </c>
      <c r="X82" s="15" cm="1">
        <f t="array" ref="X82">_xll.VAData("KDP_US", X3, "Total adjustments in net income/(loss)", "va actuals", "CD", "IMPL","","")</f>
        <v>114</v>
      </c>
      <c r="Y82" s="15" cm="1">
        <f t="array" ref="Y82">_xll.VAData("KDP_US", Y3, "Total adjustments in net income/(loss)", "va actuals", "CD", "IMPL","","")</f>
        <v>126</v>
      </c>
      <c r="Z82" s="14" cm="1">
        <f t="array" ref="Z82">_xll.VAData("KDP_US", Z3, "Total adjustments in net income/(loss)", "va actuals", "CD", "IMPL","","")</f>
        <v>663</v>
      </c>
      <c r="AA82" s="15" cm="1">
        <f t="array" ref="AA82">_xll.VAData("KDP_US", AA3, "Total adjustments in net income/(loss)", "va actuals", "CD", "IMPL","","")</f>
        <v>146</v>
      </c>
      <c r="AB82" s="15" cm="1">
        <f t="array" ref="AB82">_xll.VAData("KDP_US", AB3, "Total adjustments in net income/(loss)", "va actuals", "CD", "IMPL","","")</f>
        <v>90</v>
      </c>
      <c r="AC82" s="15" cm="1">
        <f t="array" ref="AC82">_xll.VAData("KDP_US", AC3, "Total adjustments in net income/(loss)", "va actuals", "CD", "IMPL","","")</f>
        <v>102</v>
      </c>
      <c r="AD82" s="15" cm="1">
        <f t="array" ref="AD82">_xll.VAData("KDP_US", AD3, "Total adjustments in net income/(loss)", "va actuals", "CD", "IMPL","","")</f>
        <v>-203</v>
      </c>
      <c r="AE82" s="14" cm="1">
        <f t="array" ref="AE82">_xll.VAData("KDP_US", AE3, "Total adjustments in net income/(loss)", "va actuals", "CD", "IMPL","","")</f>
        <v>135</v>
      </c>
      <c r="AF82" s="15" cm="1">
        <f t="array" ref="AF82">_xll.VAData("KDP_US", AF3, "Total adjustments in net income/(loss)", "va actuals", "CD", "IMPL","","")</f>
        <v>-111</v>
      </c>
      <c r="AG82" s="15" cm="1">
        <f t="array" ref="AG82">_xll.VAData("KDP_US", AG3, "Total adjustments in net income/(loss)", "va actuals", "CD", "IMPL","","")</f>
        <v>336</v>
      </c>
      <c r="AH82" s="15" cm="1">
        <f t="array" ref="AH82">_xll.VAData("KDP_US", AH3, "Total adjustments in net income/(loss)", "va actuals", "CD", "IMPL","","")</f>
        <v>477</v>
      </c>
      <c r="AI82" s="15" cm="1">
        <f t="array" ref="AI82">_xll.VAData("KDP_US", AI3, "Total adjustments in net income/(loss)", "va actuals", "CD", "IMPL","","")</f>
        <v>261</v>
      </c>
      <c r="AJ82" s="14" cm="1">
        <f t="array" ref="AJ82">_xll.VAData("KDP_US", AJ3, "Total adjustments in net income/(loss)", "va actuals", "CD", "IMPL","","")</f>
        <v>963</v>
      </c>
      <c r="AK82" s="15" cm="1">
        <f t="array" ref="AK82">_xll.VAData("KDP_US", AK3, "Total adjustments in net income/(loss)", "va actuals", "CD", "IMPL","","")</f>
        <v>12</v>
      </c>
      <c r="AL82" s="15" cm="1">
        <f t="array" ref="AL82">_xll.VAData("KDP_US", AL3, "Total adjustments in net income/(loss)", "va actuals", "CD", "IMPL","","")</f>
        <v>93</v>
      </c>
    </row>
    <row r="83" spans="2:38" x14ac:dyDescent="0.75">
      <c r="B83" t="s">
        <v>31</v>
      </c>
      <c r="D83" s="12">
        <f t="shared" ref="D83" si="98">D82+D81</f>
        <v>720</v>
      </c>
      <c r="E83" s="14">
        <f t="shared" ref="E83" si="99">E82+E81</f>
        <v>773</v>
      </c>
      <c r="F83" s="14" t="e">
        <f t="shared" ref="F83" si="100">F82+F81</f>
        <v>#VALUE!</v>
      </c>
      <c r="G83" s="15">
        <f t="shared" ref="G83" si="101">G82+G81</f>
        <v>220</v>
      </c>
      <c r="H83" s="15">
        <f t="shared" ref="H83" si="102">H82+H81</f>
        <v>230</v>
      </c>
      <c r="I83" s="15">
        <f t="shared" ref="I83" si="103">I82+I81</f>
        <v>297</v>
      </c>
      <c r="J83" s="15">
        <f t="shared" ref="J83" si="104">J82+J81</f>
        <v>330</v>
      </c>
      <c r="K83" s="14">
        <f t="shared" ref="K83" si="105">K82+K81</f>
        <v>1182</v>
      </c>
      <c r="L83" s="15">
        <f t="shared" ref="L83" si="106">L82+L81</f>
        <v>263</v>
      </c>
      <c r="M83" s="15">
        <f t="shared" ref="M83" si="107">M82+M81</f>
        <v>358</v>
      </c>
      <c r="N83" s="15">
        <f t="shared" ref="N83" si="108">N82+N81</f>
        <v>413.5</v>
      </c>
      <c r="O83" s="15">
        <f t="shared" ref="O83" si="109">O82+O81</f>
        <v>427</v>
      </c>
      <c r="P83" s="14">
        <f t="shared" ref="P83" si="110">P82+P81</f>
        <v>1458</v>
      </c>
      <c r="Q83" s="15">
        <f t="shared" ref="Q83" si="111">Q82+Q81</f>
        <v>362</v>
      </c>
      <c r="R83" s="15">
        <f t="shared" ref="R83" si="112">R82+R81</f>
        <v>423</v>
      </c>
      <c r="S83" s="15">
        <f t="shared" ref="S83:Y83" si="113">S82+S81</f>
        <v>451</v>
      </c>
      <c r="T83" s="15">
        <f t="shared" si="113"/>
        <v>491</v>
      </c>
      <c r="U83" s="14">
        <f t="shared" si="113"/>
        <v>1727</v>
      </c>
      <c r="V83" s="15">
        <f t="shared" si="113"/>
        <v>408</v>
      </c>
      <c r="W83" s="15">
        <f t="shared" si="113"/>
        <v>469</v>
      </c>
      <c r="X83" s="15">
        <f t="shared" si="113"/>
        <v>557</v>
      </c>
      <c r="Y83" s="15">
        <f t="shared" si="113"/>
        <v>554</v>
      </c>
      <c r="Z83" s="14">
        <f>Z82+Z81</f>
        <v>1988</v>
      </c>
      <c r="AA83" s="15">
        <f t="shared" ref="AA83" si="114">AA82+AA81</f>
        <v>471</v>
      </c>
      <c r="AB83" s="15">
        <f t="shared" ref="AB83" si="115">AB82+AB81</f>
        <v>538</v>
      </c>
      <c r="AC83" s="15">
        <f t="shared" ref="AC83" si="116">AC82+AC81</f>
        <v>631</v>
      </c>
      <c r="AD83" s="15">
        <f t="shared" ref="AD83:AJ83" si="117">AD82+AD81</f>
        <v>640</v>
      </c>
      <c r="AE83" s="14">
        <f t="shared" si="117"/>
        <v>2280</v>
      </c>
      <c r="AF83" s="15">
        <f t="shared" ref="AF83" si="118">AF82+AF81</f>
        <v>474</v>
      </c>
      <c r="AG83" s="15">
        <f t="shared" ref="AG83" si="119">AG82+AG81</f>
        <v>554</v>
      </c>
      <c r="AH83" s="15">
        <f t="shared" ref="AH83" si="120">AH82+AH81</f>
        <v>656</v>
      </c>
      <c r="AI83" s="15">
        <f t="shared" ref="AI83" si="121">AI82+AI81</f>
        <v>714</v>
      </c>
      <c r="AJ83" s="14">
        <f t="shared" si="117"/>
        <v>2398</v>
      </c>
      <c r="AK83" s="15">
        <f t="shared" ref="AK83" si="122">AK82+AK81</f>
        <v>479</v>
      </c>
      <c r="AL83" s="15">
        <f t="shared" ref="AL83" si="123">AL82+AL81</f>
        <v>596</v>
      </c>
    </row>
    <row r="84" spans="2:38" x14ac:dyDescent="0.75">
      <c r="D84" s="12"/>
      <c r="E84" s="14"/>
      <c r="F84" s="14"/>
      <c r="G84" s="15"/>
      <c r="H84" s="15"/>
      <c r="I84" s="15"/>
      <c r="J84" s="15"/>
      <c r="K84" s="14"/>
      <c r="L84" s="15"/>
      <c r="M84" s="15"/>
      <c r="N84" s="15"/>
      <c r="O84" s="15"/>
      <c r="P84" s="14"/>
      <c r="Q84" s="15"/>
      <c r="R84" s="15"/>
      <c r="S84" s="15"/>
      <c r="T84" s="15"/>
      <c r="U84" s="14"/>
      <c r="V84" s="15"/>
      <c r="W84" s="15"/>
      <c r="X84" s="15"/>
      <c r="Y84" s="15"/>
      <c r="Z84" s="14"/>
      <c r="AA84" s="15"/>
      <c r="AB84" s="15"/>
      <c r="AC84" s="15"/>
      <c r="AD84" s="15"/>
      <c r="AE84" s="14"/>
      <c r="AF84" s="15"/>
      <c r="AG84" s="15"/>
      <c r="AH84" s="15"/>
      <c r="AI84" s="15"/>
      <c r="AJ84" s="14"/>
      <c r="AK84" s="15"/>
      <c r="AL84" s="15"/>
    </row>
    <row r="85" spans="2:38" x14ac:dyDescent="0.75">
      <c r="B85" t="s">
        <v>19</v>
      </c>
      <c r="D85" s="12" cm="1">
        <f t="array" ref="D85">_xll.VAData("KDP_US", D3, "Shares - Basic", "va actuals", "CD", "IMPL","","")</f>
        <v>195.8</v>
      </c>
      <c r="E85" s="14" cm="1">
        <f t="array" ref="E85">_xll.VAData("KDP_US", E3, "Shares - Basic", "va actuals", "CD", "IMPL","","")</f>
        <v>190.9</v>
      </c>
      <c r="F85" s="14" cm="1">
        <f t="array" ref="F85">_xll.VAData("KDP_US", F3, "Shares - Basic", "va actuals", "CD", "IMPL","","")</f>
        <v>185.4</v>
      </c>
      <c r="G85" s="15" cm="1">
        <f t="array" ref="G85">_xll.VAData("KDP_US", G3, "Shares - Basic", "va actuals", "CD", "IMPL","","")</f>
        <v>1386.5</v>
      </c>
      <c r="H85" s="15" cm="1">
        <f t="array" ref="H85">_xll.VAData("KDP_US", H3, "Shares - Basic", "va actuals", "CD", "IMPL","","")</f>
        <v>1386.5</v>
      </c>
      <c r="I85" s="15" cm="1">
        <f t="array" ref="I85">_xll.VAData("KDP_US", I3, "Shares - Basic", "va actuals", "CD", "IMPL","","")</f>
        <v>1386.5</v>
      </c>
      <c r="J85" s="15" cm="1">
        <f t="array" ref="J85">_xll.VAData("KDP_US", J3, "Shares - Basic", "va actuals", "CD", "IMPL","","")</f>
        <v>1386.5</v>
      </c>
      <c r="K85" s="14" cm="1">
        <f t="array" ref="K85">_xll.VAData("KDP_US", K3, "Shares - Basic", "va actuals", "CD", "IMPL","","")</f>
        <v>1386.5</v>
      </c>
      <c r="L85" s="15" cm="1">
        <f t="array" ref="L85">_xll.VAData("KDP_US", L3, "Shares - Basic", "va actuals", "CD", "IMPL","","")</f>
        <v>1386.5</v>
      </c>
      <c r="M85" s="15" cm="1">
        <f t="array" ref="M85">_xll.VAData("KDP_US", M3, "Shares - Basic", "va actuals", "CD", "IMPL","","")</f>
        <v>1386.5</v>
      </c>
      <c r="N85" s="15" cm="1">
        <f t="array" ref="N85">_xll.VAData("KDP_US", N3, "Shares - Basic", "va actuals", "CD", "IMPL","","")</f>
        <v>1382.2</v>
      </c>
      <c r="O85" s="15" cm="1">
        <f t="array" ref="O85">_xll.VAData("KDP_US", O3, "Shares - Basic", "va actuals", "CD", "IMPL","","")</f>
        <v>1394.8</v>
      </c>
      <c r="P85" s="14" cm="1">
        <f t="array" ref="P85">_xll.VAData("KDP_US", P3, "Shares - Basic", "va actuals", "CD", "IMPL","","")</f>
        <v>1086.3</v>
      </c>
      <c r="Q85" s="15" cm="1">
        <f t="array" ref="Q85">_xll.VAData("KDP_US", Q3, "Shares - Basic", "va actuals", "CD", "IMPL","","")</f>
        <v>1406.3</v>
      </c>
      <c r="R85" s="15" cm="1">
        <f t="array" ref="R85">_xll.VAData("KDP_US", R3, "Shares - Basic", "va actuals", "CD", "IMPL","","")</f>
        <v>1406.7</v>
      </c>
      <c r="S85" s="15" cm="1">
        <f t="array" ref="S85">_xll.VAData("KDP_US", S3, "Shares - Basic", "va actuals", "CD", "IMPL","","")</f>
        <v>1406.8</v>
      </c>
      <c r="T85" s="15" cm="1">
        <f t="array" ref="T85">_xll.VAData("KDP_US", T3, "Shares - Basic", "va actuals", "CD", "IMPL","","")</f>
        <v>1406.9</v>
      </c>
      <c r="U85" s="14" cm="1">
        <f t="array" ref="U85">_xll.VAData("KDP_US", U3, "Shares - Basic", "va actuals", "CD", "IMPL","","")</f>
        <v>1406.7</v>
      </c>
      <c r="V85" s="15" cm="1">
        <f t="array" ref="V85">_xll.VAData("KDP_US", V3, "Shares - Basic", "va actuals", "CD", "IMPL","","")</f>
        <v>1407</v>
      </c>
      <c r="W85" s="15" cm="1">
        <f t="array" ref="W85">_xll.VAData("KDP_US", W3, "Shares - Basic", "va actuals", "CD", "IMPL","","")</f>
        <v>1407.2</v>
      </c>
      <c r="X85" s="15" cm="1">
        <f t="array" ref="X85">_xll.VAData("KDP_US", X3, "Shares - Basic", "va actuals", "CD", "IMPL","","")</f>
        <v>1407.3</v>
      </c>
      <c r="Y85" s="15" cm="1">
        <f t="array" ref="Y85">_xll.VAData("KDP_US", Y3, "Shares - Basic", "va actuals", "CD", "IMPL","","")</f>
        <v>1407.3</v>
      </c>
      <c r="Z85" s="14" cm="1">
        <f t="array" ref="Z85">_xll.VAData("KDP_US", Z3, "Shares - Basic", "va actuals", "CD", "IMPL","","")</f>
        <v>1407.2</v>
      </c>
      <c r="AA85" s="15" cm="1">
        <f t="array" ref="AA85">_xll.VAData("KDP_US", AA3, "Shares - Basic", "va actuals", "CD", "IMPL","","")</f>
        <v>1409.2</v>
      </c>
      <c r="AB85" s="15" cm="1">
        <f t="array" ref="AB85">_xll.VAData("KDP_US", AB3, "Shares - Basic", "va actuals", "CD", "IMPL","","")</f>
        <v>1417.4</v>
      </c>
      <c r="AC85" s="15" cm="1">
        <f t="array" ref="AC85">_xll.VAData("KDP_US", AC3, "Shares - Basic", "va actuals", "CD", "IMPL","","")</f>
        <v>1417.6</v>
      </c>
      <c r="AD85" s="15" cm="1">
        <f t="array" ref="AD85">_xll.VAData("KDP_US", AD3, "Shares - Basic", "va actuals", "CD", "IMPL","","")</f>
        <v>1418</v>
      </c>
      <c r="AE85" s="14" cm="1">
        <f t="array" ref="AE85">_xll.VAData("KDP_US", AE3, "Shares - Basic", "va actuals", "CD", "IMPL","","")</f>
        <v>1415.7</v>
      </c>
      <c r="AF85" s="15" cm="1">
        <f t="array" ref="AF85">_xll.VAData("KDP_US", AF3, "Shares - Basic", "va actuals", "CD", "IMPL","","")</f>
        <v>1418.2</v>
      </c>
      <c r="AG85" s="15" cm="1">
        <f t="array" ref="AG85">_xll.VAData("KDP_US", AG3, "Shares - Basic", "va actuals", "CD", "IMPL","","")</f>
        <v>1417.5</v>
      </c>
      <c r="AH85" s="15" cm="1">
        <f t="array" ref="AH85">_xll.VAData("KDP_US", AH3, "Shares - Basic", "va actuals", "CD", "IMPL","","")</f>
        <v>1416.1</v>
      </c>
      <c r="AI85" s="15" cm="1">
        <f t="array" ref="AI85">_xll.VAData("KDP_US", AI3, "Shares - Basic", "va actuals", "CD", "IMPL","","")</f>
        <v>1415.5</v>
      </c>
      <c r="AJ85" s="14" cm="1">
        <f t="array" ref="AJ85">_xll.VAData("KDP_US", AJ3, "Shares - Basic", "va actuals", "CD", "IMPL","","")</f>
        <v>1416.8</v>
      </c>
      <c r="AK85" s="15" cm="1">
        <f t="array" ref="AK85">_xll.VAData("KDP_US", AK3, "Shares - Basic", "va actuals", "CD", "IMPL","","")</f>
        <v>1406.2</v>
      </c>
      <c r="AL85" s="15" cm="1">
        <f t="array" ref="AL85">_xll.VAData("KDP_US", AL3, "Shares - Basic", "va actuals", "CD", "IMPL","","")</f>
        <v>1400.3</v>
      </c>
    </row>
    <row r="86" spans="2:38" x14ac:dyDescent="0.75">
      <c r="B86" t="s">
        <v>20</v>
      </c>
      <c r="D86" s="12"/>
      <c r="E86" s="14"/>
      <c r="F86" s="14"/>
      <c r="G86" s="15"/>
      <c r="H86" s="15"/>
      <c r="I86" s="15"/>
      <c r="J86" s="15"/>
      <c r="K86" s="14"/>
      <c r="L86" s="15"/>
      <c r="M86" s="15"/>
      <c r="N86" s="15"/>
      <c r="O86" s="15"/>
      <c r="P86" s="14"/>
      <c r="Q86" s="15"/>
      <c r="R86" s="15"/>
      <c r="S86" s="15"/>
      <c r="T86" s="15"/>
      <c r="U86" s="14"/>
      <c r="V86" s="15"/>
      <c r="W86" s="15"/>
      <c r="X86" s="15"/>
      <c r="Y86" s="15"/>
      <c r="Z86" s="14"/>
      <c r="AA86" s="15"/>
      <c r="AB86" s="15"/>
      <c r="AC86" s="15"/>
      <c r="AD86" s="15"/>
      <c r="AE86" s="14"/>
      <c r="AF86" s="15"/>
      <c r="AG86" s="15"/>
      <c r="AH86" s="15"/>
      <c r="AI86" s="15"/>
      <c r="AJ86" s="14"/>
      <c r="AK86" s="15"/>
      <c r="AL86" s="15"/>
    </row>
    <row r="87" spans="2:38" x14ac:dyDescent="0.75">
      <c r="B87" t="s">
        <v>21</v>
      </c>
      <c r="D87" s="12" cm="1">
        <f t="array" ref="D87">_xll.VAData("KDP_US", D3, "Shares - Diluted", "va actuals", "CD", "IMPL","","")</f>
        <v>197.4</v>
      </c>
      <c r="E87" s="14" cm="1">
        <f t="array" ref="E87">_xll.VAData("KDP_US", E3, "Shares - Diluted", "va actuals", "CD", "IMPL","","")</f>
        <v>192.4</v>
      </c>
      <c r="F87" s="14" cm="1">
        <f t="array" ref="F87">_xll.VAData("KDP_US", F3, "Shares - Diluted", "va actuals", "CD", "IMPL","","")</f>
        <v>186.6</v>
      </c>
      <c r="G87" s="15" cm="1">
        <f t="array" ref="G87">_xll.VAData("KDP_US", G3, "Shares - Diluted", "va actuals", "CD", "IMPL","","")</f>
        <v>1386.5</v>
      </c>
      <c r="H87" s="15" cm="1">
        <f t="array" ref="H87">_xll.VAData("KDP_US", H3, "Shares - Diluted", "va actuals", "CD", "IMPL","","")</f>
        <v>1386.5</v>
      </c>
      <c r="I87" s="15" cm="1">
        <f t="array" ref="I87">_xll.VAData("KDP_US", I3, "Shares - Diluted", "va actuals", "CD", "IMPL","","")</f>
        <v>1386.5</v>
      </c>
      <c r="J87" s="15" cm="1">
        <f t="array" ref="J87">_xll.VAData("KDP_US", J3, "Shares - Diluted", "va actuals", "CD", "IMPL","","")</f>
        <v>1386.5</v>
      </c>
      <c r="K87" s="14" cm="1">
        <f t="array" ref="K87">_xll.VAData("KDP_US", K3, "Shares - Diluted", "va actuals", "CD", "IMPL","","")</f>
        <v>1386.5</v>
      </c>
      <c r="L87" s="15" cm="1">
        <f t="array" ref="L87">_xll.VAData("KDP_US", L3, "Shares - Diluted", "va actuals", "CD", "IMPL","","")</f>
        <v>1386.5</v>
      </c>
      <c r="M87" s="15" cm="1">
        <f t="array" ref="M87">_xll.VAData("KDP_US", M3, "Shares - Diluted", "va actuals", "CD", "IMPL","","")</f>
        <v>1386.5</v>
      </c>
      <c r="N87" s="15" cm="1">
        <f t="array" ref="N87">_xll.VAData("KDP_US", N3, "Shares - Diluted", "va actuals", "CD", "IMPL","","")</f>
        <v>1400.7</v>
      </c>
      <c r="O87" s="15" cm="1">
        <f t="array" ref="O87">_xll.VAData("KDP_US", O3, "Shares - Diluted", "va actuals", "CD", "IMPL","","")</f>
        <v>1406.2</v>
      </c>
      <c r="P87" s="14" cm="1">
        <f t="array" ref="P87">_xll.VAData("KDP_US", P3, "Shares - Diluted", "va actuals", "CD", "IMPL","","")</f>
        <v>1401.1</v>
      </c>
      <c r="Q87" s="15" cm="1">
        <f t="array" ref="Q87">_xll.VAData("KDP_US", Q3, "Shares - Diluted", "va actuals", "CD", "IMPL","","")</f>
        <v>1417.7</v>
      </c>
      <c r="R87" s="15" cm="1">
        <f t="array" ref="R87">_xll.VAData("KDP_US", R3, "Shares - Diluted", "va actuals", "CD", "IMPL","","")</f>
        <v>1419.2</v>
      </c>
      <c r="S87" s="15" cm="1">
        <f t="array" ref="S87">_xll.VAData("KDP_US", S3, "Shares - Diluted", "va actuals", "CD", "IMPL","","")</f>
        <v>1419.4</v>
      </c>
      <c r="T87" s="15" cm="1">
        <f t="array" ref="T87">_xll.VAData("KDP_US", T3, "Shares - Diluted", "va actuals", "CD", "IMPL","","")</f>
        <v>1419.9</v>
      </c>
      <c r="U87" s="14" cm="1">
        <f t="array" ref="U87">_xll.VAData("KDP_US", U3, "Shares - Diluted", "va actuals", "CD", "IMPL","","")</f>
        <v>1419.1</v>
      </c>
      <c r="V87" s="15" cm="1">
        <f t="array" ref="V87">_xll.VAData("KDP_US", V3, "Shares - Diluted", "va actuals", "CD", "IMPL","","")</f>
        <v>1420.1</v>
      </c>
      <c r="W87" s="15" cm="1">
        <f t="array" ref="W87">_xll.VAData("KDP_US", W3, "Shares - Diluted", "va actuals", "CD", "IMPL","","")</f>
        <v>1421.5</v>
      </c>
      <c r="X87" s="15" cm="1">
        <f t="array" ref="X87">_xll.VAData("KDP_US", X3, "Shares - Diluted", "va actuals", "CD", "IMPL","","")</f>
        <v>1422.9</v>
      </c>
      <c r="Y87" s="15" cm="1">
        <f t="array" ref="Y87">_xll.VAData("KDP_US", Y3, "Shares - Diluted", "va actuals", "CD", "IMPL","","")</f>
        <v>1423.8</v>
      </c>
      <c r="Z87" s="14" cm="1">
        <f t="array" ref="Z87">_xll.VAData("KDP_US", Z3, "Shares - Diluted", "va actuals", "CD", "IMPL","","")</f>
        <v>1422.1</v>
      </c>
      <c r="AA87" s="15" cm="1">
        <f t="array" ref="AA87">_xll.VAData("KDP_US", AA3, "Shares - Diluted", "va actuals", "CD", "IMPL","","")</f>
        <v>1425.6</v>
      </c>
      <c r="AB87" s="15" cm="1">
        <f t="array" ref="AB87">_xll.VAData("KDP_US", AB3, "Shares - Diluted", "va actuals", "CD", "IMPL","","")</f>
        <v>1428.1</v>
      </c>
      <c r="AC87" s="15" cm="1">
        <f t="array" ref="AC87">_xll.VAData("KDP_US", AC3, "Shares - Diluted", "va actuals", "CD", "IMPL","","")</f>
        <v>1428.5</v>
      </c>
      <c r="AD87" s="15" cm="1">
        <f t="array" ref="AD87">_xll.VAData("KDP_US", AD3, "Shares - Diluted", "va actuals", "CD", "IMPL","","")</f>
        <v>1429</v>
      </c>
      <c r="AE87" s="14" cm="1">
        <f t="array" ref="AE87">_xll.VAData("KDP_US", AE3, "Shares - Diluted", "va actuals", "CD", "IMPL","","")</f>
        <v>1427.8</v>
      </c>
      <c r="AF87" s="15" cm="1">
        <f t="array" ref="AF87">_xll.VAData("KDP_US", AF3, "Shares - Diluted", "va actuals", "CD", "IMPL","","")</f>
        <v>1429.7</v>
      </c>
      <c r="AG87" s="15" cm="1">
        <f t="array" ref="AG87">_xll.VAData("KDP_US", AG3, "Shares - Diluted", "va actuals", "CD", "IMPL","","")</f>
        <v>1428.6</v>
      </c>
      <c r="AH87" s="15" cm="1">
        <f t="array" ref="AH87">_xll.VAData("KDP_US", AH3, "Shares - Diluted", "va actuals", "CD", "IMPL","","")</f>
        <v>1427.2</v>
      </c>
      <c r="AI87" s="15" cm="1">
        <f t="array" ref="AI87">_xll.VAData("KDP_US", AI3, "Shares - Diluted", "va actuals", "CD", "IMPL","","")</f>
        <v>1427.5</v>
      </c>
      <c r="AJ87" s="14" cm="1">
        <f t="array" ref="AJ87">_xll.VAData("KDP_US", AJ3, "Shares - Diluted", "va actuals", "CD", "IMPL","","")</f>
        <v>1428.25</v>
      </c>
      <c r="AK87" s="15" cm="1">
        <f t="array" ref="AK87">_xll.VAData("KDP_US", AK3, "Shares - Diluted", "va actuals", "CD", "IMPL","","")</f>
        <v>1417</v>
      </c>
      <c r="AL87" s="15" cm="1">
        <f t="array" ref="AL87">_xll.VAData("KDP_US", AL3, "Shares - Diluted", "va actuals", "CD", "IMPL","","")</f>
        <v>1409.1</v>
      </c>
    </row>
    <row r="88" spans="2:38" x14ac:dyDescent="0.75">
      <c r="B88" t="s">
        <v>22</v>
      </c>
      <c r="D88" s="12"/>
      <c r="E88" s="12"/>
      <c r="F88" s="12"/>
      <c r="K88" s="12"/>
      <c r="P88" s="12"/>
      <c r="U88" s="12"/>
      <c r="Z88" s="12"/>
      <c r="AE88" s="12"/>
      <c r="AJ88" s="12"/>
    </row>
    <row r="89" spans="2:38" x14ac:dyDescent="0.75">
      <c r="D89" s="12"/>
      <c r="E89" s="12"/>
      <c r="F89" s="12"/>
      <c r="K89" s="12"/>
      <c r="P89" s="12"/>
      <c r="U89" s="12"/>
      <c r="Z89" s="12"/>
      <c r="AE89" s="12"/>
      <c r="AJ89" s="12"/>
    </row>
    <row r="90" spans="2:38" x14ac:dyDescent="0.75">
      <c r="B90" t="s">
        <v>23</v>
      </c>
      <c r="D90" s="12"/>
      <c r="E90" s="12"/>
      <c r="F90" s="12"/>
      <c r="K90" s="12"/>
      <c r="P90" s="12"/>
      <c r="U90" s="12"/>
      <c r="Z90" s="12"/>
      <c r="AE90" s="12"/>
      <c r="AJ90" s="12"/>
    </row>
    <row r="91" spans="2:38" x14ac:dyDescent="0.75">
      <c r="B91" t="s">
        <v>24</v>
      </c>
      <c r="D91" s="56" cm="1">
        <f t="array" ref="D91">_xll.VAData("KDP_US", D3, "Dividend per share", "va actuals", "CD", "IMPL","","")</f>
        <v>1.6325000000000001</v>
      </c>
      <c r="E91" s="56" cm="1">
        <f t="array" ref="E91">_xll.VAData("KDP_US", E3, "Dividend per share", "va actuals", "CD", "IMPL","","")</f>
        <v>1.92</v>
      </c>
      <c r="F91" s="56" cm="1">
        <f t="array" ref="F91">_xll.VAData("KDP_US", F3, "Dividend per share", "va actuals", "CD", "IMPL","","")</f>
        <v>2.12</v>
      </c>
      <c r="G91" s="57" cm="1">
        <f t="array" ref="G91">_xll.VAData("KDP_US", G3, "Dividend per share", "va actuals", "CD", "IMPL","","")</f>
        <v>0.57999999999999996</v>
      </c>
      <c r="H91" s="57" cm="1">
        <f t="array" ref="H91">_xll.VAData("KDP_US", H3, "Dividend per share", "va actuals", "CD", "IMPL","","")</f>
        <v>0.57999999999999996</v>
      </c>
      <c r="I91" s="57" cm="1">
        <f t="array" ref="I91">_xll.VAData("KDP_US", I3, "Dividend per share", "va actuals", "CD", "IMPL","","")</f>
        <v>0.57999999999999996</v>
      </c>
      <c r="J91" s="57" cm="1">
        <f t="array" ref="J91">_xll.VAData("KDP_US", J3, "Dividend per share", "va actuals", "CD", "IMPL","","")</f>
        <v>0.57999999999999996</v>
      </c>
      <c r="K91" s="56" cm="1">
        <f t="array" ref="K91">_xll.VAData("KDP_US", K3, "Dividend per share", "va actuals", "CD", "IMPL","","")</f>
        <v>2.3199999999999998</v>
      </c>
      <c r="L91" s="57" cm="1">
        <f t="array" ref="L91">_xll.VAData("KDP_US", L3, "Dividend per share", "va actuals", "CD", "IMPL","","")</f>
        <v>0.15</v>
      </c>
      <c r="M91" s="57" cm="1">
        <f t="array" ref="M91">_xll.VAData("KDP_US", M3, "Dividend per share", "va actuals", "CD", "IMPL","","")</f>
        <v>0.15</v>
      </c>
      <c r="N91" s="57" cm="1">
        <f t="array" ref="N91">_xll.VAData("KDP_US", N3, "Dividend per share", "va actuals", "CD", "IMPL","","")</f>
        <v>0.15</v>
      </c>
      <c r="O91" s="57" cm="1">
        <f t="array" ref="O91">_xll.VAData("KDP_US", O3, "Dividend per share", "va actuals", "CD", "IMPL","","")</f>
        <v>0.15</v>
      </c>
      <c r="P91" s="56" cm="1">
        <f t="array" ref="P91">_xll.VAData("KDP_US", P3, "Dividend per share", "va actuals", "CD", "IMPL","","")</f>
        <v>0.6</v>
      </c>
      <c r="Q91" s="57" cm="1">
        <f t="array" ref="Q91">_xll.VAData("KDP_US", Q3, "Dividend per share", "va actuals", "CD", "IMPL","","")</f>
        <v>0.15</v>
      </c>
      <c r="R91" s="57" cm="1">
        <f t="array" ref="R91">_xll.VAData("KDP_US", R3, "Dividend per share", "va actuals", "CD", "IMPL","","")</f>
        <v>0.15</v>
      </c>
      <c r="S91" s="57" cm="1">
        <f t="array" ref="S91">_xll.VAData("KDP_US", S3, "Dividend per share", "va actuals", "CD", "IMPL","","")</f>
        <v>0.15</v>
      </c>
      <c r="T91" s="57" cm="1">
        <f t="array" ref="T91">_xll.VAData("KDP_US", T3, "Dividend per share", "va actuals", "CD", "IMPL","","")</f>
        <v>0.15</v>
      </c>
      <c r="U91" s="56" cm="1">
        <f t="array" ref="U91">_xll.VAData("KDP_US", U3, "Dividend per share", "va actuals", "CD", "IMPL","","")</f>
        <v>0.6</v>
      </c>
      <c r="V91" s="57" cm="1">
        <f t="array" ref="V91">_xll.VAData("KDP_US", V3, "Dividend per share", "va actuals", "CD", "IMPL","","")</f>
        <v>0.15</v>
      </c>
      <c r="W91" s="57" cm="1">
        <f t="array" ref="W91">_xll.VAData("KDP_US", W3, "Dividend per share", "va actuals", "CD", "IMPL","","")</f>
        <v>0.15</v>
      </c>
      <c r="X91" s="57" cm="1">
        <f t="array" ref="X91">_xll.VAData("KDP_US", X3, "Dividend per share", "va actuals", "CD", "IMPL","","")</f>
        <v>0.15</v>
      </c>
      <c r="Y91" s="57" cm="1">
        <f t="array" ref="Y91">_xll.VAData("KDP_US", Y3, "Dividend per share", "va actuals", "CD", "IMPL","","")</f>
        <v>0.15</v>
      </c>
      <c r="Z91" s="56" cm="1">
        <f t="array" ref="Z91">_xll.VAData("KDP_US", Z3, "Dividend per share", "va actuals", "CD", "IMPL","","")</f>
        <v>0.6</v>
      </c>
      <c r="AA91" s="57" cm="1">
        <f t="array" ref="AA91">_xll.VAData("KDP_US", AA3, "Dividend per share", "va actuals", "CD", "IMPL","","")</f>
        <v>0.15</v>
      </c>
      <c r="AB91" s="57" cm="1">
        <f t="array" ref="AB91">_xll.VAData("KDP_US", AB3, "Dividend per share", "va actuals", "CD", "IMPL","","")</f>
        <v>0.1875</v>
      </c>
      <c r="AC91" s="57" cm="1">
        <f t="array" ref="AC91">_xll.VAData("KDP_US", AC3, "Dividend per share", "va actuals", "CD", "IMPL","","")</f>
        <v>0.1875</v>
      </c>
      <c r="AD91" s="57" cm="1">
        <f t="array" ref="AD91">_xll.VAData("KDP_US", AD3, "Dividend per share", "va actuals", "CD", "IMPL","","")</f>
        <v>0.1875</v>
      </c>
      <c r="AE91" s="56" cm="1">
        <f t="array" ref="AE91">_xll.VAData("KDP_US", AE3, "Dividend per share", "va actuals", "CD", "IMPL","","")</f>
        <v>0.71250000000000002</v>
      </c>
      <c r="AF91" s="57" cm="1">
        <f t="array" ref="AF91">_xll.VAData("KDP_US", AF3, "Dividend per share", "va actuals", "CD", "IMPL","","")</f>
        <v>0.1875</v>
      </c>
      <c r="AG91" s="57" cm="1">
        <f t="array" ref="AG91">_xll.VAData("KDP_US", AG3, "Dividend per share", "va actuals", "CD", "IMPL","","")</f>
        <v>0.1875</v>
      </c>
      <c r="AH91" s="57" cm="1">
        <f t="array" ref="AH91">_xll.VAData("KDP_US", AH3, "Dividend per share", "va actuals", "CD", "IMPL","","")</f>
        <v>0.2</v>
      </c>
      <c r="AI91" s="57" cm="1">
        <f t="array" ref="AI91">_xll.VAData("KDP_US", AI3, "Dividend per share", "va actuals", "CD", "IMPL","","")</f>
        <v>0.2</v>
      </c>
      <c r="AJ91" s="56" cm="1">
        <f t="array" ref="AJ91">_xll.VAData("KDP_US", AJ3, "Dividend per share", "va actuals", "CD", "IMPL","","")</f>
        <v>0.77500000000000002</v>
      </c>
      <c r="AK91" s="57" cm="1">
        <f t="array" ref="AK91">_xll.VAData("KDP_US", AK3, "Dividend per share", "va actuals", "CD", "IMPL","","")</f>
        <v>0.2</v>
      </c>
      <c r="AL91" s="57" cm="1">
        <f t="array" ref="AL91">_xll.VAData("KDP_US", AL3, "Dividend per share", "va actuals", "CD", "IMPL","","")</f>
        <v>0.2</v>
      </c>
    </row>
    <row r="92" spans="2:38" x14ac:dyDescent="0.75">
      <c r="D92" s="12"/>
      <c r="E92" s="12"/>
      <c r="F92" s="12"/>
      <c r="K92" s="12"/>
      <c r="P92" s="12"/>
      <c r="U92" s="12"/>
      <c r="Z92" s="12"/>
      <c r="AE92" s="12"/>
      <c r="AJ92" s="12"/>
    </row>
    <row r="93" spans="2:38" x14ac:dyDescent="0.75">
      <c r="D93" s="178" t="s">
        <v>149</v>
      </c>
      <c r="E93" s="178"/>
      <c r="F93" s="178"/>
      <c r="G93" s="178"/>
      <c r="H93" s="178"/>
      <c r="I93" s="17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row>
    <row r="94" spans="2:38" x14ac:dyDescent="0.75">
      <c r="B94" t="s">
        <v>98</v>
      </c>
      <c r="D94" s="12"/>
      <c r="E94" s="12"/>
      <c r="F94" s="12"/>
      <c r="K94" s="12"/>
      <c r="P94" s="12"/>
      <c r="U94" s="12"/>
      <c r="Z94" s="12"/>
      <c r="AE94" s="12"/>
      <c r="AJ94" s="12"/>
    </row>
    <row r="95" spans="2:38" x14ac:dyDescent="0.75">
      <c r="B95" s="3" t="s">
        <v>104</v>
      </c>
      <c r="D95" s="12"/>
      <c r="E95" s="12"/>
      <c r="F95" s="12"/>
      <c r="K95" s="12"/>
      <c r="P95" s="12"/>
      <c r="U95" s="12"/>
      <c r="Z95" s="12"/>
      <c r="AE95" s="12"/>
      <c r="AJ95" s="12"/>
    </row>
    <row r="96" spans="2:38" x14ac:dyDescent="0.75">
      <c r="B96" s="5" t="s">
        <v>99</v>
      </c>
      <c r="C96" t="s">
        <v>125</v>
      </c>
      <c r="D96" s="14" cm="1">
        <f t="array" ref="D96">_xll.VAData("KDP_US", D$3, $C96, "VA Actuals", "CD", "IMPL","","")</f>
        <v>237</v>
      </c>
      <c r="E96" s="14" cm="1">
        <f t="array" ref="E96">_xll.VAData("KDP_US", E$3, $C96, "VA Actuals", "CD", "IMPL","","")</f>
        <v>911</v>
      </c>
      <c r="F96" s="14" cm="1">
        <f t="array" ref="F96">_xll.VAData("KDP_US", F$3, $C96, "VA Actuals", "CD", "IMPL","","")</f>
        <v>1787</v>
      </c>
      <c r="G96" s="15" cm="1">
        <f t="array" ref="G96">_xll.VAData("KDP_US", G$3, $C96, "VA Actuals", "CD", "IMPL","","")</f>
        <v>160</v>
      </c>
      <c r="H96" s="15" cm="1">
        <f t="array" ref="H96">_xll.VAData("KDP_US", H$3, $C96, "VA Actuals", "CD", "IMPL","","")</f>
        <v>375</v>
      </c>
      <c r="I96" s="15" cm="1">
        <f t="array" ref="I96">_xll.VAData("KDP_US", I$3, $C96, "VA Actuals", "CD", "IMPL","","")</f>
        <v>155</v>
      </c>
      <c r="J96" s="15" cm="1">
        <f t="array" ref="J96">_xll.VAData("KDP_US", J$3, $C96, "VA Actuals", "CD", "IMPL","","")</f>
        <v>95</v>
      </c>
      <c r="K96" s="14" cm="1">
        <f t="array" ref="K96">_xll.VAData("KDP_US", K$3, $C96, "VA Actuals", "CD", "IMPL","","")</f>
        <v>95</v>
      </c>
      <c r="L96" s="15" cm="1">
        <f t="array" ref="L96">_xll.VAData("KDP_US", L$3, $C96, "VA Actuals", "CD", "IMPL","","")</f>
        <v>29</v>
      </c>
      <c r="M96" s="15" cm="1">
        <f t="array" ref="M96">_xll.VAData("KDP_US", M$3, $C96, "VA Actuals", "CD", "IMPL","","")</f>
        <v>89</v>
      </c>
      <c r="N96" s="15" cm="1">
        <f t="array" ref="N96">_xll.VAData("KDP_US", N$3, $C96, "VA Actuals", "CD", "IMPL","","")</f>
        <v>112</v>
      </c>
      <c r="O96" s="15" cm="1">
        <f t="array" ref="O96">_xll.VAData("KDP_US", O$3, $C96, "VA Actuals", "CD", "IMPL","","")</f>
        <v>129</v>
      </c>
      <c r="P96" s="14" cm="1">
        <f t="array" ref="P96">_xll.VAData("KDP_US", P$3, $C96, "VA Actuals", "CD", "IMPL","","")</f>
        <v>129</v>
      </c>
      <c r="Q96" s="15" cm="1">
        <f t="array" ref="Q96">_xll.VAData("KDP_US", Q$3, $C96, "VA Actuals", "CD", "IMPL","","")</f>
        <v>129</v>
      </c>
      <c r="R96" s="15" cm="1">
        <f t="array" ref="R96">_xll.VAData("KDP_US", R$3, $C96, "VA Actuals", "CD", "IMPL","","")</f>
        <v>150</v>
      </c>
      <c r="S96" s="15" cm="1">
        <f t="array" ref="S96">_xll.VAData("KDP_US", S$3, $C96, "VA Actuals", "CD", "IMPL","","")</f>
        <v>102</v>
      </c>
      <c r="T96" s="15" cm="1">
        <f t="array" ref="T96">_xll.VAData("KDP_US", T$3, $C96, "VA Actuals", "CD", "IMPL","","")</f>
        <v>101</v>
      </c>
      <c r="U96" s="14" cm="1">
        <f t="array" ref="U96">_xll.VAData("KDP_US", U$3, $C96, "VA Actuals", "CD", "IMPL","","")</f>
        <v>101</v>
      </c>
      <c r="V96" s="15" cm="1">
        <f t="array" ref="V96">_xll.VAData("KDP_US", V$3, $C96, "VA Actuals", "CD", "IMPL","","")</f>
        <v>223</v>
      </c>
      <c r="W96" s="15" cm="1">
        <f t="array" ref="W96">_xll.VAData("KDP_US", W$3, $C96, "VA Actuals", "CD", "IMPL","","")</f>
        <v>177</v>
      </c>
      <c r="X96" s="15" cm="1">
        <f t="array" ref="X96">_xll.VAData("KDP_US", X$3, $C96, "VA Actuals", "CD", "IMPL","","")</f>
        <v>218</v>
      </c>
      <c r="Y96" s="15" cm="1">
        <f t="array" ref="Y96">_xll.VAData("KDP_US", Y$3, $C96, "VA Actuals", "CD", "IMPL","","")</f>
        <v>255</v>
      </c>
      <c r="Z96" s="14" cm="1">
        <f t="array" ref="Z96">_xll.VAData("KDP_US", Z$3, $C96, "VA Actuals", "CD", "IMPL","","")</f>
        <v>255</v>
      </c>
      <c r="AA96" s="15" cm="1">
        <f t="array" ref="AA96">_xll.VAData("KDP_US", AA$3, $C96, "VA Actuals", "CD", "IMPL","","")</f>
        <v>349</v>
      </c>
      <c r="AB96" s="15" cm="1">
        <f t="array" ref="AB96">_xll.VAData("KDP_US", AB$3, $C96, "VA Actuals", "CD", "IMPL","","")</f>
        <v>170</v>
      </c>
      <c r="AC96" s="15" cm="1">
        <f t="array" ref="AC96">_xll.VAData("KDP_US", AC$3, $C96, "VA Actuals", "CD", "IMPL","","")</f>
        <v>203</v>
      </c>
      <c r="AD96" s="15" cm="1">
        <f t="array" ref="AD96">_xll.VAData("KDP_US", AD$3, $C96, "VA Actuals", "CD", "IMPL","","")</f>
        <v>568</v>
      </c>
      <c r="AE96" s="14" cm="1">
        <f t="array" ref="AE96">_xll.VAData("KDP_US", AE$3, $C96, "VA Actuals", "CD", "IMPL","","")</f>
        <v>568</v>
      </c>
      <c r="AF96" s="15" cm="1">
        <f t="array" ref="AF96">_xll.VAData("KDP_US", AF$3, $C96, "VA Actuals", "CD", "IMPL","","")</f>
        <v>594</v>
      </c>
      <c r="AG96" s="15" cm="1">
        <f t="array" ref="AG96">_xll.VAData("KDP_US", AG$3, $C96, "VA Actuals", "CD", "IMPL","","")</f>
        <v>554</v>
      </c>
      <c r="AH96" s="15" cm="1">
        <f t="array" ref="AH96">_xll.VAData("KDP_US", AH$3, $C96, "VA Actuals", "CD", "IMPL","","")</f>
        <v>928</v>
      </c>
      <c r="AI96" s="15" cm="1">
        <f t="array" ref="AI96">_xll.VAData("KDP_US", AI$3, $C96, "VA Actuals", "CD", "IMPL","","")</f>
        <v>535</v>
      </c>
      <c r="AJ96" s="14" cm="1">
        <f t="array" ref="AJ96">_xll.VAData("KDP_US", AJ$3, $C96, "VA Actuals", "CD", "IMPL","","")</f>
        <v>535</v>
      </c>
      <c r="AK96" s="15" cm="1">
        <f t="array" ref="AK96">_xll.VAData("KDP_US", AK$3, $C96, "VA Actuals", "CD", "IMPL","","")</f>
        <v>204</v>
      </c>
      <c r="AL96" s="15" cm="1">
        <f t="array" ref="AL96">_xll.VAData("KDP_US", AL$3, $C96, "VA Actuals", "CD", "IMPL","","")</f>
        <v>278</v>
      </c>
    </row>
    <row r="97" spans="2:38" x14ac:dyDescent="0.75">
      <c r="B97" s="5" t="s">
        <v>100</v>
      </c>
      <c r="C97" t="s">
        <v>126</v>
      </c>
      <c r="D97" s="14" cm="1">
        <f t="array" ref="D97">_xll.VAData("KDP_US", D$3, $C97, "VA Actuals", "CD", "IMPL","","")</f>
        <v>617</v>
      </c>
      <c r="E97" s="14" cm="1">
        <f t="array" ref="E97">_xll.VAData("KDP_US", E$3, $C97, "VA Actuals", "CD", "IMPL","","")</f>
        <v>628</v>
      </c>
      <c r="F97" s="14" cm="1">
        <f t="array" ref="F97">_xll.VAData("KDP_US", F$3, $C97, "VA Actuals", "CD", "IMPL","","")</f>
        <v>646</v>
      </c>
      <c r="G97" s="15" cm="1">
        <f t="array" ref="G97">_xll.VAData("KDP_US", G$3, $C97, "VA Actuals", "CD", "IMPL","","")</f>
        <v>661</v>
      </c>
      <c r="H97" s="15" cm="1">
        <f t="array" ref="H97">_xll.VAData("KDP_US", H$3, $C97, "VA Actuals", "CD", "IMPL","","")</f>
        <v>748</v>
      </c>
      <c r="I97" s="15" cm="1">
        <f t="array" ref="I97">_xll.VAData("KDP_US", I$3, $C97, "VA Actuals", "CD", "IMPL","","")</f>
        <v>706</v>
      </c>
      <c r="J97" s="15" cm="1">
        <f t="array" ref="J97">_xll.VAData("KDP_US", J$3, $C97, "VA Actuals", "CD", "IMPL","","")</f>
        <v>483</v>
      </c>
      <c r="K97" s="14" cm="1">
        <f t="array" ref="K97">_xll.VAData("KDP_US", K$3, $C97, "VA Actuals", "CD", "IMPL","","")</f>
        <v>483</v>
      </c>
      <c r="L97" s="15" cm="1">
        <f t="array" ref="L97">_xll.VAData("KDP_US", L$3, $C97, "VA Actuals", "CD", "IMPL","","")</f>
        <v>749</v>
      </c>
      <c r="M97" s="15" cm="1">
        <f t="array" ref="M97">_xll.VAData("KDP_US", M$3, $C97, "VA Actuals", "CD", "IMPL","","")</f>
        <v>866</v>
      </c>
      <c r="N97" s="15" cm="1">
        <f t="array" ref="N97">_xll.VAData("KDP_US", N$3, $C97, "VA Actuals", "CD", "IMPL","","")</f>
        <v>1196</v>
      </c>
      <c r="O97" s="15" cm="1">
        <f t="array" ref="O97">_xll.VAData("KDP_US", O$3, $C97, "VA Actuals", "CD", "IMPL","","")</f>
        <v>1150</v>
      </c>
      <c r="P97" s="14" cm="1">
        <f t="array" ref="P97">_xll.VAData("KDP_US", P$3, $C97, "VA Actuals", "CD", "IMPL","","")</f>
        <v>1150</v>
      </c>
      <c r="Q97" s="15" cm="1">
        <f t="array" ref="Q97">_xll.VAData("KDP_US", Q$3, $C97, "VA Actuals", "CD", "IMPL","","")</f>
        <v>1016</v>
      </c>
      <c r="R97" s="15" cm="1">
        <f t="array" ref="R97">_xll.VAData("KDP_US", R$3, $C97, "VA Actuals", "CD", "IMPL","","")</f>
        <v>1068</v>
      </c>
      <c r="S97" s="15" cm="1">
        <f t="array" ref="S97">_xll.VAData("KDP_US", S$3, $C97, "VA Actuals", "CD", "IMPL","","")</f>
        <v>1090</v>
      </c>
      <c r="T97" s="15" cm="1">
        <f t="array" ref="T97">_xll.VAData("KDP_US", T$3, $C97, "VA Actuals", "CD", "IMPL","","")</f>
        <v>1115</v>
      </c>
      <c r="U97" s="14" cm="1">
        <f t="array" ref="U97">_xll.VAData("KDP_US", U$3, $C97, "VA Actuals", "CD", "IMPL","","")</f>
        <v>1115</v>
      </c>
      <c r="V97" s="15" cm="1">
        <f t="array" ref="V97">_xll.VAData("KDP_US", V$3, $C97, "VA Actuals", "CD", "IMPL","","")</f>
        <v>1037</v>
      </c>
      <c r="W97" s="15" cm="1">
        <f t="array" ref="W97">_xll.VAData("KDP_US", W$3, $C97, "VA Actuals", "CD", "IMPL","","")</f>
        <v>1010</v>
      </c>
      <c r="X97" s="15" cm="1">
        <f t="array" ref="X97">_xll.VAData("KDP_US", X$3, $C97, "VA Actuals", "CD", "IMPL","","")</f>
        <v>1051</v>
      </c>
      <c r="Y97" s="15" cm="1">
        <f t="array" ref="Y97">_xll.VAData("KDP_US", Y$3, $C97, "VA Actuals", "CD", "IMPL","","")</f>
        <v>1048</v>
      </c>
      <c r="Z97" s="14" cm="1">
        <f t="array" ref="Z97">_xll.VAData("KDP_US", Z$3, $C97, "VA Actuals", "CD", "IMPL","","")</f>
        <v>1048</v>
      </c>
      <c r="AA97" s="15" cm="1">
        <f t="array" ref="AA97">_xll.VAData("KDP_US", AA$3, $C97, "VA Actuals", "CD", "IMPL","","")</f>
        <v>1065</v>
      </c>
      <c r="AB97" s="15" cm="1">
        <f t="array" ref="AB97">_xll.VAData("KDP_US", AB$3, $C97, "VA Actuals", "CD", "IMPL","","")</f>
        <v>1075</v>
      </c>
      <c r="AC97" s="15" cm="1">
        <f t="array" ref="AC97">_xll.VAData("KDP_US", AC$3, $C97, "VA Actuals", "CD", "IMPL","","")</f>
        <v>1138</v>
      </c>
      <c r="AD97" s="15" cm="1">
        <f t="array" ref="AD97">_xll.VAData("KDP_US", AD$3, $C97, "VA Actuals", "CD", "IMPL","","")</f>
        <v>1148</v>
      </c>
      <c r="AE97" s="14" cm="1">
        <f t="array" ref="AE97">_xll.VAData("KDP_US", AE$3, $C97, "VA Actuals", "CD", "IMPL","","")</f>
        <v>1148</v>
      </c>
      <c r="AF97" s="15" cm="1">
        <f t="array" ref="AF97">_xll.VAData("KDP_US", AF$3, $C97, "VA Actuals", "CD", "IMPL","","")</f>
        <v>1214</v>
      </c>
      <c r="AG97" s="15" cm="1">
        <f t="array" ref="AG97">_xll.VAData("KDP_US", AG$3, $C97, "VA Actuals", "CD", "IMPL","","")</f>
        <v>1326</v>
      </c>
      <c r="AH97" s="15" cm="1">
        <f t="array" ref="AH97">_xll.VAData("KDP_US", AH$3, $C97, "VA Actuals", "CD", "IMPL","","")</f>
        <v>1472</v>
      </c>
      <c r="AI97" s="15" cm="1">
        <f t="array" ref="AI97">_xll.VAData("KDP_US", AI$3, $C97, "VA Actuals", "CD", "IMPL","","")</f>
        <v>1484</v>
      </c>
      <c r="AJ97" s="14" cm="1">
        <f t="array" ref="AJ97">_xll.VAData("KDP_US", AJ$3, $C97, "VA Actuals", "CD", "IMPL","","")</f>
        <v>1484</v>
      </c>
      <c r="AK97" s="15" cm="1">
        <f t="array" ref="AK97">_xll.VAData("KDP_US", AK$3, $C97, "VA Actuals", "CD", "IMPL","","")</f>
        <v>1451</v>
      </c>
      <c r="AL97" s="15" cm="1">
        <f t="array" ref="AL97">_xll.VAData("KDP_US", AL$3, $C97, "VA Actuals", "CD", "IMPL","","")</f>
        <v>1311</v>
      </c>
    </row>
    <row r="98" spans="2:38" x14ac:dyDescent="0.75">
      <c r="B98" s="5" t="s">
        <v>101</v>
      </c>
      <c r="C98" t="s">
        <v>127</v>
      </c>
      <c r="D98" s="14" cm="1">
        <f t="array" ref="D98">_xll.VAData("KDP_US", D$3, $C98, "VA Actuals", "CD", "IMPL","","")</f>
        <v>204</v>
      </c>
      <c r="E98" s="14" cm="1">
        <f t="array" ref="E98">_xll.VAData("KDP_US", E$3, $C98, "VA Actuals", "CD", "IMPL","","")</f>
        <v>209</v>
      </c>
      <c r="F98" s="14" cm="1">
        <f t="array" ref="F98">_xll.VAData("KDP_US", F$3, $C98, "VA Actuals", "CD", "IMPL","","")</f>
        <v>202</v>
      </c>
      <c r="G98" s="15" cm="1">
        <f t="array" ref="G98">_xll.VAData("KDP_US", G$3, $C98, "VA Actuals", "CD", "IMPL","","")</f>
        <v>246</v>
      </c>
      <c r="H98" s="15" cm="1">
        <f t="array" ref="H98">_xll.VAData("KDP_US", H$3, $C98, "VA Actuals", "CD", "IMPL","","")</f>
        <v>267</v>
      </c>
      <c r="I98" s="15" cm="1">
        <f t="array" ref="I98">_xll.VAData("KDP_US", I$3, $C98, "VA Actuals", "CD", "IMPL","","")</f>
        <v>261</v>
      </c>
      <c r="J98" s="15" cm="1">
        <f t="array" ref="J98">_xll.VAData("KDP_US", J$3, $C98, "VA Actuals", "CD", "IMPL","","")</f>
        <v>384</v>
      </c>
      <c r="K98" s="14" cm="1">
        <f t="array" ref="K98">_xll.VAData("KDP_US", K$3, $C98, "VA Actuals", "CD", "IMPL","","")</f>
        <v>384</v>
      </c>
      <c r="L98" s="15" cm="1">
        <f t="array" ref="L98">_xll.VAData("KDP_US", L$3, $C98, "VA Actuals", "CD", "IMPL","","")</f>
        <v>243</v>
      </c>
      <c r="M98" s="15" cm="1">
        <f t="array" ref="M98">_xll.VAData("KDP_US", M$3, $C98, "VA Actuals", "CD", "IMPL","","")</f>
        <v>265</v>
      </c>
      <c r="N98" s="15" cm="1">
        <f t="array" ref="N98">_xll.VAData("KDP_US", N$3, $C98, "VA Actuals", "CD", "IMPL","","")</f>
        <v>720</v>
      </c>
      <c r="O98" s="15" cm="1">
        <f t="array" ref="O98">_xll.VAData("KDP_US", O$3, $C98, "VA Actuals", "CD", "IMPL","","")</f>
        <v>626</v>
      </c>
      <c r="P98" s="14" cm="1">
        <f t="array" ref="P98">_xll.VAData("KDP_US", P$3, $C98, "VA Actuals", "CD", "IMPL","","")</f>
        <v>626</v>
      </c>
      <c r="Q98" s="15" cm="1">
        <f t="array" ref="Q98">_xll.VAData("KDP_US", Q$3, $C98, "VA Actuals", "CD", "IMPL","","")</f>
        <v>663</v>
      </c>
      <c r="R98" s="15" cm="1">
        <f t="array" ref="R98">_xll.VAData("KDP_US", R$3, $C98, "VA Actuals", "CD", "IMPL","","")</f>
        <v>686</v>
      </c>
      <c r="S98" s="15" cm="1">
        <f t="array" ref="S98">_xll.VAData("KDP_US", S$3, $C98, "VA Actuals", "CD", "IMPL","","")</f>
        <v>751</v>
      </c>
      <c r="T98" s="15" cm="1">
        <f t="array" ref="T98">_xll.VAData("KDP_US", T$3, $C98, "VA Actuals", "CD", "IMPL","","")</f>
        <v>654</v>
      </c>
      <c r="U98" s="14" cm="1">
        <f t="array" ref="U98">_xll.VAData("KDP_US", U$3, $C98, "VA Actuals", "CD", "IMPL","","")</f>
        <v>654</v>
      </c>
      <c r="V98" s="15" cm="1">
        <f t="array" ref="V98">_xll.VAData("KDP_US", V$3, $C98, "VA Actuals", "CD", "IMPL","","")</f>
        <v>682</v>
      </c>
      <c r="W98" s="15" cm="1">
        <f t="array" ref="W98">_xll.VAData("KDP_US", W$3, $C98, "VA Actuals", "CD", "IMPL","","")</f>
        <v>747</v>
      </c>
      <c r="X98" s="15" cm="1">
        <f t="array" ref="X98">_xll.VAData("KDP_US", X$3, $C98, "VA Actuals", "CD", "IMPL","","")</f>
        <v>824</v>
      </c>
      <c r="Y98" s="15" cm="1">
        <f t="array" ref="Y98">_xll.VAData("KDP_US", Y$3, $C98, "VA Actuals", "CD", "IMPL","","")</f>
        <v>762</v>
      </c>
      <c r="Z98" s="14" cm="1">
        <f t="array" ref="Z98">_xll.VAData("KDP_US", Z$3, $C98, "VA Actuals", "CD", "IMPL","","")</f>
        <v>762</v>
      </c>
      <c r="AA98" s="15" cm="1">
        <f t="array" ref="AA98">_xll.VAData("KDP_US", AA$3, $C98, "VA Actuals", "CD", "IMPL","","")</f>
        <v>841</v>
      </c>
      <c r="AB98" s="15" cm="1">
        <f t="array" ref="AB98">_xll.VAData("KDP_US", AB$3, $C98, "VA Actuals", "CD", "IMPL","","")</f>
        <v>897</v>
      </c>
      <c r="AC98" s="15" cm="1">
        <f t="array" ref="AC98">_xll.VAData("KDP_US", AC$3, $C98, "VA Actuals", "CD", "IMPL","","")</f>
        <v>972</v>
      </c>
      <c r="AD98" s="15" cm="1">
        <f t="array" ref="AD98">_xll.VAData("KDP_US", AD$3, $C98, "VA Actuals", "CD", "IMPL","","")</f>
        <v>894</v>
      </c>
      <c r="AE98" s="14" cm="1">
        <f t="array" ref="AE98">_xll.VAData("KDP_US", AE$3, $C98, "VA Actuals", "CD", "IMPL","","")</f>
        <v>894</v>
      </c>
      <c r="AF98" s="15" cm="1">
        <f t="array" ref="AF98">_xll.VAData("KDP_US", AF$3, $C98, "VA Actuals", "CD", "IMPL","","")</f>
        <v>1045</v>
      </c>
      <c r="AG98" s="15" cm="1">
        <f t="array" ref="AG98">_xll.VAData("KDP_US", AG$3, $C98, "VA Actuals", "CD", "IMPL","","")</f>
        <v>1239</v>
      </c>
      <c r="AH98" s="15" cm="1">
        <f t="array" ref="AH98">_xll.VAData("KDP_US", AH$3, $C98, "VA Actuals", "CD", "IMPL","","")</f>
        <v>1438</v>
      </c>
      <c r="AI98" s="15" cm="1">
        <f t="array" ref="AI98">_xll.VAData("KDP_US", AI$3, $C98, "VA Actuals", "CD", "IMPL","","")</f>
        <v>1314</v>
      </c>
      <c r="AJ98" s="14" cm="1">
        <f t="array" ref="AJ98">_xll.VAData("KDP_US", AJ$3, $C98, "VA Actuals", "CD", "IMPL","","")</f>
        <v>1314</v>
      </c>
      <c r="AK98" s="15" cm="1">
        <f t="array" ref="AK98">_xll.VAData("KDP_US", AK$3, $C98, "VA Actuals", "CD", "IMPL","","")</f>
        <v>1391</v>
      </c>
      <c r="AL98" s="15" cm="1">
        <f t="array" ref="AL98">_xll.VAData("KDP_US", AL$3, $C98, "VA Actuals", "CD", "IMPL","","")</f>
        <v>1384</v>
      </c>
    </row>
    <row r="99" spans="2:38" x14ac:dyDescent="0.75">
      <c r="B99" s="5" t="s">
        <v>102</v>
      </c>
      <c r="C99" t="s">
        <v>128</v>
      </c>
      <c r="D99" s="14" cm="1">
        <f t="array" ref="D99">_xll.VAData("KDP_US", D$3, $C99, "VA Actuals", "CD", "IMPL","","")</f>
        <v>153</v>
      </c>
      <c r="E99" s="14" cm="1">
        <f t="array" ref="E99">_xll.VAData("KDP_US", E$3, $C99, "VA Actuals", "CD", "IMPL","","")</f>
        <v>69</v>
      </c>
      <c r="F99" s="14" cm="1">
        <f t="array" ref="F99">_xll.VAData("KDP_US", F$3, $C99, "VA Actuals", "CD", "IMPL","","")</f>
        <v>101</v>
      </c>
      <c r="G99" s="15" cm="1">
        <f t="array" ref="G99">_xll.VAData("KDP_US", G$3, $C99, "VA Actuals", "CD", "IMPL","","")</f>
        <v>180</v>
      </c>
      <c r="H99" s="15" cm="1">
        <f t="array" ref="H99">_xll.VAData("KDP_US", H$3, $C99, "VA Actuals", "CD", "IMPL","","")</f>
        <v>165</v>
      </c>
      <c r="I99" s="15" cm="1">
        <f t="array" ref="I99">_xll.VAData("KDP_US", I$3, $C99, "VA Actuals", "CD", "IMPL","","")</f>
        <v>144</v>
      </c>
      <c r="J99" s="15" cm="1">
        <f t="array" ref="J99">_xll.VAData("KDP_US", J$3, $C99, "VA Actuals", "CD", "IMPL","","")</f>
        <v>94</v>
      </c>
      <c r="K99" s="14" cm="1">
        <f t="array" ref="K99">_xll.VAData("KDP_US", K$3, $C99, "VA Actuals", "CD", "IMPL","","")</f>
        <v>94</v>
      </c>
      <c r="L99" s="15" cm="1">
        <f t="array" ref="L99">_xll.VAData("KDP_US", L$3, $C99, "VA Actuals", "CD", "IMPL","","")</f>
        <v>225</v>
      </c>
      <c r="M99" s="15" cm="1">
        <f t="array" ref="M99">_xll.VAData("KDP_US", M$3, $C99, "VA Actuals", "CD", "IMPL","","")</f>
        <v>196</v>
      </c>
      <c r="N99" s="15" cm="1">
        <f t="array" ref="N99">_xll.VAData("KDP_US", N$3, $C99, "VA Actuals", "CD", "IMPL","","")</f>
        <v>357</v>
      </c>
      <c r="O99" s="15" cm="1">
        <f t="array" ref="O99">_xll.VAData("KDP_US", O$3, $C99, "VA Actuals", "CD", "IMPL","","")</f>
        <v>254</v>
      </c>
      <c r="P99" s="14" cm="1">
        <f t="array" ref="P99">_xll.VAData("KDP_US", P$3, $C99, "VA Actuals", "CD", "IMPL","","")</f>
        <v>254</v>
      </c>
      <c r="Q99" s="15" cm="1">
        <f t="array" ref="Q99">_xll.VAData("KDP_US", Q$3, $C99, "VA Actuals", "CD", "IMPL","","")</f>
        <v>354</v>
      </c>
      <c r="R99" s="15" cm="1">
        <f t="array" ref="R99">_xll.VAData("KDP_US", R$3, $C99, "VA Actuals", "CD", "IMPL","","")</f>
        <v>317</v>
      </c>
      <c r="S99" s="15" cm="1">
        <f t="array" ref="S99">_xll.VAData("KDP_US", S$3, $C99, "VA Actuals", "CD", "IMPL","","")</f>
        <v>326</v>
      </c>
      <c r="T99" s="15" cm="1">
        <f t="array" ref="T99">_xll.VAData("KDP_US", T$3, $C99, "VA Actuals", "CD", "IMPL","","")</f>
        <v>403</v>
      </c>
      <c r="U99" s="14" cm="1">
        <f t="array" ref="U99">_xll.VAData("KDP_US", U$3, $C99, "VA Actuals", "CD", "IMPL","","")</f>
        <v>403</v>
      </c>
      <c r="V99" s="15" cm="1">
        <f t="array" ref="V99">_xll.VAData("KDP_US", V$3, $C99, "VA Actuals", "CD", "IMPL","","")</f>
        <v>335</v>
      </c>
      <c r="W99" s="15" cm="1">
        <f t="array" ref="W99">_xll.VAData("KDP_US", W$3, $C99, "VA Actuals", "CD", "IMPL","","")</f>
        <v>306</v>
      </c>
      <c r="X99" s="15" cm="1">
        <f t="array" ref="X99">_xll.VAData("KDP_US", X$3, $C99, "VA Actuals", "CD", "IMPL","","")</f>
        <v>323</v>
      </c>
      <c r="Y99" s="15" cm="1">
        <f t="array" ref="Y99">_xll.VAData("KDP_US", Y$3, $C99, "VA Actuals", "CD", "IMPL","","")</f>
        <v>323</v>
      </c>
      <c r="Z99" s="14" cm="1">
        <f t="array" ref="Z99">_xll.VAData("KDP_US", Z$3, $C99, "VA Actuals", "CD", "IMPL","","")</f>
        <v>323</v>
      </c>
      <c r="AA99" s="15" cm="1">
        <f t="array" ref="AA99">_xll.VAData("KDP_US", AA$3, $C99, "VA Actuals", "CD", "IMPL","","")</f>
        <v>410</v>
      </c>
      <c r="AB99" s="15" cm="1">
        <f t="array" ref="AB99">_xll.VAData("KDP_US", AB$3, $C99, "VA Actuals", "CD", "IMPL","","")</f>
        <v>474</v>
      </c>
      <c r="AC99" s="15" cm="1">
        <f t="array" ref="AC99">_xll.VAData("KDP_US", AC$3, $C99, "VA Actuals", "CD", "IMPL","","")</f>
        <v>490</v>
      </c>
      <c r="AD99" s="15" cm="1">
        <f t="array" ref="AD99">_xll.VAData("KDP_US", AD$3, $C99, "VA Actuals", "CD", "IMPL","","")</f>
        <v>447</v>
      </c>
      <c r="AE99" s="14" cm="1">
        <f t="array" ref="AE99">_xll.VAData("KDP_US", AE$3, $C99, "VA Actuals", "CD", "IMPL","","")</f>
        <v>447</v>
      </c>
      <c r="AF99" s="15" cm="1">
        <f t="array" ref="AF99">_xll.VAData("KDP_US", AF$3, $C99, "VA Actuals", "CD", "IMPL","","")</f>
        <v>637</v>
      </c>
      <c r="AG99" s="15" cm="1">
        <f t="array" ref="AG99">_xll.VAData("KDP_US", AG$3, $C99, "VA Actuals", "CD", "IMPL","","")</f>
        <v>652</v>
      </c>
      <c r="AH99" s="15" cm="1">
        <f t="array" ref="AH99">_xll.VAData("KDP_US", AH$3, $C99, "VA Actuals", "CD", "IMPL","","")</f>
        <v>487</v>
      </c>
      <c r="AI99" s="15" cm="1">
        <f t="array" ref="AI99">_xll.VAData("KDP_US", AI$3, $C99, "VA Actuals", "CD", "IMPL","","")</f>
        <v>471</v>
      </c>
      <c r="AJ99" s="14" cm="1">
        <f t="array" ref="AJ99">_xll.VAData("KDP_US", AJ$3, $C99, "VA Actuals", "CD", "IMPL","","")</f>
        <v>471</v>
      </c>
      <c r="AK99" s="15" cm="1">
        <f t="array" ref="AK99">_xll.VAData("KDP_US", AK$3, $C99, "VA Actuals", "CD", "IMPL","","")</f>
        <v>540</v>
      </c>
      <c r="AL99" s="15" cm="1">
        <f t="array" ref="AL99">_xll.VAData("KDP_US", AL$3, $C99, "VA Actuals", "CD", "IMPL","","")</f>
        <v>597</v>
      </c>
    </row>
    <row r="100" spans="2:38" x14ac:dyDescent="0.75">
      <c r="B100" s="3" t="s">
        <v>103</v>
      </c>
      <c r="C100" t="s">
        <v>129</v>
      </c>
      <c r="D100" s="14" cm="1">
        <f t="array" ref="D100">_xll.VAData("KDP_US", D$3, $C100, "VA Actuals", "CD", "IMPL","","")</f>
        <v>1211</v>
      </c>
      <c r="E100" s="14" cm="1">
        <f t="array" ref="E100">_xll.VAData("KDP_US", E$3, $C100, "VA Actuals", "CD", "IMPL","","")</f>
        <v>1817</v>
      </c>
      <c r="F100" s="14" cm="1">
        <f t="array" ref="F100">_xll.VAData("KDP_US", F$3, $C100, "VA Actuals", "CD", "IMPL","","")</f>
        <v>2736</v>
      </c>
      <c r="G100" s="15" cm="1">
        <f t="array" ref="G100">_xll.VAData("KDP_US", G$3, $C100, "VA Actuals", "CD", "IMPL","","")</f>
        <v>1247</v>
      </c>
      <c r="H100" s="15" cm="1">
        <f t="array" ref="H100">_xll.VAData("KDP_US", H$3, $C100, "VA Actuals", "CD", "IMPL","","")</f>
        <v>1555</v>
      </c>
      <c r="I100" s="15" cm="1">
        <f t="array" ref="I100">_xll.VAData("KDP_US", I$3, $C100, "VA Actuals", "CD", "IMPL","","")</f>
        <v>1266</v>
      </c>
      <c r="J100" s="15" cm="1">
        <f t="array" ref="J100">_xll.VAData("KDP_US", J$3, $C100, "VA Actuals", "CD", "IMPL","","")</f>
        <v>1056</v>
      </c>
      <c r="K100" s="14" cm="1">
        <f t="array" ref="K100">_xll.VAData("KDP_US", K$3, $C100, "VA Actuals", "CD", "IMPL","","")</f>
        <v>1056</v>
      </c>
      <c r="L100" s="15" cm="1">
        <f t="array" ref="L100">_xll.VAData("KDP_US", L$3, $C100, "VA Actuals", "CD", "IMPL","","")</f>
        <v>1246</v>
      </c>
      <c r="M100" s="15" cm="1">
        <f t="array" ref="M100">_xll.VAData("KDP_US", M$3, $C100, "VA Actuals", "CD", "IMPL","","")</f>
        <v>1416</v>
      </c>
      <c r="N100" s="15" cm="1">
        <f t="array" ref="N100">_xll.VAData("KDP_US", N$3, $C100, "VA Actuals", "CD", "IMPL","","")</f>
        <v>2385</v>
      </c>
      <c r="O100" s="15" cm="1">
        <f t="array" ref="O100">_xll.VAData("KDP_US", O$3, $C100, "VA Actuals", "CD", "IMPL","","")</f>
        <v>2159</v>
      </c>
      <c r="P100" s="14" cm="1">
        <f t="array" ref="P100">_xll.VAData("KDP_US", P$3, $C100, "VA Actuals", "CD", "IMPL","","")</f>
        <v>2159</v>
      </c>
      <c r="Q100" s="15" cm="1">
        <f t="array" ref="Q100">_xll.VAData("KDP_US", Q$3, $C100, "VA Actuals", "CD", "IMPL","","")</f>
        <v>2162</v>
      </c>
      <c r="R100" s="15" cm="1">
        <f t="array" ref="R100">_xll.VAData("KDP_US", R$3, $C100, "VA Actuals", "CD", "IMPL","","")</f>
        <v>2221</v>
      </c>
      <c r="S100" s="15" cm="1">
        <f t="array" ref="S100">_xll.VAData("KDP_US", S$3, $C100, "VA Actuals", "CD", "IMPL","","")</f>
        <v>2269</v>
      </c>
      <c r="T100" s="15" cm="1">
        <f t="array" ref="T100">_xll.VAData("KDP_US", T$3, $C100, "VA Actuals", "CD", "IMPL","","")</f>
        <v>2273</v>
      </c>
      <c r="U100" s="14" cm="1">
        <f t="array" ref="U100">_xll.VAData("KDP_US", U$3, $C100, "VA Actuals", "CD", "IMPL","","")</f>
        <v>2273</v>
      </c>
      <c r="V100" s="15" cm="1">
        <f t="array" ref="V100">_xll.VAData("KDP_US", V$3, $C100, "VA Actuals", "CD", "IMPL","","")</f>
        <v>2277</v>
      </c>
      <c r="W100" s="15" cm="1">
        <f t="array" ref="W100">_xll.VAData("KDP_US", W$3, $C100, "VA Actuals", "CD", "IMPL","","")</f>
        <v>2240</v>
      </c>
      <c r="X100" s="15" cm="1">
        <f t="array" ref="X100">_xll.VAData("KDP_US", X$3, $C100, "VA Actuals", "CD", "IMPL","","")</f>
        <v>2416</v>
      </c>
      <c r="Y100" s="15" cm="1">
        <f t="array" ref="Y100">_xll.VAData("KDP_US", Y$3, $C100, "VA Actuals", "CD", "IMPL","","")</f>
        <v>2388</v>
      </c>
      <c r="Z100" s="14" cm="1">
        <f t="array" ref="Z100">_xll.VAData("KDP_US", Z$3, $C100, "VA Actuals", "CD", "IMPL","","")</f>
        <v>2388</v>
      </c>
      <c r="AA100" s="15" cm="1">
        <f t="array" ref="AA100">_xll.VAData("KDP_US", AA$3, $C100, "VA Actuals", "CD", "IMPL","","")</f>
        <v>2665</v>
      </c>
      <c r="AB100" s="15" cm="1">
        <f t="array" ref="AB100">_xll.VAData("KDP_US", AB$3, $C100, "VA Actuals", "CD", "IMPL","","")</f>
        <v>2616</v>
      </c>
      <c r="AC100" s="15" cm="1">
        <f t="array" ref="AC100">_xll.VAData("KDP_US", AC$3, $C100, "VA Actuals", "CD", "IMPL","","")</f>
        <v>2803</v>
      </c>
      <c r="AD100" s="15" cm="1">
        <f t="array" ref="AD100">_xll.VAData("KDP_US", AD$3, $C100, "VA Actuals", "CD", "IMPL","","")</f>
        <v>3057</v>
      </c>
      <c r="AE100" s="14" cm="1">
        <f t="array" ref="AE100">_xll.VAData("KDP_US", AE$3, $C100, "VA Actuals", "CD", "IMPL","","")</f>
        <v>3057</v>
      </c>
      <c r="AF100" s="15" cm="1">
        <f t="array" ref="AF100">_xll.VAData("KDP_US", AF$3, $C100, "VA Actuals", "CD", "IMPL","","")</f>
        <v>3490</v>
      </c>
      <c r="AG100" s="15" cm="1">
        <f t="array" ref="AG100">_xll.VAData("KDP_US", AG$3, $C100, "VA Actuals", "CD", "IMPL","","")</f>
        <v>3771</v>
      </c>
      <c r="AH100" s="15" cm="1">
        <f t="array" ref="AH100">_xll.VAData("KDP_US", AH$3, $C100, "VA Actuals", "CD", "IMPL","","")</f>
        <v>4325</v>
      </c>
      <c r="AI100" s="15" cm="1">
        <f t="array" ref="AI100">_xll.VAData("KDP_US", AI$3, $C100, "VA Actuals", "CD", "IMPL","","")</f>
        <v>3804</v>
      </c>
      <c r="AJ100" s="14" cm="1">
        <f t="array" ref="AJ100">_xll.VAData("KDP_US", AJ$3, $C100, "VA Actuals", "CD", "IMPL","","")</f>
        <v>3804</v>
      </c>
      <c r="AK100" s="15" cm="1">
        <f t="array" ref="AK100">_xll.VAData("KDP_US", AK$3, $C100, "VA Actuals", "CD", "IMPL","","")</f>
        <v>3586</v>
      </c>
      <c r="AL100" s="15" cm="1">
        <f t="array" ref="AL100">_xll.VAData("KDP_US", AL$3, $C100, "VA Actuals", "CD", "IMPL","","")</f>
        <v>3570</v>
      </c>
    </row>
    <row r="101" spans="2:38" x14ac:dyDescent="0.75">
      <c r="B101" s="3" t="s">
        <v>113</v>
      </c>
      <c r="D101" s="14"/>
      <c r="E101" s="14"/>
      <c r="F101" s="14"/>
      <c r="G101" s="15"/>
      <c r="H101" s="15"/>
      <c r="I101" s="15"/>
      <c r="J101" s="15"/>
      <c r="K101" s="14"/>
      <c r="L101" s="15"/>
      <c r="M101" s="15"/>
      <c r="N101" s="15"/>
      <c r="O101" s="15"/>
      <c r="P101" s="14"/>
      <c r="Q101" s="15"/>
      <c r="R101" s="15"/>
      <c r="S101" s="15"/>
      <c r="T101" s="15"/>
      <c r="U101" s="14"/>
      <c r="V101" s="15"/>
      <c r="W101" s="15"/>
      <c r="X101" s="15"/>
      <c r="Y101" s="15"/>
      <c r="Z101" s="14"/>
      <c r="AA101" s="15"/>
      <c r="AB101" s="15"/>
      <c r="AC101" s="15"/>
      <c r="AD101" s="15"/>
      <c r="AE101" s="14"/>
      <c r="AF101" s="15"/>
      <c r="AG101" s="15"/>
      <c r="AH101" s="15"/>
      <c r="AI101" s="15"/>
      <c r="AJ101" s="14"/>
      <c r="AK101" s="15"/>
      <c r="AL101" s="15"/>
    </row>
    <row r="102" spans="2:38" x14ac:dyDescent="0.75">
      <c r="B102" s="5" t="s">
        <v>110</v>
      </c>
      <c r="C102" t="s">
        <v>130</v>
      </c>
      <c r="D102" s="14" cm="1">
        <f t="array" ref="D102">_xll.VAData("KDP_US", D$3, $C102, "VA Actuals", "CD", "IMPL","","")</f>
        <v>1141</v>
      </c>
      <c r="E102" s="14" cm="1">
        <f t="array" ref="E102">_xll.VAData("KDP_US", E$3, $C102, "VA Actuals", "CD", "IMPL","","")</f>
        <v>1156</v>
      </c>
      <c r="F102" s="14" cm="1">
        <f t="array" ref="F102">_xll.VAData("KDP_US", F$3, $C102, "VA Actuals", "CD", "IMPL","","")</f>
        <v>1138</v>
      </c>
      <c r="G102" s="15" cm="1">
        <f t="array" ref="G102">_xll.VAData("KDP_US", G$3, $C102, "VA Actuals", "CD", "IMPL","","")</f>
        <v>1125</v>
      </c>
      <c r="H102" s="15" cm="1">
        <f t="array" ref="H102">_xll.VAData("KDP_US", H$3, $C102, "VA Actuals", "CD", "IMPL","","")</f>
        <v>1120</v>
      </c>
      <c r="I102" s="15" cm="1">
        <f t="array" ref="I102">_xll.VAData("KDP_US", I$3, $C102, "VA Actuals", "CD", "IMPL","","")</f>
        <v>1129</v>
      </c>
      <c r="J102" s="15" cm="1">
        <f t="array" ref="J102">_xll.VAData("KDP_US", J$3, $C102, "VA Actuals", "CD", "IMPL","","")</f>
        <v>790</v>
      </c>
      <c r="K102" s="14" cm="1">
        <f t="array" ref="K102">_xll.VAData("KDP_US", K$3, $C102, "VA Actuals", "CD", "IMPL","","")</f>
        <v>790</v>
      </c>
      <c r="L102" s="15" cm="1">
        <f t="array" ref="L102">_xll.VAData("KDP_US", L$3, $C102, "VA Actuals", "CD", "IMPL","","")</f>
        <v>1198</v>
      </c>
      <c r="M102" s="15" cm="1">
        <f t="array" ref="M102">_xll.VAData("KDP_US", M$3, $C102, "VA Actuals", "CD", "IMPL","","")</f>
        <v>1183</v>
      </c>
      <c r="N102" s="15" cm="1">
        <f t="array" ref="N102">_xll.VAData("KDP_US", N$3, $C102, "VA Actuals", "CD", "IMPL","","")</f>
        <v>2345</v>
      </c>
      <c r="O102" s="15" cm="1">
        <f t="array" ref="O102">_xll.VAData("KDP_US", O$3, $C102, "VA Actuals", "CD", "IMPL","","")</f>
        <v>2310</v>
      </c>
      <c r="P102" s="14" cm="1">
        <f t="array" ref="P102">_xll.VAData("KDP_US", P$3, $C102, "VA Actuals", "CD", "IMPL","","")</f>
        <v>2310</v>
      </c>
      <c r="Q102" s="15" cm="1">
        <f t="array" ref="Q102">_xll.VAData("KDP_US", Q$3, $C102, "VA Actuals", "CD", "IMPL","","")</f>
        <v>2282</v>
      </c>
      <c r="R102" s="15" cm="1">
        <f t="array" ref="R102">_xll.VAData("KDP_US", R$3, $C102, "VA Actuals", "CD", "IMPL","","")</f>
        <v>2290</v>
      </c>
      <c r="S102" s="15" cm="1">
        <f t="array" ref="S102">_xll.VAData("KDP_US", S$3, $C102, "VA Actuals", "CD", "IMPL","","")</f>
        <v>2236</v>
      </c>
      <c r="T102" s="15" cm="1">
        <f t="array" ref="T102">_xll.VAData("KDP_US", T$3, $C102, "VA Actuals", "CD", "IMPL","","")</f>
        <v>2028</v>
      </c>
      <c r="U102" s="14" cm="1">
        <f t="array" ref="U102">_xll.VAData("KDP_US", U$3, $C102, "VA Actuals", "CD", "IMPL","","")</f>
        <v>2028</v>
      </c>
      <c r="V102" s="15" cm="1">
        <f t="array" ref="V102">_xll.VAData("KDP_US", V$3, $C102, "VA Actuals", "CD", "IMPL","","")</f>
        <v>2017</v>
      </c>
      <c r="W102" s="15" cm="1">
        <f t="array" ref="W102">_xll.VAData("KDP_US", W$3, $C102, "VA Actuals", "CD", "IMPL","","")</f>
        <v>2071</v>
      </c>
      <c r="X102" s="15" cm="1">
        <f t="array" ref="X102">_xll.VAData("KDP_US", X$3, $C102, "VA Actuals", "CD", "IMPL","","")</f>
        <v>2092</v>
      </c>
      <c r="Y102" s="15" cm="1">
        <f t="array" ref="Y102">_xll.VAData("KDP_US", Y$3, $C102, "VA Actuals", "CD", "IMPL","","")</f>
        <v>2212</v>
      </c>
      <c r="Z102" s="14" cm="1">
        <f t="array" ref="Z102">_xll.VAData("KDP_US", Z$3, $C102, "VA Actuals", "CD", "IMPL","","")</f>
        <v>2212</v>
      </c>
      <c r="AA102" s="15" cm="1">
        <f t="array" ref="AA102">_xll.VAData("KDP_US", AA$3, $C102, "VA Actuals", "CD", "IMPL","","")</f>
        <v>2261</v>
      </c>
      <c r="AB102" s="15" cm="1">
        <f t="array" ref="AB102">_xll.VAData("KDP_US", AB$3, $C102, "VA Actuals", "CD", "IMPL","","")</f>
        <v>2420</v>
      </c>
      <c r="AC102" s="15" cm="1">
        <f t="array" ref="AC102">_xll.VAData("KDP_US", AC$3, $C102, "VA Actuals", "CD", "IMPL","","")</f>
        <v>2425</v>
      </c>
      <c r="AD102" s="15" cm="1">
        <f t="array" ref="AD102">_xll.VAData("KDP_US", AD$3, $C102, "VA Actuals", "CD", "IMPL","","")</f>
        <v>2494</v>
      </c>
      <c r="AE102" s="14" cm="1">
        <f t="array" ref="AE102">_xll.VAData("KDP_US", AE$3, $C102, "VA Actuals", "CD", "IMPL","","")</f>
        <v>2494</v>
      </c>
      <c r="AF102" s="15" cm="1">
        <f t="array" ref="AF102">_xll.VAData("KDP_US", AF$3, $C102, "VA Actuals", "CD", "IMPL","","")</f>
        <v>2436</v>
      </c>
      <c r="AG102" s="15" cm="1">
        <f t="array" ref="AG102">_xll.VAData("KDP_US", AG$3, $C102, "VA Actuals", "CD", "IMPL","","")</f>
        <v>2446</v>
      </c>
      <c r="AH102" s="15" cm="1">
        <f t="array" ref="AH102">_xll.VAData("KDP_US", AH$3, $C102, "VA Actuals", "CD", "IMPL","","")</f>
        <v>2483</v>
      </c>
      <c r="AI102" s="15" cm="1">
        <f t="array" ref="AI102">_xll.VAData("KDP_US", AI$3, $C102, "VA Actuals", "CD", "IMPL","","")</f>
        <v>2491</v>
      </c>
      <c r="AJ102" s="14" cm="1">
        <f t="array" ref="AJ102">_xll.VAData("KDP_US", AJ$3, $C102, "VA Actuals", "CD", "IMPL","","")</f>
        <v>2491</v>
      </c>
      <c r="AK102" s="15" cm="1">
        <f t="array" ref="AK102">_xll.VAData("KDP_US", AK$3, $C102, "VA Actuals", "CD", "IMPL","","")</f>
        <v>2480</v>
      </c>
      <c r="AL102" s="15" cm="1">
        <f t="array" ref="AL102">_xll.VAData("KDP_US", AL$3, $C102, "VA Actuals", "CD", "IMPL","","")</f>
        <v>2489</v>
      </c>
    </row>
    <row r="103" spans="2:38" x14ac:dyDescent="0.75">
      <c r="B103" s="5" t="s">
        <v>111</v>
      </c>
      <c r="C103" t="s">
        <v>131</v>
      </c>
      <c r="D103" s="14" cm="1">
        <f t="array" ref="D103">_xll.VAData("KDP_US", D$3, $C103, "VA Actuals", "CD", "IMPL","","")</f>
        <v>5674</v>
      </c>
      <c r="E103" s="14" cm="1">
        <f t="array" ref="E103">_xll.VAData("KDP_US", E$3, $C103, "VA Actuals", "CD", "IMPL","","")</f>
        <v>5651</v>
      </c>
      <c r="F103" s="14" cm="1">
        <f t="array" ref="F103">_xll.VAData("KDP_US", F$3, $C103, "VA Actuals", "CD", "IMPL","","")</f>
        <v>5649</v>
      </c>
      <c r="G103" s="15" cm="1">
        <f t="array" ref="G103">_xll.VAData("KDP_US", G$3, $C103, "VA Actuals", "CD", "IMPL","","")</f>
        <v>7344</v>
      </c>
      <c r="H103" s="15" cm="1">
        <f t="array" ref="H103">_xll.VAData("KDP_US", H$3, $C103, "VA Actuals", "CD", "IMPL","","")</f>
        <v>7352</v>
      </c>
      <c r="I103" s="15" cm="1">
        <f t="array" ref="I103">_xll.VAData("KDP_US", I$3, $C103, "VA Actuals", "CD", "IMPL","","")</f>
        <v>7345</v>
      </c>
      <c r="J103" s="15" cm="1">
        <f t="array" ref="J103">_xll.VAData("KDP_US", J$3, $C103, "VA Actuals", "CD", "IMPL","","")</f>
        <v>13653</v>
      </c>
      <c r="K103" s="14" cm="1">
        <f t="array" ref="K103">_xll.VAData("KDP_US", K$3, $C103, "VA Actuals", "CD", "IMPL","","")</f>
        <v>13653</v>
      </c>
      <c r="L103" s="15" cm="1">
        <f t="array" ref="L103">_xll.VAData("KDP_US", L$3, $C103, "VA Actuals", "CD", "IMPL","","")</f>
        <v>7348</v>
      </c>
      <c r="M103" s="15" cm="1">
        <f t="array" ref="M103">_xll.VAData("KDP_US", M$3, $C103, "VA Actuals", "CD", "IMPL","","")</f>
        <v>7339</v>
      </c>
      <c r="N103" s="15" cm="1">
        <f t="array" ref="N103">_xll.VAData("KDP_US", N$3, $C103, "VA Actuals", "CD", "IMPL","","")</f>
        <v>43727</v>
      </c>
      <c r="O103" s="15" cm="1">
        <f t="array" ref="O103">_xll.VAData("KDP_US", O$3, $C103, "VA Actuals", "CD", "IMPL","","")</f>
        <v>43978</v>
      </c>
      <c r="P103" s="14" cm="1">
        <f t="array" ref="P103">_xll.VAData("KDP_US", P$3, $C103, "VA Actuals", "CD", "IMPL","","")</f>
        <v>43978</v>
      </c>
      <c r="Q103" s="15" cm="1">
        <f t="array" ref="Q103">_xll.VAData("KDP_US", Q$3, $C103, "VA Actuals", "CD", "IMPL","","")</f>
        <v>44065</v>
      </c>
      <c r="R103" s="15" cm="1">
        <f t="array" ref="R103">_xll.VAData("KDP_US", R$3, $C103, "VA Actuals", "CD", "IMPL","","")</f>
        <v>44267</v>
      </c>
      <c r="S103" s="15" cm="1">
        <f t="array" ref="S103">_xll.VAData("KDP_US", S$3, $C103, "VA Actuals", "CD", "IMPL","","")</f>
        <v>44143</v>
      </c>
      <c r="T103" s="15" cm="1">
        <f t="array" ref="T103">_xll.VAData("KDP_US", T$3, $C103, "VA Actuals", "CD", "IMPL","","")</f>
        <v>44289</v>
      </c>
      <c r="U103" s="14" cm="1">
        <f t="array" ref="U103">_xll.VAData("KDP_US", U$3, $C103, "VA Actuals", "CD", "IMPL","","")</f>
        <v>44289</v>
      </c>
      <c r="V103" s="15" cm="1">
        <f t="array" ref="V103">_xll.VAData("KDP_US", V$3, $C103, "VA Actuals", "CD", "IMPL","","")</f>
        <v>43604</v>
      </c>
      <c r="W103" s="15" cm="1">
        <f t="array" ref="W103">_xll.VAData("KDP_US", W$3, $C103, "VA Actuals", "CD", "IMPL","","")</f>
        <v>43753</v>
      </c>
      <c r="X103" s="15" cm="1">
        <f t="array" ref="X103">_xll.VAData("KDP_US", X$3, $C103, "VA Actuals", "CD", "IMPL","","")</f>
        <v>43863</v>
      </c>
      <c r="Y103" s="15" cm="1">
        <f t="array" ref="Y103">_xll.VAData("KDP_US", Y$3, $C103, "VA Actuals", "CD", "IMPL","","")</f>
        <v>44152</v>
      </c>
      <c r="Z103" s="14" cm="1">
        <f t="array" ref="Z103">_xll.VAData("KDP_US", Z$3, $C103, "VA Actuals", "CD", "IMPL","","")</f>
        <v>44152</v>
      </c>
      <c r="AA103" s="15" cm="1">
        <f t="array" ref="AA103">_xll.VAData("KDP_US", AA$3, $C103, "VA Actuals", "CD", "IMPL","","")</f>
        <v>44158</v>
      </c>
      <c r="AB103" s="15" cm="1">
        <f t="array" ref="AB103">_xll.VAData("KDP_US", AB$3, $C103, "VA Actuals", "CD", "IMPL","","")</f>
        <v>44255</v>
      </c>
      <c r="AC103" s="15" cm="1">
        <f t="array" ref="AC103">_xll.VAData("KDP_US", AC$3, $C103, "VA Actuals", "CD", "IMPL","","")</f>
        <v>44076</v>
      </c>
      <c r="AD103" s="15" cm="1">
        <f t="array" ref="AD103">_xll.VAData("KDP_US", AD$3, $C103, "VA Actuals", "CD", "IMPL","","")</f>
        <v>44038</v>
      </c>
      <c r="AE103" s="14" cm="1">
        <f t="array" ref="AE103">_xll.VAData("KDP_US", AE$3, $C103, "VA Actuals", "CD", "IMPL","","")</f>
        <v>44038</v>
      </c>
      <c r="AF103" s="15" cm="1">
        <f t="array" ref="AF103">_xll.VAData("KDP_US", AF$3, $C103, "VA Actuals", "CD", "IMPL","","")</f>
        <v>44132</v>
      </c>
      <c r="AG103" s="15" cm="1">
        <f t="array" ref="AG103">_xll.VAData("KDP_US", AG$3, $C103, "VA Actuals", "CD", "IMPL","","")</f>
        <v>43937</v>
      </c>
      <c r="AH103" s="15" cm="1">
        <f t="array" ref="AH103">_xll.VAData("KDP_US", AH$3, $C103, "VA Actuals", "CD", "IMPL","","")</f>
        <v>43323</v>
      </c>
      <c r="AI103" s="15" cm="1">
        <f t="array" ref="AI103">_xll.VAData("KDP_US", AI$3, $C103, "VA Actuals", "CD", "IMPL","","")</f>
        <v>43255</v>
      </c>
      <c r="AJ103" s="14" cm="1">
        <f t="array" ref="AJ103">_xll.VAData("KDP_US", AJ$3, $C103, "VA Actuals", "CD", "IMPL","","")</f>
        <v>43255</v>
      </c>
      <c r="AK103" s="15" cm="1">
        <f t="array" ref="AK103">_xll.VAData("KDP_US", AK$3, $C103, "VA Actuals", "CD", "IMPL","","")</f>
        <v>43390</v>
      </c>
      <c r="AL103" s="15" cm="1">
        <f t="array" ref="AL103">_xll.VAData("KDP_US", AL$3, $C103, "VA Actuals", "CD", "IMPL","","")</f>
        <v>43538</v>
      </c>
    </row>
    <row r="104" spans="2:38" x14ac:dyDescent="0.75">
      <c r="B104" s="3" t="s">
        <v>112</v>
      </c>
      <c r="C104" t="s">
        <v>132</v>
      </c>
      <c r="D104" s="14" cm="1">
        <f t="array" ref="D104">_xll.VAData("KDP_US", D$3, $C104, "VA Actuals", "CD", "IMPL","","")</f>
        <v>247</v>
      </c>
      <c r="E104" s="14" cm="1">
        <f t="array" ref="E104">_xll.VAData("KDP_US", E$3, $C104, "VA Actuals", "CD", "IMPL","","")</f>
        <v>245</v>
      </c>
      <c r="F104" s="14" cm="1">
        <f t="array" ref="F104">_xll.VAData("KDP_US", F$3, $C104, "VA Actuals", "CD", "IMPL","","")</f>
        <v>268</v>
      </c>
      <c r="G104" s="15" cm="1">
        <f t="array" ref="G104">_xll.VAData("KDP_US", G$3, $C104, "VA Actuals", "CD", "IMPL","","")</f>
        <v>292</v>
      </c>
      <c r="H104" s="15" cm="1">
        <f t="array" ref="H104">_xll.VAData("KDP_US", H$3, $C104, "VA Actuals", "CD", "IMPL","","")</f>
        <v>292</v>
      </c>
      <c r="I104" s="15" cm="1">
        <f t="array" ref="I104">_xll.VAData("KDP_US", I$3, $C104, "VA Actuals", "CD", "IMPL","","")</f>
        <v>299</v>
      </c>
      <c r="J104" s="15" cm="1">
        <f t="array" ref="J104">_xll.VAData("KDP_US", J$3, $C104, "VA Actuals", "CD", "IMPL","","")</f>
        <v>245</v>
      </c>
      <c r="K104" s="14" cm="1">
        <f t="array" ref="K104">_xll.VAData("KDP_US", K$3, $C104, "VA Actuals", "CD", "IMPL","","")</f>
        <v>245</v>
      </c>
      <c r="L104" s="15" cm="1">
        <f t="array" ref="L104">_xll.VAData("KDP_US", L$3, $C104, "VA Actuals", "CD", "IMPL","","")</f>
        <v>387</v>
      </c>
      <c r="M104" s="15" cm="1">
        <f t="array" ref="M104">_xll.VAData("KDP_US", M$3, $C104, "VA Actuals", "CD", "IMPL","","")</f>
        <v>308</v>
      </c>
      <c r="N104" s="15" cm="1">
        <f t="array" ref="N104">_xll.VAData("KDP_US", N$3, $C104, "VA Actuals", "CD", "IMPL","","")</f>
        <v>601</v>
      </c>
      <c r="O104" s="15" cm="1">
        <f t="array" ref="O104">_xll.VAData("KDP_US", O$3, $C104, "VA Actuals", "CD", "IMPL","","")</f>
        <v>471</v>
      </c>
      <c r="P104" s="14" cm="1">
        <f t="array" ref="P104">_xll.VAData("KDP_US", P$3, $C104, "VA Actuals", "CD", "IMPL","","")</f>
        <v>471</v>
      </c>
      <c r="Q104" s="15" cm="1">
        <f t="array" ref="Q104">_xll.VAData("KDP_US", Q$3, $C104, "VA Actuals", "CD", "IMPL","","")</f>
        <v>782</v>
      </c>
      <c r="R104" s="15" cm="1">
        <f t="array" ref="R104">_xll.VAData("KDP_US", R$3, $C104, "VA Actuals", "CD", "IMPL","","")</f>
        <v>769</v>
      </c>
      <c r="S104" s="15" cm="1">
        <f t="array" ref="S104">_xll.VAData("KDP_US", S$3, $C104, "VA Actuals", "CD", "IMPL","","")</f>
        <v>752</v>
      </c>
      <c r="T104" s="15" cm="1">
        <f t="array" ref="T104">_xll.VAData("KDP_US", T$3, $C104, "VA Actuals", "CD", "IMPL","","")</f>
        <v>928</v>
      </c>
      <c r="U104" s="14" cm="1">
        <f t="array" ref="U104">_xll.VAData("KDP_US", U$3, $C104, "VA Actuals", "CD", "IMPL","","")</f>
        <v>928</v>
      </c>
      <c r="V104" s="15" cm="1">
        <f t="array" ref="V104">_xll.VAData("KDP_US", V$3, $C104, "VA Actuals", "CD", "IMPL","","")</f>
        <v>945</v>
      </c>
      <c r="W104" s="15" cm="1">
        <f t="array" ref="W104">_xll.VAData("KDP_US", W$3, $C104, "VA Actuals", "CD", "IMPL","","")</f>
        <v>962</v>
      </c>
      <c r="X104" s="15" cm="1">
        <f t="array" ref="X104">_xll.VAData("KDP_US", X$3, $C104, "VA Actuals", "CD", "IMPL","","")</f>
        <v>1010</v>
      </c>
      <c r="Y104" s="15" cm="1">
        <f t="array" ref="Y104">_xll.VAData("KDP_US", Y$3, $C104, "VA Actuals", "CD", "IMPL","","")</f>
        <v>1027</v>
      </c>
      <c r="Z104" s="14" cm="1">
        <f t="array" ref="Z104">_xll.VAData("KDP_US", Z$3, $C104, "VA Actuals", "CD", "IMPL","","")</f>
        <v>1027</v>
      </c>
      <c r="AA104" s="15" cm="1">
        <f t="array" ref="AA104">_xll.VAData("KDP_US", AA$3, $C104, "VA Actuals", "CD", "IMPL","","")</f>
        <v>1319</v>
      </c>
      <c r="AB104" s="15" cm="1">
        <f t="array" ref="AB104">_xll.VAData("KDP_US", AB$3, $C104, "VA Actuals", "CD", "IMPL","","")</f>
        <v>1053</v>
      </c>
      <c r="AC104" s="15" cm="1">
        <f t="array" ref="AC104">_xll.VAData("KDP_US", AC$3, $C104, "VA Actuals", "CD", "IMPL","","")</f>
        <v>1026</v>
      </c>
      <c r="AD104" s="15" cm="1">
        <f t="array" ref="AD104">_xll.VAData("KDP_US", AD$3, $C104, "VA Actuals", "CD", "IMPL","","")</f>
        <v>1009</v>
      </c>
      <c r="AE104" s="14" cm="1">
        <f t="array" ref="AE104">_xll.VAData("KDP_US", AE$3, $C104, "VA Actuals", "CD", "IMPL","","")</f>
        <v>1009</v>
      </c>
      <c r="AF104" s="15" cm="1">
        <f t="array" ref="AF104">_xll.VAData("KDP_US", AF$3, $C104, "VA Actuals", "CD", "IMPL","","")</f>
        <v>1186</v>
      </c>
      <c r="AG104" s="15" cm="1">
        <f t="array" ref="AG104">_xll.VAData("KDP_US", AG$3, $C104, "VA Actuals", "CD", "IMPL","","")</f>
        <v>1274</v>
      </c>
      <c r="AH104" s="15" cm="1">
        <f t="array" ref="AH104">_xll.VAData("KDP_US", AH$3, $C104, "VA Actuals", "CD", "IMPL","","")</f>
        <v>1309</v>
      </c>
      <c r="AI104" s="15" cm="1">
        <f t="array" ref="AI104">_xll.VAData("KDP_US", AI$3, $C104, "VA Actuals", "CD", "IMPL","","")</f>
        <v>2287</v>
      </c>
      <c r="AJ104" s="14" cm="1">
        <f t="array" ref="AJ104">_xll.VAData("KDP_US", AJ$3, $C104, "VA Actuals", "CD", "IMPL","","")</f>
        <v>2287</v>
      </c>
      <c r="AK104" s="15" cm="1">
        <f t="array" ref="AK104">_xll.VAData("KDP_US", AK$3, $C104, "VA Actuals", "CD", "IMPL","","")</f>
        <v>2204</v>
      </c>
      <c r="AL104" s="15" cm="1">
        <f t="array" ref="AL104">_xll.VAData("KDP_US", AL$3, $C104, "VA Actuals", "CD", "IMPL","","")</f>
        <v>2204</v>
      </c>
    </row>
    <row r="105" spans="2:38" x14ac:dyDescent="0.75">
      <c r="B105" s="6" t="s">
        <v>133</v>
      </c>
      <c r="C105" t="s">
        <v>133</v>
      </c>
      <c r="D105" s="14" cm="1">
        <f t="array" ref="D105">_xll.VAData("KDP_US", D$3, $C105, "VA Actuals", "CD", "IMPL","","")</f>
        <v>8273</v>
      </c>
      <c r="E105" s="14" cm="1">
        <f t="array" ref="E105">_xll.VAData("KDP_US", E$3, $C105, "VA Actuals", "CD", "IMPL","","")</f>
        <v>8869</v>
      </c>
      <c r="F105" s="14" cm="1">
        <f t="array" ref="F105">_xll.VAData("KDP_US", F$3, $C105, "VA Actuals", "CD", "IMPL","","")</f>
        <v>9791</v>
      </c>
      <c r="G105" s="15" cm="1">
        <f t="array" ref="G105">_xll.VAData("KDP_US", G$3, $C105, "VA Actuals", "CD", "IMPL","","")</f>
        <v>10008</v>
      </c>
      <c r="H105" s="15" cm="1">
        <f t="array" ref="H105">_xll.VAData("KDP_US", H$3, $C105, "VA Actuals", "CD", "IMPL","","")</f>
        <v>10319</v>
      </c>
      <c r="I105" s="15" cm="1">
        <f t="array" ref="I105">_xll.VAData("KDP_US", I$3, $C105, "VA Actuals", "CD", "IMPL","","")</f>
        <v>10039</v>
      </c>
      <c r="J105" s="15" cm="1">
        <f t="array" ref="J105">_xll.VAData("KDP_US", J$3, $C105, "VA Actuals", "CD", "IMPL","","")</f>
        <v>15744</v>
      </c>
      <c r="K105" s="14" cm="1">
        <f t="array" ref="K105">_xll.VAData("KDP_US", K$3, $C105, "VA Actuals", "CD", "IMPL","","")</f>
        <v>15744</v>
      </c>
      <c r="L105" s="15" cm="1">
        <f t="array" ref="L105">_xll.VAData("KDP_US", L$3, $C105, "VA Actuals", "CD", "IMPL","","")</f>
        <v>10179</v>
      </c>
      <c r="M105" s="15" cm="1">
        <f t="array" ref="M105">_xll.VAData("KDP_US", M$3, $C105, "VA Actuals", "CD", "IMPL","","")</f>
        <v>10246</v>
      </c>
      <c r="N105" s="15" cm="1">
        <f t="array" ref="N105">_xll.VAData("KDP_US", N$3, $C105, "VA Actuals", "CD", "IMPL","","")</f>
        <v>49058</v>
      </c>
      <c r="O105" s="15" cm="1">
        <f t="array" ref="O105">_xll.VAData("KDP_US", O$3, $C105, "VA Actuals", "CD", "IMPL","","")</f>
        <v>48918</v>
      </c>
      <c r="P105" s="14" cm="1">
        <f t="array" ref="P105">_xll.VAData("KDP_US", P$3, $C105, "VA Actuals", "CD", "IMPL","","")</f>
        <v>48918</v>
      </c>
      <c r="Q105" s="15" cm="1">
        <f t="array" ref="Q105">_xll.VAData("KDP_US", Q$3, $C105, "VA Actuals", "CD", "IMPL","","")</f>
        <v>49291</v>
      </c>
      <c r="R105" s="15" cm="1">
        <f t="array" ref="R105">_xll.VAData("KDP_US", R$3, $C105, "VA Actuals", "CD", "IMPL","","")</f>
        <v>49547</v>
      </c>
      <c r="S105" s="15" cm="1">
        <f t="array" ref="S105">_xll.VAData("KDP_US", S$3, $C105, "VA Actuals", "CD", "IMPL","","")</f>
        <v>49400</v>
      </c>
      <c r="T105" s="15" cm="1">
        <f t="array" ref="T105">_xll.VAData("KDP_US", T$3, $C105, "VA Actuals", "CD", "IMPL","","")</f>
        <v>49518</v>
      </c>
      <c r="U105" s="14" cm="1">
        <f t="array" ref="U105">_xll.VAData("KDP_US", U$3, $C105, "VA Actuals", "CD", "IMPL","","")</f>
        <v>49518</v>
      </c>
      <c r="V105" s="15" cm="1">
        <f t="array" ref="V105">_xll.VAData("KDP_US", V$3, $C105, "VA Actuals", "CD", "IMPL","","")</f>
        <v>48843</v>
      </c>
      <c r="W105" s="15" cm="1">
        <f t="array" ref="W105">_xll.VAData("KDP_US", W$3, $C105, "VA Actuals", "CD", "IMPL","","")</f>
        <v>49026</v>
      </c>
      <c r="X105" s="15" cm="1">
        <f t="array" ref="X105">_xll.VAData("KDP_US", X$3, $C105, "VA Actuals", "CD", "IMPL","","")</f>
        <v>49381</v>
      </c>
      <c r="Y105" s="15" cm="1">
        <f t="array" ref="Y105">_xll.VAData("KDP_US", Y$3, $C105, "VA Actuals", "CD", "IMPL","","")</f>
        <v>49779</v>
      </c>
      <c r="Z105" s="14" cm="1">
        <f t="array" ref="Z105">_xll.VAData("KDP_US", Z$3, $C105, "VA Actuals", "CD", "IMPL","","")</f>
        <v>49779</v>
      </c>
      <c r="AA105" s="15" cm="1">
        <f t="array" ref="AA105">_xll.VAData("KDP_US", AA$3, $C105, "VA Actuals", "CD", "IMPL","","")</f>
        <v>50403</v>
      </c>
      <c r="AB105" s="15" cm="1">
        <f t="array" ref="AB105">_xll.VAData("KDP_US", AB$3, $C105, "VA Actuals", "CD", "IMPL","","")</f>
        <v>50344</v>
      </c>
      <c r="AC105" s="15" cm="1">
        <f t="array" ref="AC105">_xll.VAData("KDP_US", AC$3, $C105, "VA Actuals", "CD", "IMPL","","")</f>
        <v>50330</v>
      </c>
      <c r="AD105" s="15" cm="1">
        <f t="array" ref="AD105">_xll.VAData("KDP_US", AD$3, $C105, "VA Actuals", "CD", "IMPL","","")</f>
        <v>50598</v>
      </c>
      <c r="AE105" s="14" cm="1">
        <f t="array" ref="AE105">_xll.VAData("KDP_US", AE$3, $C105, "VA Actuals", "CD", "IMPL","","")</f>
        <v>50598</v>
      </c>
      <c r="AF105" s="15" cm="1">
        <f t="array" ref="AF105">_xll.VAData("KDP_US", AF$3, $C105, "VA Actuals", "CD", "IMPL","","")</f>
        <v>51244</v>
      </c>
      <c r="AG105" s="15" cm="1">
        <f t="array" ref="AG105">_xll.VAData("KDP_US", AG$3, $C105, "VA Actuals", "CD", "IMPL","","")</f>
        <v>51428</v>
      </c>
      <c r="AH105" s="15" cm="1">
        <f t="array" ref="AH105">_xll.VAData("KDP_US", AH$3, $C105, "VA Actuals", "CD", "IMPL","","")</f>
        <v>51440</v>
      </c>
      <c r="AI105" s="15" cm="1">
        <f t="array" ref="AI105">_xll.VAData("KDP_US", AI$3, $C105, "VA Actuals", "CD", "IMPL","","")</f>
        <v>51837</v>
      </c>
      <c r="AJ105" s="14" cm="1">
        <f t="array" ref="AJ105">_xll.VAData("KDP_US", AJ$3, $C105, "VA Actuals", "CD", "IMPL","","")</f>
        <v>51837</v>
      </c>
      <c r="AK105" s="15" cm="1">
        <f t="array" ref="AK105">_xll.VAData("KDP_US", AK$3, $C105, "VA Actuals", "CD", "IMPL","","")</f>
        <v>51660</v>
      </c>
      <c r="AL105" s="15" cm="1">
        <f t="array" ref="AL105">_xll.VAData("KDP_US", AL$3, $C105, "VA Actuals", "CD", "IMPL","","")</f>
        <v>51801</v>
      </c>
    </row>
    <row r="106" spans="2:38" x14ac:dyDescent="0.75">
      <c r="D106" s="14"/>
      <c r="E106" s="14"/>
      <c r="F106" s="14"/>
      <c r="G106" s="15"/>
      <c r="H106" s="15"/>
      <c r="I106" s="15"/>
      <c r="J106" s="15"/>
      <c r="K106" s="14"/>
      <c r="L106" s="15"/>
      <c r="M106" s="15"/>
      <c r="N106" s="15"/>
      <c r="O106" s="15"/>
      <c r="P106" s="14"/>
      <c r="Q106" s="15"/>
      <c r="R106" s="15"/>
      <c r="S106" s="15"/>
      <c r="T106" s="15"/>
      <c r="U106" s="14"/>
      <c r="V106" s="15"/>
      <c r="W106" s="15"/>
      <c r="X106" s="15"/>
      <c r="Y106" s="15"/>
      <c r="Z106" s="14"/>
      <c r="AA106" s="15"/>
      <c r="AB106" s="15"/>
      <c r="AC106" s="15"/>
      <c r="AD106" s="15"/>
      <c r="AE106" s="14"/>
      <c r="AF106" s="15"/>
      <c r="AG106" s="15"/>
      <c r="AH106" s="15"/>
      <c r="AI106" s="15"/>
      <c r="AJ106" s="14"/>
      <c r="AK106" s="15"/>
      <c r="AL106" s="15"/>
    </row>
    <row r="107" spans="2:38" x14ac:dyDescent="0.75">
      <c r="B107" s="6" t="s">
        <v>179</v>
      </c>
      <c r="D107" s="14"/>
      <c r="E107" s="14"/>
      <c r="F107" s="14"/>
      <c r="G107" s="15"/>
      <c r="H107" s="15"/>
      <c r="I107" s="15"/>
      <c r="J107" s="15"/>
      <c r="K107" s="14"/>
      <c r="L107" s="15"/>
      <c r="M107" s="15"/>
      <c r="N107" s="15"/>
      <c r="O107" s="15"/>
      <c r="P107" s="14"/>
      <c r="Q107" s="15"/>
      <c r="R107" s="15"/>
      <c r="S107" s="15"/>
      <c r="T107" s="15"/>
      <c r="U107" s="14"/>
      <c r="V107" s="15"/>
      <c r="W107" s="15"/>
      <c r="X107" s="15"/>
      <c r="Y107" s="15"/>
      <c r="Z107" s="14"/>
      <c r="AA107" s="15"/>
      <c r="AB107" s="15"/>
      <c r="AC107" s="15"/>
      <c r="AD107" s="15"/>
      <c r="AE107" s="14"/>
      <c r="AF107" s="15"/>
      <c r="AG107" s="15"/>
      <c r="AH107" s="15"/>
      <c r="AI107" s="15"/>
      <c r="AJ107" s="14"/>
      <c r="AK107" s="15"/>
      <c r="AL107" s="15"/>
    </row>
    <row r="108" spans="2:38" x14ac:dyDescent="0.75">
      <c r="B108" s="3" t="s">
        <v>180</v>
      </c>
      <c r="D108" s="14"/>
      <c r="E108" s="14"/>
      <c r="F108" s="14"/>
      <c r="G108" s="15"/>
      <c r="H108" s="15"/>
      <c r="I108" s="15"/>
      <c r="J108" s="15"/>
      <c r="K108" s="14"/>
      <c r="L108" s="15"/>
      <c r="M108" s="15"/>
      <c r="N108" s="15"/>
      <c r="O108" s="15"/>
      <c r="P108" s="14"/>
      <c r="Q108" s="15"/>
      <c r="R108" s="15"/>
      <c r="S108" s="15"/>
      <c r="T108" s="15"/>
      <c r="U108" s="14"/>
      <c r="V108" s="15"/>
      <c r="W108" s="15"/>
      <c r="X108" s="15"/>
      <c r="Y108" s="15"/>
      <c r="Z108" s="14"/>
      <c r="AA108" s="15"/>
      <c r="AB108" s="15"/>
      <c r="AC108" s="15"/>
      <c r="AD108" s="15"/>
      <c r="AE108" s="14"/>
      <c r="AF108" s="15"/>
      <c r="AG108" s="15"/>
      <c r="AH108" s="15"/>
      <c r="AI108" s="15"/>
      <c r="AJ108" s="14"/>
      <c r="AK108" s="15"/>
      <c r="AL108" s="15"/>
    </row>
    <row r="109" spans="2:38" x14ac:dyDescent="0.75">
      <c r="B109" s="5" t="s">
        <v>105</v>
      </c>
      <c r="C109" t="s">
        <v>134</v>
      </c>
      <c r="D109" s="14" cm="1">
        <f t="array" ref="D109">_xll.VAData("KDP_US", D$3, $C109, "VA Actuals", "CD", "IMPL","","")</f>
        <v>3</v>
      </c>
      <c r="E109" s="14" cm="1">
        <f t="array" ref="E109">_xll.VAData("KDP_US", E$3, $C109, "VA Actuals", "CD", "IMPL","","")</f>
        <v>507</v>
      </c>
      <c r="F109" s="14" cm="1">
        <f t="array" ref="F109">_xll.VAData("KDP_US", F$3, $C109, "VA Actuals", "CD", "IMPL","","")</f>
        <v>10</v>
      </c>
      <c r="G109" s="15" cm="1">
        <f t="array" ref="G109">_xll.VAData("KDP_US", G$3, $C109, "VA Actuals", "CD", "IMPL","","")</f>
        <v>10</v>
      </c>
      <c r="H109" s="15" cm="1">
        <f t="array" ref="H109">_xll.VAData("KDP_US", H$3, $C109, "VA Actuals", "CD", "IMPL","","")</f>
        <v>312</v>
      </c>
      <c r="I109" s="15" cm="1">
        <f t="array" ref="I109">_xll.VAData("KDP_US", I$3, $C109, "VA Actuals", "CD", "IMPL","","")</f>
        <v>82</v>
      </c>
      <c r="J109" s="15" cm="1">
        <f t="array" ref="J109">_xll.VAData("KDP_US", J$3, $C109, "VA Actuals", "CD", "IMPL","","")</f>
        <v>225</v>
      </c>
      <c r="K109" s="14" cm="1">
        <f t="array" ref="K109">_xll.VAData("KDP_US", K$3, $C109, "VA Actuals", "CD", "IMPL","","")</f>
        <v>225</v>
      </c>
      <c r="L109" s="15" cm="1">
        <f t="array" ref="L109">_xll.VAData("KDP_US", L$3, $C109, "VA Actuals", "CD", "IMPL","","")</f>
        <v>383</v>
      </c>
      <c r="M109" s="15" cm="1">
        <f t="array" ref="M109">_xll.VAData("KDP_US", M$3, $C109, "VA Actuals", "CD", "IMPL","","")</f>
        <v>264</v>
      </c>
      <c r="N109" s="15" cm="1">
        <f t="array" ref="N109">_xll.VAData("KDP_US", N$3, $C109, "VA Actuals", "CD", "IMPL","","")</f>
        <v>1790</v>
      </c>
      <c r="O109" s="15" cm="1">
        <f t="array" ref="O109">_xll.VAData("KDP_US", O$3, $C109, "VA Actuals", "CD", "IMPL","","")</f>
        <v>1458</v>
      </c>
      <c r="P109" s="14" cm="1">
        <f t="array" ref="P109">_xll.VAData("KDP_US", P$3, $C109, "VA Actuals", "CD", "IMPL","","")</f>
        <v>1458</v>
      </c>
      <c r="Q109" s="15" cm="1">
        <f t="array" ref="Q109">_xll.VAData("KDP_US", Q$3, $C109, "VA Actuals", "CD", "IMPL","","")</f>
        <v>2018</v>
      </c>
      <c r="R109" s="15" cm="1">
        <f t="array" ref="R109">_xll.VAData("KDP_US", R$3, $C109, "VA Actuals", "CD", "IMPL","","")</f>
        <v>1806</v>
      </c>
      <c r="S109" s="15" cm="1">
        <f t="array" ref="S109">_xll.VAData("KDP_US", S$3, $C109, "VA Actuals", "CD", "IMPL","","")</f>
        <v>1761</v>
      </c>
      <c r="T109" s="15" cm="1">
        <f t="array" ref="T109">_xll.VAData("KDP_US", T$3, $C109, "VA Actuals", "CD", "IMPL","","")</f>
        <v>1593</v>
      </c>
      <c r="U109" s="14" cm="1">
        <f t="array" ref="U109">_xll.VAData("KDP_US", U$3, $C109, "VA Actuals", "CD", "IMPL","","")</f>
        <v>1593</v>
      </c>
      <c r="V109" s="15" cm="1">
        <f t="array" ref="V109">_xll.VAData("KDP_US", V$3, $C109, "VA Actuals", "CD", "IMPL","","")</f>
        <v>1957</v>
      </c>
      <c r="W109" s="15" cm="1">
        <f t="array" ref="W109">_xll.VAData("KDP_US", W$3, $C109, "VA Actuals", "CD", "IMPL","","")</f>
        <v>2256</v>
      </c>
      <c r="X109" s="15" cm="1">
        <f t="array" ref="X109">_xll.VAData("KDP_US", X$3, $C109, "VA Actuals", "CD", "IMPL","","")</f>
        <v>2182</v>
      </c>
      <c r="Y109" s="15" cm="1">
        <f t="array" ref="Y109">_xll.VAData("KDP_US", Y$3, $C109, "VA Actuals", "CD", "IMPL","","")</f>
        <v>2345</v>
      </c>
      <c r="Z109" s="14" cm="1">
        <f t="array" ref="Z109">_xll.VAData("KDP_US", Z$3, $C109, "VA Actuals", "CD", "IMPL","","")</f>
        <v>2345</v>
      </c>
      <c r="AA109" s="15" cm="1">
        <f t="array" ref="AA109">_xll.VAData("KDP_US", AA$3, $C109, "VA Actuals", "CD", "IMPL","","")</f>
        <v>1750</v>
      </c>
      <c r="AB109" s="15" cm="1">
        <f t="array" ref="AB109">_xll.VAData("KDP_US", AB$3, $C109, "VA Actuals", "CD", "IMPL","","")</f>
        <v>1323</v>
      </c>
      <c r="AC109" s="15" cm="1">
        <f t="array" ref="AC109">_xll.VAData("KDP_US", AC$3, $C109, "VA Actuals", "CD", "IMPL","","")</f>
        <v>998</v>
      </c>
      <c r="AD109" s="15" cm="1">
        <f t="array" ref="AD109">_xll.VAData("KDP_US", AD$3, $C109, "VA Actuals", "CD", "IMPL","","")</f>
        <v>304</v>
      </c>
      <c r="AE109" s="14" cm="1">
        <f t="array" ref="AE109">_xll.VAData("KDP_US", AE$3, $C109, "VA Actuals", "CD", "IMPL","","")</f>
        <v>304</v>
      </c>
      <c r="AF109" s="15" t="str" cm="1">
        <f t="array" ref="AF109">_xll.VAData("KDP_US", AF$3, $C109, "VA Actuals", "CD", "IMPL","","")</f>
        <v>-</v>
      </c>
      <c r="AG109" s="15" t="str" cm="1">
        <f t="array" ref="AG109">_xll.VAData("KDP_US", AG$3, $C109, "VA Actuals", "CD", "IMPL","","")</f>
        <v>-</v>
      </c>
      <c r="AH109" s="15" t="str" cm="1">
        <f t="array" ref="AH109">_xll.VAData("KDP_US", AH$3, $C109, "VA Actuals", "CD", "IMPL","","")</f>
        <v>-</v>
      </c>
      <c r="AI109" s="15" cm="1">
        <f t="array" ref="AI109">_xll.VAData("KDP_US", AI$3, $C109, "VA Actuals", "CD", "IMPL","","")</f>
        <v>895</v>
      </c>
      <c r="AJ109" s="14" cm="1">
        <f t="array" ref="AJ109">_xll.VAData("KDP_US", AJ$3, $C109, "VA Actuals", "CD", "IMPL","","")</f>
        <v>895</v>
      </c>
      <c r="AK109" s="15" cm="1">
        <f t="array" ref="AK109">_xll.VAData("KDP_US", AK$3, $C109, "VA Actuals", "CD", "IMPL","","")</f>
        <v>2310</v>
      </c>
      <c r="AL109" s="15" cm="1">
        <f t="array" ref="AL109">_xll.VAData("KDP_US", AL$3, $C109, "VA Actuals", "CD", "IMPL","","")</f>
        <v>2635</v>
      </c>
    </row>
    <row r="110" spans="2:38" x14ac:dyDescent="0.75">
      <c r="B110" s="5" t="s">
        <v>106</v>
      </c>
      <c r="C110" t="s">
        <v>135</v>
      </c>
      <c r="D110" s="14" t="str" cm="1">
        <f t="array" ref="D110">_xll.VAData("KDP_US", D$3, $C110, "VA Actuals", "CD", "IMPL","","")</f>
        <v>-</v>
      </c>
      <c r="E110" s="14" t="str" cm="1">
        <f t="array" ref="E110">_xll.VAData("KDP_US", E$3, $C110, "VA Actuals", "CD", "IMPL","","")</f>
        <v>-</v>
      </c>
      <c r="F110" s="14" t="str" cm="1">
        <f t="array" ref="F110">_xll.VAData("KDP_US", F$3, $C110, "VA Actuals", "CD", "IMPL","","")</f>
        <v>-</v>
      </c>
      <c r="G110" s="15" t="str" cm="1">
        <f t="array" ref="G110">_xll.VAData("KDP_US", G$3, $C110, "VA Actuals", "CD", "IMPL","","")</f>
        <v>-</v>
      </c>
      <c r="H110" s="15" t="str" cm="1">
        <f t="array" ref="H110">_xll.VAData("KDP_US", H$3, $C110, "VA Actuals", "CD", "IMPL","","")</f>
        <v>-</v>
      </c>
      <c r="I110" s="15" t="str" cm="1">
        <f t="array" ref="I110">_xll.VAData("KDP_US", I$3, $C110, "VA Actuals", "CD", "IMPL","","")</f>
        <v>-</v>
      </c>
      <c r="J110" s="15" cm="1">
        <f t="array" ref="J110">_xll.VAData("KDP_US", J$3, $C110, "VA Actuals", "CD", "IMPL","","")</f>
        <v>201</v>
      </c>
      <c r="K110" s="14" cm="1">
        <f t="array" ref="K110">_xll.VAData("KDP_US", K$3, $C110, "VA Actuals", "CD", "IMPL","","")</f>
        <v>201</v>
      </c>
      <c r="L110" s="15" cm="1">
        <f t="array" ref="L110">_xll.VAData("KDP_US", L$3, $C110, "VA Actuals", "CD", "IMPL","","")</f>
        <v>1005</v>
      </c>
      <c r="M110" s="15" cm="1">
        <f t="array" ref="M110">_xll.VAData("KDP_US", M$3, $C110, "VA Actuals", "CD", "IMPL","","")</f>
        <v>302</v>
      </c>
      <c r="N110" s="15" cm="1">
        <f t="array" ref="N110">_xll.VAData("KDP_US", N$3, $C110, "VA Actuals", "CD", "IMPL","","")</f>
        <v>1663</v>
      </c>
      <c r="O110" s="15" cm="1">
        <f t="array" ref="O110">_xll.VAData("KDP_US", O$3, $C110, "VA Actuals", "CD", "IMPL","","")</f>
        <v>1538</v>
      </c>
      <c r="P110" s="14" cm="1">
        <f t="array" ref="P110">_xll.VAData("KDP_US", P$3, $C110, "VA Actuals", "CD", "IMPL","","")</f>
        <v>1538</v>
      </c>
      <c r="Q110" s="15" cm="1">
        <f t="array" ref="Q110">_xll.VAData("KDP_US", Q$3, $C110, "VA Actuals", "CD", "IMPL","","")</f>
        <v>1557</v>
      </c>
      <c r="R110" s="15" cm="1">
        <f t="array" ref="R110">_xll.VAData("KDP_US", R$3, $C110, "VA Actuals", "CD", "IMPL","","")</f>
        <v>1464</v>
      </c>
      <c r="S110" s="15" cm="1">
        <f t="array" ref="S110">_xll.VAData("KDP_US", S$3, $C110, "VA Actuals", "CD", "IMPL","","")</f>
        <v>1404</v>
      </c>
      <c r="T110" s="15" cm="1">
        <f t="array" ref="T110">_xll.VAData("KDP_US", T$3, $C110, "VA Actuals", "CD", "IMPL","","")</f>
        <v>1260</v>
      </c>
      <c r="U110" s="14" cm="1">
        <f t="array" ref="U110">_xll.VAData("KDP_US", U$3, $C110, "VA Actuals", "CD", "IMPL","","")</f>
        <v>1260</v>
      </c>
      <c r="V110" s="15" cm="1">
        <f t="array" ref="V110">_xll.VAData("KDP_US", V$3, $C110, "VA Actuals", "CD", "IMPL","","")</f>
        <v>1218</v>
      </c>
      <c r="W110" s="15" cm="1">
        <f t="array" ref="W110">_xll.VAData("KDP_US", W$3, $C110, "VA Actuals", "CD", "IMPL","","")</f>
        <v>1122</v>
      </c>
      <c r="X110" s="15" cm="1">
        <f t="array" ref="X110">_xll.VAData("KDP_US", X$3, $C110, "VA Actuals", "CD", "IMPL","","")</f>
        <v>1227</v>
      </c>
      <c r="Y110" s="15" cm="1">
        <f t="array" ref="Y110">_xll.VAData("KDP_US", Y$3, $C110, "VA Actuals", "CD", "IMPL","","")</f>
        <v>1193</v>
      </c>
      <c r="Z110" s="14" cm="1">
        <f t="array" ref="Z110">_xll.VAData("KDP_US", Z$3, $C110, "VA Actuals", "CD", "IMPL","","")</f>
        <v>1193</v>
      </c>
      <c r="AA110" s="15" cm="1">
        <f t="array" ref="AA110">_xll.VAData("KDP_US", AA$3, $C110, "VA Actuals", "CD", "IMPL","","")</f>
        <v>1137</v>
      </c>
      <c r="AB110" s="15" cm="1">
        <f t="array" ref="AB110">_xll.VAData("KDP_US", AB$3, $C110, "VA Actuals", "CD", "IMPL","","")</f>
        <v>1163</v>
      </c>
      <c r="AC110" s="15" cm="1">
        <f t="array" ref="AC110">_xll.VAData("KDP_US", AC$3, $C110, "VA Actuals", "CD", "IMPL","","")</f>
        <v>1263</v>
      </c>
      <c r="AD110" s="15" cm="1">
        <f t="array" ref="AD110">_xll.VAData("KDP_US", AD$3, $C110, "VA Actuals", "CD", "IMPL","","")</f>
        <v>1252</v>
      </c>
      <c r="AE110" s="14" cm="1">
        <f t="array" ref="AE110">_xll.VAData("KDP_US", AE$3, $C110, "VA Actuals", "CD", "IMPL","","")</f>
        <v>1252</v>
      </c>
      <c r="AF110" s="15" cm="1">
        <f t="array" ref="AF110">_xll.VAData("KDP_US", AF$3, $C110, "VA Actuals", "CD", "IMPL","","")</f>
        <v>1171</v>
      </c>
      <c r="AG110" s="15" cm="1">
        <f t="array" ref="AG110">_xll.VAData("KDP_US", AG$3, $C110, "VA Actuals", "CD", "IMPL","","")</f>
        <v>1251</v>
      </c>
      <c r="AH110" s="15" cm="1">
        <f t="array" ref="AH110">_xll.VAData("KDP_US", AH$3, $C110, "VA Actuals", "CD", "IMPL","","")</f>
        <v>1274</v>
      </c>
      <c r="AI110" s="15" cm="1">
        <f t="array" ref="AI110">_xll.VAData("KDP_US", AI$3, $C110, "VA Actuals", "CD", "IMPL","","")</f>
        <v>1290</v>
      </c>
      <c r="AJ110" s="14" cm="1">
        <f t="array" ref="AJ110">_xll.VAData("KDP_US", AJ$3, $C110, "VA Actuals", "CD", "IMPL","","")</f>
        <v>1290</v>
      </c>
      <c r="AK110" s="15" cm="1">
        <f t="array" ref="AK110">_xll.VAData("KDP_US", AK$3, $C110, "VA Actuals", "CD", "IMPL","","")</f>
        <v>1183</v>
      </c>
      <c r="AL110" s="15" cm="1">
        <f t="array" ref="AL110">_xll.VAData("KDP_US", AL$3, $C110, "VA Actuals", "CD", "IMPL","","")</f>
        <v>1156</v>
      </c>
    </row>
    <row r="111" spans="2:38" x14ac:dyDescent="0.75">
      <c r="B111" s="5" t="s">
        <v>181</v>
      </c>
      <c r="C111" t="s">
        <v>136</v>
      </c>
      <c r="D111" s="14" cm="1">
        <f t="array" ref="D111">_xll.VAData("KDP_US", D$3, $C111, "VA Actuals", "CD", "IMPL","","")</f>
        <v>1035</v>
      </c>
      <c r="E111" s="14" cm="1">
        <f t="array" ref="E111">_xll.VAData("KDP_US", E$3, $C111, "VA Actuals", "CD", "IMPL","","")</f>
        <v>1076</v>
      </c>
      <c r="F111" s="14" cm="1">
        <f t="array" ref="F111">_xll.VAData("KDP_US", F$3, $C111, "VA Actuals", "CD", "IMPL","","")</f>
        <v>1041</v>
      </c>
      <c r="G111" s="15" cm="1">
        <f t="array" ref="G111">_xll.VAData("KDP_US", G$3, $C111, "VA Actuals", "CD", "IMPL","","")</f>
        <v>1137</v>
      </c>
      <c r="H111" s="15" cm="1">
        <f t="array" ref="H111">_xll.VAData("KDP_US", H$3, $C111, "VA Actuals", "CD", "IMPL","","")</f>
        <v>1268</v>
      </c>
      <c r="I111" s="15" cm="1">
        <f t="array" ref="I111">_xll.VAData("KDP_US", I$3, $C111, "VA Actuals", "CD", "IMPL","","")</f>
        <v>1277</v>
      </c>
      <c r="J111" s="15" cm="1">
        <f t="array" ref="J111">_xll.VAData("KDP_US", J$3, $C111, "VA Actuals", "CD", "IMPL","","")</f>
        <v>1592</v>
      </c>
      <c r="K111" s="14" cm="1">
        <f t="array" ref="K111">_xll.VAData("KDP_US", K$3, $C111, "VA Actuals", "CD", "IMPL","","")</f>
        <v>1592</v>
      </c>
      <c r="L111" s="15" cm="1">
        <f t="array" ref="L111">_xll.VAData("KDP_US", L$3, $C111, "VA Actuals", "CD", "IMPL","","")</f>
        <v>1241</v>
      </c>
      <c r="M111" s="15" cm="1">
        <f t="array" ref="M111">_xll.VAData("KDP_US", M$3, $C111, "VA Actuals", "CD", "IMPL","","")</f>
        <v>1262</v>
      </c>
      <c r="N111" s="15" cm="1">
        <f t="array" ref="N111">_xll.VAData("KDP_US", N$3, $C111, "VA Actuals", "CD", "IMPL","","")</f>
        <v>2514</v>
      </c>
      <c r="O111" s="15" cm="1">
        <f t="array" ref="O111">_xll.VAData("KDP_US", O$3, $C111, "VA Actuals", "CD", "IMPL","","")</f>
        <v>2706</v>
      </c>
      <c r="P111" s="14" cm="1">
        <f t="array" ref="P111">_xll.VAData("KDP_US", P$3, $C111, "VA Actuals", "CD", "IMPL","","")</f>
        <v>2706</v>
      </c>
      <c r="Q111" s="15" cm="1">
        <f t="array" ref="Q111">_xll.VAData("KDP_US", Q$3, $C111, "VA Actuals", "CD", "IMPL","","")</f>
        <v>3081</v>
      </c>
      <c r="R111" s="15" cm="1">
        <f t="array" ref="R111">_xll.VAData("KDP_US", R$3, $C111, "VA Actuals", "CD", "IMPL","","")</f>
        <v>3425</v>
      </c>
      <c r="S111" s="15" cm="1">
        <f t="array" ref="S111">_xll.VAData("KDP_US", S$3, $C111, "VA Actuals", "CD", "IMPL","","")</f>
        <v>3385</v>
      </c>
      <c r="T111" s="15" cm="1">
        <f t="array" ref="T111">_xll.VAData("KDP_US", T$3, $C111, "VA Actuals", "CD", "IMPL","","")</f>
        <v>3621</v>
      </c>
      <c r="U111" s="14" cm="1">
        <f t="array" ref="U111">_xll.VAData("KDP_US", U$3, $C111, "VA Actuals", "CD", "IMPL","","")</f>
        <v>3621</v>
      </c>
      <c r="V111" s="15" cm="1">
        <f t="array" ref="V111">_xll.VAData("KDP_US", V$3, $C111, "VA Actuals", "CD", "IMPL","","")</f>
        <v>3683</v>
      </c>
      <c r="W111" s="15" cm="1">
        <f t="array" ref="W111">_xll.VAData("KDP_US", W$3, $C111, "VA Actuals", "CD", "IMPL","","")</f>
        <v>3920</v>
      </c>
      <c r="X111" s="15" cm="1">
        <f t="array" ref="X111">_xll.VAData("KDP_US", X$3, $C111, "VA Actuals", "CD", "IMPL","","")</f>
        <v>3920</v>
      </c>
      <c r="Y111" s="15" cm="1">
        <f t="array" ref="Y111">_xll.VAData("KDP_US", Y$3, $C111, "VA Actuals", "CD", "IMPL","","")</f>
        <v>4156</v>
      </c>
      <c r="Z111" s="14" cm="1">
        <f t="array" ref="Z111">_xll.VAData("KDP_US", Z$3, $C111, "VA Actuals", "CD", "IMPL","","")</f>
        <v>4156</v>
      </c>
      <c r="AA111" s="15" cm="1">
        <f t="array" ref="AA111">_xll.VAData("KDP_US", AA$3, $C111, "VA Actuals", "CD", "IMPL","","")</f>
        <v>4338</v>
      </c>
      <c r="AB111" s="15" cm="1">
        <f t="array" ref="AB111">_xll.VAData("KDP_US", AB$3, $C111, "VA Actuals", "CD", "IMPL","","")</f>
        <v>4431</v>
      </c>
      <c r="AC111" s="15" cm="1">
        <f t="array" ref="AC111">_xll.VAData("KDP_US", AC$3, $C111, "VA Actuals", "CD", "IMPL","","")</f>
        <v>4534</v>
      </c>
      <c r="AD111" s="15" cm="1">
        <f t="array" ref="AD111">_xll.VAData("KDP_US", AD$3, $C111, "VA Actuals", "CD", "IMPL","","")</f>
        <v>4929</v>
      </c>
      <c r="AE111" s="14" cm="1">
        <f t="array" ref="AE111">_xll.VAData("KDP_US", AE$3, $C111, "VA Actuals", "CD", "IMPL","","")</f>
        <v>4929</v>
      </c>
      <c r="AF111" s="15" cm="1">
        <f t="array" ref="AF111">_xll.VAData("KDP_US", AF$3, $C111, "VA Actuals", "CD", "IMPL","","")</f>
        <v>5277</v>
      </c>
      <c r="AG111" s="15" cm="1">
        <f t="array" ref="AG111">_xll.VAData("KDP_US", AG$3, $C111, "VA Actuals", "CD", "IMPL","","")</f>
        <v>5510</v>
      </c>
      <c r="AH111" s="15" cm="1">
        <f t="array" ref="AH111">_xll.VAData("KDP_US", AH$3, $C111, "VA Actuals", "CD", "IMPL","","")</f>
        <v>5959</v>
      </c>
      <c r="AI111" s="15" cm="1">
        <f t="array" ref="AI111">_xll.VAData("KDP_US", AI$3, $C111, "VA Actuals", "CD", "IMPL","","")</f>
        <v>5891</v>
      </c>
      <c r="AJ111" s="14" cm="1">
        <f t="array" ref="AJ111">_xll.VAData("KDP_US", AJ$3, $C111, "VA Actuals", "CD", "IMPL","","")</f>
        <v>5891</v>
      </c>
      <c r="AK111" s="15" cm="1">
        <f t="array" ref="AK111">_xll.VAData("KDP_US", AK$3, $C111, "VA Actuals", "CD", "IMPL","","")</f>
        <v>5634</v>
      </c>
      <c r="AL111" s="15" cm="1">
        <f t="array" ref="AL111">_xll.VAData("KDP_US", AL$3, $C111, "VA Actuals", "CD", "IMPL","","")</f>
        <v>5265</v>
      </c>
    </row>
    <row r="112" spans="2:38" x14ac:dyDescent="0.75">
      <c r="B112" s="3" t="s">
        <v>107</v>
      </c>
      <c r="D112" s="14"/>
      <c r="E112" s="14"/>
      <c r="F112" s="14"/>
      <c r="G112" s="15"/>
      <c r="H112" s="15"/>
      <c r="I112" s="15"/>
      <c r="J112" s="15"/>
      <c r="K112" s="14"/>
      <c r="L112" s="15"/>
      <c r="M112" s="15"/>
      <c r="N112" s="15"/>
      <c r="O112" s="15"/>
      <c r="P112" s="14"/>
      <c r="Q112" s="15"/>
      <c r="R112" s="15"/>
      <c r="S112" s="15"/>
      <c r="T112" s="15"/>
      <c r="U112" s="14"/>
      <c r="V112" s="15"/>
      <c r="W112" s="15"/>
      <c r="X112" s="15"/>
      <c r="Y112" s="15"/>
      <c r="Z112" s="14"/>
      <c r="AA112" s="15"/>
      <c r="AB112" s="15"/>
      <c r="AC112" s="15"/>
      <c r="AD112" s="15"/>
      <c r="AE112" s="14"/>
      <c r="AF112" s="15"/>
      <c r="AG112" s="15"/>
      <c r="AH112" s="15"/>
      <c r="AI112" s="15"/>
      <c r="AJ112" s="14"/>
      <c r="AK112" s="15"/>
      <c r="AL112" s="15"/>
    </row>
    <row r="113" spans="2:38" x14ac:dyDescent="0.75">
      <c r="B113" s="3" t="s">
        <v>182</v>
      </c>
      <c r="D113" s="14"/>
      <c r="E113" s="14"/>
      <c r="F113" s="14"/>
      <c r="G113" s="15"/>
      <c r="H113" s="15"/>
      <c r="I113" s="15"/>
      <c r="J113" s="15"/>
      <c r="K113" s="14"/>
      <c r="L113" s="15"/>
      <c r="M113" s="15"/>
      <c r="N113" s="15"/>
      <c r="O113" s="15"/>
      <c r="P113" s="14"/>
      <c r="Q113" s="15"/>
      <c r="R113" s="15"/>
      <c r="S113" s="15"/>
      <c r="T113" s="15"/>
      <c r="U113" s="14"/>
      <c r="V113" s="15"/>
      <c r="W113" s="15"/>
      <c r="X113" s="15"/>
      <c r="Y113" s="15"/>
      <c r="Z113" s="14"/>
      <c r="AA113" s="15"/>
      <c r="AB113" s="15"/>
      <c r="AC113" s="15"/>
      <c r="AD113" s="15"/>
      <c r="AE113" s="14"/>
      <c r="AF113" s="15"/>
      <c r="AG113" s="15"/>
      <c r="AH113" s="15"/>
      <c r="AI113" s="15"/>
      <c r="AJ113" s="14"/>
      <c r="AK113" s="15"/>
      <c r="AL113" s="15"/>
    </row>
    <row r="114" spans="2:38" x14ac:dyDescent="0.75">
      <c r="B114" s="5" t="s">
        <v>108</v>
      </c>
      <c r="C114" t="s">
        <v>137</v>
      </c>
      <c r="D114" s="14" cm="1">
        <f t="array" ref="D114">_xll.VAData("KDP_US", D$3, $C114, "VA Actuals", "CD", "IMPL","","")</f>
        <v>2588</v>
      </c>
      <c r="E114" s="14" cm="1">
        <f t="array" ref="E114">_xll.VAData("KDP_US", E$3, $C114, "VA Actuals", "CD", "IMPL","","")</f>
        <v>2875</v>
      </c>
      <c r="F114" s="14" cm="1">
        <f t="array" ref="F114">_xll.VAData("KDP_US", F$3, $C114, "VA Actuals", "CD", "IMPL","","")</f>
        <v>4468</v>
      </c>
      <c r="G114" s="15" cm="1">
        <f t="array" ref="G114">_xll.VAData("KDP_US", G$3, $C114, "VA Actuals", "CD", "IMPL","","")</f>
        <v>4467</v>
      </c>
      <c r="H114" s="15" cm="1">
        <f t="array" ref="H114">_xll.VAData("KDP_US", H$3, $C114, "VA Actuals", "CD", "IMPL","","")</f>
        <v>4391</v>
      </c>
      <c r="I114" s="15" cm="1">
        <f t="array" ref="I114">_xll.VAData("KDP_US", I$3, $C114, "VA Actuals", "CD", "IMPL","","")</f>
        <v>4399</v>
      </c>
      <c r="J114" s="15" cm="1">
        <f t="array" ref="J114">_xll.VAData("KDP_US", J$3, $C114, "VA Actuals", "CD", "IMPL","","")</f>
        <v>3064</v>
      </c>
      <c r="K114" s="14" cm="1">
        <f t="array" ref="K114">_xll.VAData("KDP_US", K$3, $C114, "VA Actuals", "CD", "IMPL","","")</f>
        <v>4879</v>
      </c>
      <c r="L114" s="15" cm="1">
        <f t="array" ref="L114">_xll.VAData("KDP_US", L$3, $C114, "VA Actuals", "CD", "IMPL","","")</f>
        <v>4135</v>
      </c>
      <c r="M114" s="15" cm="1">
        <f t="array" ref="M114">_xll.VAData("KDP_US", M$3, $C114, "VA Actuals", "CD", "IMPL","","")</f>
        <v>4126</v>
      </c>
      <c r="N114" s="15" cm="1">
        <f t="array" ref="N114">_xll.VAData("KDP_US", N$3, $C114, "VA Actuals", "CD", "IMPL","","")</f>
        <v>14275</v>
      </c>
      <c r="O114" s="15" cm="1">
        <f t="array" ref="O114">_xll.VAData("KDP_US", O$3, $C114, "VA Actuals", "CD", "IMPL","","")</f>
        <v>14201</v>
      </c>
      <c r="P114" s="14" cm="1">
        <f t="array" ref="P114">_xll.VAData("KDP_US", P$3, $C114, "VA Actuals", "CD", "IMPL","","")</f>
        <v>14201</v>
      </c>
      <c r="Q114" s="15" cm="1">
        <f t="array" ref="Q114">_xll.VAData("KDP_US", Q$3, $C114, "VA Actuals", "CD", "IMPL","","")</f>
        <v>13246</v>
      </c>
      <c r="R114" s="15" cm="1">
        <f t="array" ref="R114">_xll.VAData("KDP_US", R$3, $C114, "VA Actuals", "CD", "IMPL","","")</f>
        <v>13164</v>
      </c>
      <c r="S114" s="15" cm="1">
        <f t="array" ref="S114">_xll.VAData("KDP_US", S$3, $C114, "VA Actuals", "CD", "IMPL","","")</f>
        <v>13147</v>
      </c>
      <c r="T114" s="15" cm="1">
        <f t="array" ref="T114">_xll.VAData("KDP_US", T$3, $C114, "VA Actuals", "CD", "IMPL","","")</f>
        <v>12827</v>
      </c>
      <c r="U114" s="14" cm="1">
        <f t="array" ref="U114">_xll.VAData("KDP_US", U$3, $C114, "VA Actuals", "CD", "IMPL","","")</f>
        <v>12827</v>
      </c>
      <c r="V114" s="15" cm="1">
        <f t="array" ref="V114">_xll.VAData("KDP_US", V$3, $C114, "VA Actuals", "CD", "IMPL","","")</f>
        <v>12431</v>
      </c>
      <c r="W114" s="15" cm="1">
        <f t="array" ref="W114">_xll.VAData("KDP_US", W$3, $C114, "VA Actuals", "CD", "IMPL","","")</f>
        <v>11849</v>
      </c>
      <c r="X114" s="15" cm="1">
        <f t="array" ref="X114">_xll.VAData("KDP_US", X$3, $C114, "VA Actuals", "CD", "IMPL","","")</f>
        <v>11707</v>
      </c>
      <c r="Y114" s="15" cm="1">
        <f t="array" ref="Y114">_xll.VAData("KDP_US", Y$3, $C114, "VA Actuals", "CD", "IMPL","","")</f>
        <v>11143</v>
      </c>
      <c r="Z114" s="14" cm="1">
        <f t="array" ref="Z114">_xll.VAData("KDP_US", Z$3, $C114, "VA Actuals", "CD", "IMPL","","")</f>
        <v>11143</v>
      </c>
      <c r="AA114" s="15" cm="1">
        <f t="array" ref="AA114">_xll.VAData("KDP_US", AA$3, $C114, "VA Actuals", "CD", "IMPL","","")</f>
        <v>11715</v>
      </c>
      <c r="AB114" s="15" cm="1">
        <f t="array" ref="AB114">_xll.VAData("KDP_US", AB$3, $C114, "VA Actuals", "CD", "IMPL","","")</f>
        <v>11721</v>
      </c>
      <c r="AC114" s="15" cm="1">
        <f t="array" ref="AC114">_xll.VAData("KDP_US", AC$3, $C114, "VA Actuals", "CD", "IMPL","","")</f>
        <v>11727</v>
      </c>
      <c r="AD114" s="15" cm="1">
        <f t="array" ref="AD114">_xll.VAData("KDP_US", AD$3, $C114, "VA Actuals", "CD", "IMPL","","")</f>
        <v>11578</v>
      </c>
      <c r="AE114" s="14" cm="1">
        <f t="array" ref="AE114">_xll.VAData("KDP_US", AE$3, $C114, "VA Actuals", "CD", "IMPL","","")</f>
        <v>11578</v>
      </c>
      <c r="AF114" s="15" cm="1">
        <f t="array" ref="AF114">_xll.VAData("KDP_US", AF$3, $C114, "VA Actuals", "CD", "IMPL","","")</f>
        <v>11584</v>
      </c>
      <c r="AG114" s="15" cm="1">
        <f t="array" ref="AG114">_xll.VAData("KDP_US", AG$3, $C114, "VA Actuals", "CD", "IMPL","","")</f>
        <v>11555</v>
      </c>
      <c r="AH114" s="15" cm="1">
        <f t="array" ref="AH114">_xll.VAData("KDP_US", AH$3, $C114, "VA Actuals", "CD", "IMPL","","")</f>
        <v>11561</v>
      </c>
      <c r="AI114" s="15" cm="1">
        <f t="array" ref="AI114">_xll.VAData("KDP_US", AI$3, $C114, "VA Actuals", "CD", "IMPL","","")</f>
        <v>11072</v>
      </c>
      <c r="AJ114" s="14" cm="1">
        <f t="array" ref="AJ114">_xll.VAData("KDP_US", AJ$3, $C114, "VA Actuals", "CD", "IMPL","","")</f>
        <v>11072</v>
      </c>
      <c r="AK114" s="15" cm="1">
        <f t="array" ref="AK114">_xll.VAData("KDP_US", AK$3, $C114, "VA Actuals", "CD", "IMPL","","")</f>
        <v>9929</v>
      </c>
      <c r="AL114" s="15" cm="1">
        <f t="array" ref="AL114">_xll.VAData("KDP_US", AL$3, $C114, "VA Actuals", "CD", "IMPL","","")</f>
        <v>9934</v>
      </c>
    </row>
    <row r="115" spans="2:38" x14ac:dyDescent="0.75">
      <c r="B115" s="5" t="s">
        <v>109</v>
      </c>
      <c r="C115" t="s">
        <v>138</v>
      </c>
      <c r="D115" s="14" cm="1">
        <f t="array" ref="D115">_xll.VAData("KDP_US", D$3, $C115, "VA Actuals", "CD", "IMPL","","")</f>
        <v>801</v>
      </c>
      <c r="E115" s="14" cm="1">
        <f t="array" ref="E115">_xll.VAData("KDP_US", E$3, $C115, "VA Actuals", "CD", "IMPL","","")</f>
        <v>787</v>
      </c>
      <c r="F115" s="14" cm="1">
        <f t="array" ref="F115">_xll.VAData("KDP_US", F$3, $C115, "VA Actuals", "CD", "IMPL","","")</f>
        <v>812</v>
      </c>
      <c r="G115" s="15" cm="1">
        <f t="array" ref="G115">_xll.VAData("KDP_US", G$3, $C115, "VA Actuals", "CD", "IMPL","","")</f>
        <v>842</v>
      </c>
      <c r="H115" s="15" cm="1">
        <f t="array" ref="H115">_xll.VAData("KDP_US", H$3, $C115, "VA Actuals", "CD", "IMPL","","")</f>
        <v>859</v>
      </c>
      <c r="I115" s="15" cm="1">
        <f t="array" ref="I115">_xll.VAData("KDP_US", I$3, $C115, "VA Actuals", "CD", "IMPL","","")</f>
        <v>877</v>
      </c>
      <c r="J115" s="15" cm="1">
        <f t="array" ref="J115">_xll.VAData("KDP_US", J$3, $C115, "VA Actuals", "CD", "IMPL","","")</f>
        <v>1031</v>
      </c>
      <c r="K115" s="14" cm="1">
        <f t="array" ref="K115">_xll.VAData("KDP_US", K$3, $C115, "VA Actuals", "CD", "IMPL","","")</f>
        <v>1031</v>
      </c>
      <c r="L115" s="15" cm="1">
        <f t="array" ref="L115">_xll.VAData("KDP_US", L$3, $C115, "VA Actuals", "CD", "IMPL","","")</f>
        <v>623</v>
      </c>
      <c r="M115" s="15" cm="1">
        <f t="array" ref="M115">_xll.VAData("KDP_US", M$3, $C115, "VA Actuals", "CD", "IMPL","","")</f>
        <v>645</v>
      </c>
      <c r="N115" s="15" cm="1">
        <f t="array" ref="N115">_xll.VAData("KDP_US", N$3, $C115, "VA Actuals", "CD", "IMPL","","")</f>
        <v>5974</v>
      </c>
      <c r="O115" s="15" cm="1">
        <f t="array" ref="O115">_xll.VAData("KDP_US", O$3, $C115, "VA Actuals", "CD", "IMPL","","")</f>
        <v>5923</v>
      </c>
      <c r="P115" s="14" cm="1">
        <f t="array" ref="P115">_xll.VAData("KDP_US", P$3, $C115, "VA Actuals", "CD", "IMPL","","")</f>
        <v>5923</v>
      </c>
      <c r="Q115" s="15" cm="1">
        <f t="array" ref="Q115">_xll.VAData("KDP_US", Q$3, $C115, "VA Actuals", "CD", "IMPL","","")</f>
        <v>5940</v>
      </c>
      <c r="R115" s="15" cm="1">
        <f t="array" ref="R115">_xll.VAData("KDP_US", R$3, $C115, "VA Actuals", "CD", "IMPL","","")</f>
        <v>6034</v>
      </c>
      <c r="S115" s="15" cm="1">
        <f t="array" ref="S115">_xll.VAData("KDP_US", S$3, $C115, "VA Actuals", "CD", "IMPL","","")</f>
        <v>6022</v>
      </c>
      <c r="T115" s="15" cm="1">
        <f t="array" ref="T115">_xll.VAData("KDP_US", T$3, $C115, "VA Actuals", "CD", "IMPL","","")</f>
        <v>6030</v>
      </c>
      <c r="U115" s="14" cm="1">
        <f t="array" ref="U115">_xll.VAData("KDP_US", U$3, $C115, "VA Actuals", "CD", "IMPL","","")</f>
        <v>6030</v>
      </c>
      <c r="V115" s="15" cm="1">
        <f t="array" ref="V115">_xll.VAData("KDP_US", V$3, $C115, "VA Actuals", "CD", "IMPL","","")</f>
        <v>5917</v>
      </c>
      <c r="W115" s="15" cm="1">
        <f t="array" ref="W115">_xll.VAData("KDP_US", W$3, $C115, "VA Actuals", "CD", "IMPL","","")</f>
        <v>5922</v>
      </c>
      <c r="X115" s="15" cm="1">
        <f t="array" ref="X115">_xll.VAData("KDP_US", X$3, $C115, "VA Actuals", "CD", "IMPL","","")</f>
        <v>5945</v>
      </c>
      <c r="Y115" s="15" cm="1">
        <f t="array" ref="Y115">_xll.VAData("KDP_US", Y$3, $C115, "VA Actuals", "CD", "IMPL","","")</f>
        <v>5993</v>
      </c>
      <c r="Z115" s="14" cm="1">
        <f t="array" ref="Z115">_xll.VAData("KDP_US", Z$3, $C115, "VA Actuals", "CD", "IMPL","","")</f>
        <v>5993</v>
      </c>
      <c r="AA115" s="15" cm="1">
        <f t="array" ref="AA115">_xll.VAData("KDP_US", AA$3, $C115, "VA Actuals", "CD", "IMPL","","")</f>
        <v>6025</v>
      </c>
      <c r="AB115" s="15" cm="1">
        <f t="array" ref="AB115">_xll.VAData("KDP_US", AB$3, $C115, "VA Actuals", "CD", "IMPL","","")</f>
        <v>5972</v>
      </c>
      <c r="AC115" s="15" cm="1">
        <f t="array" ref="AC115">_xll.VAData("KDP_US", AC$3, $C115, "VA Actuals", "CD", "IMPL","","")</f>
        <v>5940</v>
      </c>
      <c r="AD115" s="15" cm="1">
        <f t="array" ref="AD115">_xll.VAData("KDP_US", AD$3, $C115, "VA Actuals", "CD", "IMPL","","")</f>
        <v>5986</v>
      </c>
      <c r="AE115" s="14" cm="1">
        <f t="array" ref="AE115">_xll.VAData("KDP_US", AE$3, $C115, "VA Actuals", "CD", "IMPL","","")</f>
        <v>5986</v>
      </c>
      <c r="AF115" s="15" cm="1">
        <f t="array" ref="AF115">_xll.VAData("KDP_US", AF$3, $C115, "VA Actuals", "CD", "IMPL","","")</f>
        <v>6054</v>
      </c>
      <c r="AG115" s="15" cm="1">
        <f t="array" ref="AG115">_xll.VAData("KDP_US", AG$3, $C115, "VA Actuals", "CD", "IMPL","","")</f>
        <v>6007</v>
      </c>
      <c r="AH115" s="15" cm="1">
        <f t="array" ref="AH115">_xll.VAData("KDP_US", AH$3, $C115, "VA Actuals", "CD", "IMPL","","")</f>
        <v>5745</v>
      </c>
      <c r="AI115" s="15" cm="1">
        <f t="array" ref="AI115">_xll.VAData("KDP_US", AI$3, $C115, "VA Actuals", "CD", "IMPL","","")</f>
        <v>5739</v>
      </c>
      <c r="AJ115" s="14" cm="1">
        <f t="array" ref="AJ115">_xll.VAData("KDP_US", AJ$3, $C115, "VA Actuals", "CD", "IMPL","","")</f>
        <v>5739</v>
      </c>
      <c r="AK115" s="15" cm="1">
        <f t="array" ref="AK115">_xll.VAData("KDP_US", AK$3, $C115, "VA Actuals", "CD", "IMPL","","")</f>
        <v>5739</v>
      </c>
      <c r="AL115" s="15" cm="1">
        <f t="array" ref="AL115">_xll.VAData("KDP_US", AL$3, $C115, "VA Actuals", "CD", "IMPL","","")</f>
        <v>5736</v>
      </c>
    </row>
    <row r="116" spans="2:38" x14ac:dyDescent="0.75">
      <c r="B116" s="5" t="s">
        <v>183</v>
      </c>
      <c r="C116" t="s">
        <v>139</v>
      </c>
      <c r="D116" s="14" cm="1">
        <f t="array" ref="D116">_xll.VAData("KDP_US", D$3, $C116, "VA Actuals", "CD", "IMPL","","")</f>
        <v>1552</v>
      </c>
      <c r="E116" s="14" cm="1">
        <f t="array" ref="E116">_xll.VAData("KDP_US", E$3, $C116, "VA Actuals", "CD", "IMPL","","")</f>
        <v>1441</v>
      </c>
      <c r="F116" s="14" cm="1">
        <f t="array" ref="F116">_xll.VAData("KDP_US", F$3, $C116, "VA Actuals", "CD", "IMPL","","")</f>
        <v>1326</v>
      </c>
      <c r="G116" s="15" cm="1">
        <f t="array" ref="G116">_xll.VAData("KDP_US", G$3, $C116, "VA Actuals", "CD", "IMPL","","")</f>
        <v>1359</v>
      </c>
      <c r="H116" s="15" cm="1">
        <f t="array" ref="H116">_xll.VAData("KDP_US", H$3, $C116, "VA Actuals", "CD", "IMPL","","")</f>
        <v>1334</v>
      </c>
      <c r="I116" s="15" cm="1">
        <f t="array" ref="I116">_xll.VAData("KDP_US", I$3, $C116, "VA Actuals", "CD", "IMPL","","")</f>
        <v>1275</v>
      </c>
      <c r="J116" s="15" cm="1">
        <f t="array" ref="J116">_xll.VAData("KDP_US", J$3, $C116, "VA Actuals", "CD", "IMPL","","")</f>
        <v>1968</v>
      </c>
      <c r="K116" s="14" cm="1">
        <f t="array" ref="K116">_xll.VAData("KDP_US", K$3, $C116, "VA Actuals", "CD", "IMPL","","")</f>
        <v>1968</v>
      </c>
      <c r="L116" s="15" cm="1">
        <f t="array" ref="L116">_xll.VAData("KDP_US", L$3, $C116, "VA Actuals", "CD", "IMPL","","")</f>
        <v>1311</v>
      </c>
      <c r="M116" s="15" cm="1">
        <f t="array" ref="M116">_xll.VAData("KDP_US", M$3, $C116, "VA Actuals", "CD", "IMPL","","")</f>
        <v>1227</v>
      </c>
      <c r="N116" s="15" cm="1">
        <f t="array" ref="N116">_xll.VAData("KDP_US", N$3, $C116, "VA Actuals", "CD", "IMPL","","")</f>
        <v>549</v>
      </c>
      <c r="O116" s="15" cm="1">
        <f t="array" ref="O116">_xll.VAData("KDP_US", O$3, $C116, "VA Actuals", "CD", "IMPL","","")</f>
        <v>559</v>
      </c>
      <c r="P116" s="14" cm="1">
        <f t="array" ref="P116">_xll.VAData("KDP_US", P$3, $C116, "VA Actuals", "CD", "IMPL","","")</f>
        <v>559</v>
      </c>
      <c r="Q116" s="15" cm="1">
        <f t="array" ref="Q116">_xll.VAData("KDP_US", Q$3, $C116, "VA Actuals", "CD", "IMPL","","")</f>
        <v>775</v>
      </c>
      <c r="R116" s="15" cm="1">
        <f t="array" ref="R116">_xll.VAData("KDP_US", R$3, $C116, "VA Actuals", "CD", "IMPL","","")</f>
        <v>771</v>
      </c>
      <c r="S116" s="15" cm="1">
        <f t="array" ref="S116">_xll.VAData("KDP_US", S$3, $C116, "VA Actuals", "CD", "IMPL","","")</f>
        <v>767</v>
      </c>
      <c r="T116" s="15" cm="1">
        <f t="array" ref="T116">_xll.VAData("KDP_US", T$3, $C116, "VA Actuals", "CD", "IMPL","","")</f>
        <v>930</v>
      </c>
      <c r="U116" s="14" cm="1">
        <f t="array" ref="U116">_xll.VAData("KDP_US", U$3, $C116, "VA Actuals", "CD", "IMPL","","")</f>
        <v>930</v>
      </c>
      <c r="V116" s="15" cm="1">
        <f t="array" ref="V116">_xll.VAData("KDP_US", V$3, $C116, "VA Actuals", "CD", "IMPL","","")</f>
        <v>997</v>
      </c>
      <c r="W116" s="15" cm="1">
        <f t="array" ref="W116">_xll.VAData("KDP_US", W$3, $C116, "VA Actuals", "CD", "IMPL","","")</f>
        <v>1034</v>
      </c>
      <c r="X116" s="15" cm="1">
        <f t="array" ref="X116">_xll.VAData("KDP_US", X$3, $C116, "VA Actuals", "CD", "IMPL","","")</f>
        <v>1103</v>
      </c>
      <c r="Y116" s="15" cm="1">
        <f t="array" ref="Y116">_xll.VAData("KDP_US", Y$3, $C116, "VA Actuals", "CD", "IMPL","","")</f>
        <v>1119</v>
      </c>
      <c r="Z116" s="14" cm="1">
        <f t="array" ref="Z116">_xll.VAData("KDP_US", Z$3, $C116, "VA Actuals", "CD", "IMPL","","")</f>
        <v>1119</v>
      </c>
      <c r="AA116" s="15" cm="1">
        <f t="array" ref="AA116">_xll.VAData("KDP_US", AA$3, $C116, "VA Actuals", "CD", "IMPL","","")</f>
        <v>1367</v>
      </c>
      <c r="AB116" s="15" cm="1">
        <f t="array" ref="AB116">_xll.VAData("KDP_US", AB$3, $C116, "VA Actuals", "CD", "IMPL","","")</f>
        <v>1491</v>
      </c>
      <c r="AC116" s="15" cm="1">
        <f t="array" ref="AC116">_xll.VAData("KDP_US", AC$3, $C116, "VA Actuals", "CD", "IMPL","","")</f>
        <v>1463</v>
      </c>
      <c r="AD116" s="15" cm="1">
        <f t="array" ref="AD116">_xll.VAData("KDP_US", AD$3, $C116, "VA Actuals", "CD", "IMPL","","")</f>
        <v>1577</v>
      </c>
      <c r="AE116" s="14" cm="1">
        <f t="array" ref="AE116">_xll.VAData("KDP_US", AE$3, $C116, "VA Actuals", "CD", "IMPL","","")</f>
        <v>1577</v>
      </c>
      <c r="AF116" s="15" cm="1">
        <f t="array" ref="AF116">_xll.VAData("KDP_US", AF$3, $C116, "VA Actuals", "CD", "IMPL","","")</f>
        <v>1647</v>
      </c>
      <c r="AG116" s="15" cm="1">
        <f t="array" ref="AG116">_xll.VAData("KDP_US", AG$3, $C116, "VA Actuals", "CD", "IMPL","","")</f>
        <v>1714</v>
      </c>
      <c r="AH116" s="15" cm="1">
        <f t="array" ref="AH116">_xll.VAData("KDP_US", AH$3, $C116, "VA Actuals", "CD", "IMPL","","")</f>
        <v>1800</v>
      </c>
      <c r="AI116" s="15" cm="1">
        <f t="array" ref="AI116">_xll.VAData("KDP_US", AI$3, $C116, "VA Actuals", "CD", "IMPL","","")</f>
        <v>1825</v>
      </c>
      <c r="AJ116" s="14" cm="1">
        <f t="array" ref="AJ116">_xll.VAData("KDP_US", AJ$3, $C116, "VA Actuals", "CD", "IMPL","","")</f>
        <v>1825</v>
      </c>
      <c r="AK116" s="15" cm="1">
        <f t="array" ref="AK116">_xll.VAData("KDP_US", AK$3, $C116, "VA Actuals", "CD", "IMPL","","")</f>
        <v>1763</v>
      </c>
      <c r="AL116" s="15" cm="1">
        <f t="array" ref="AL116">_xll.VAData("KDP_US", AL$3, $C116, "VA Actuals", "CD", "IMPL","","")</f>
        <v>1808</v>
      </c>
    </row>
    <row r="117" spans="2:38" x14ac:dyDescent="0.75">
      <c r="B117" s="6" t="s">
        <v>184</v>
      </c>
      <c r="C117" t="s">
        <v>140</v>
      </c>
      <c r="D117" s="14" cm="1">
        <f t="array" ref="D117">_xll.VAData("KDP_US", D$3, $C117, "VA Actuals", "CD", "IMPL","","")</f>
        <v>5979</v>
      </c>
      <c r="E117" s="14" cm="1">
        <f t="array" ref="E117">_xll.VAData("KDP_US", E$3, $C117, "VA Actuals", "CD", "IMPL","","")</f>
        <v>6686</v>
      </c>
      <c r="F117" s="14" cm="1">
        <f t="array" ref="F117">_xll.VAData("KDP_US", F$3, $C117, "VA Actuals", "CD", "IMPL","","")</f>
        <v>7657</v>
      </c>
      <c r="G117" s="15" cm="1">
        <f t="array" ref="G117">_xll.VAData("KDP_US", G$3, $C117, "VA Actuals", "CD", "IMPL","","")</f>
        <v>7815</v>
      </c>
      <c r="H117" s="15" cm="1">
        <f t="array" ref="H117">_xll.VAData("KDP_US", H$3, $C117, "VA Actuals", "CD", "IMPL","","")</f>
        <v>8164</v>
      </c>
      <c r="I117" s="15" cm="1">
        <f t="array" ref="I117">_xll.VAData("KDP_US", I$3, $C117, "VA Actuals", "CD", "IMPL","","")</f>
        <v>7910</v>
      </c>
      <c r="J117" s="15" cm="1">
        <f t="array" ref="J117">_xll.VAData("KDP_US", J$3, $C117, "VA Actuals", "CD", "IMPL","","")</f>
        <v>8081</v>
      </c>
      <c r="K117" s="14" cm="1">
        <f t="array" ref="K117">_xll.VAData("KDP_US", K$3, $C117, "VA Actuals", "CD", "IMPL","","")</f>
        <v>8081</v>
      </c>
      <c r="L117" s="15" cm="1">
        <f t="array" ref="L117">_xll.VAData("KDP_US", L$3, $C117, "VA Actuals", "CD", "IMPL","","")</f>
        <v>7693</v>
      </c>
      <c r="M117" s="15" cm="1">
        <f t="array" ref="M117">_xll.VAData("KDP_US", M$3, $C117, "VA Actuals", "CD", "IMPL","","")</f>
        <v>7524</v>
      </c>
      <c r="N117" s="15" cm="1">
        <f t="array" ref="N117">_xll.VAData("KDP_US", N$3, $C117, "VA Actuals", "CD", "IMPL","","")</f>
        <v>26765</v>
      </c>
      <c r="O117" s="15" cm="1">
        <f t="array" ref="O117">_xll.VAData("KDP_US", O$3, $C117, "VA Actuals", "CD", "IMPL","","")</f>
        <v>26385</v>
      </c>
      <c r="P117" s="14" cm="1">
        <f t="array" ref="P117">_xll.VAData("KDP_US", P$3, $C117, "VA Actuals", "CD", "IMPL","","")</f>
        <v>26385</v>
      </c>
      <c r="Q117" s="15" cm="1">
        <f t="array" ref="Q117">_xll.VAData("KDP_US", Q$3, $C117, "VA Actuals", "CD", "IMPL","","")</f>
        <v>26617</v>
      </c>
      <c r="R117" s="15" cm="1">
        <f t="array" ref="R117">_xll.VAData("KDP_US", R$3, $C117, "VA Actuals", "CD", "IMPL","","")</f>
        <v>26664</v>
      </c>
      <c r="S117" s="15" cm="1">
        <f t="array" ref="S117">_xll.VAData("KDP_US", S$3, $C117, "VA Actuals", "CD", "IMPL","","")</f>
        <v>26486</v>
      </c>
      <c r="T117" s="15" cm="1">
        <f t="array" ref="T117">_xll.VAData("KDP_US", T$3, $C117, "VA Actuals", "CD", "IMPL","","")</f>
        <v>26261</v>
      </c>
      <c r="U117" s="14" cm="1">
        <f t="array" ref="U117">_xll.VAData("KDP_US", U$3, $C117, "VA Actuals", "CD", "IMPL","","")</f>
        <v>26261</v>
      </c>
      <c r="V117" s="15" cm="1">
        <f t="array" ref="V117">_xll.VAData("KDP_US", V$3, $C117, "VA Actuals", "CD", "IMPL","","")</f>
        <v>26203</v>
      </c>
      <c r="W117" s="15" cm="1">
        <f t="array" ref="W117">_xll.VAData("KDP_US", W$3, $C117, "VA Actuals", "CD", "IMPL","","")</f>
        <v>26103</v>
      </c>
      <c r="X117" s="15" cm="1">
        <f t="array" ref="X117">_xll.VAData("KDP_US", X$3, $C117, "VA Actuals", "CD", "IMPL","","")</f>
        <v>26084</v>
      </c>
      <c r="Y117" s="15" cm="1">
        <f t="array" ref="Y117">_xll.VAData("KDP_US", Y$3, $C117, "VA Actuals", "CD", "IMPL","","")</f>
        <v>25949</v>
      </c>
      <c r="Z117" s="14" cm="1">
        <f t="array" ref="Z117">_xll.VAData("KDP_US", Z$3, $C117, "VA Actuals", "CD", "IMPL","","")</f>
        <v>25949</v>
      </c>
      <c r="AA117" s="15" cm="1">
        <f t="array" ref="AA117">_xll.VAData("KDP_US", AA$3, $C117, "VA Actuals", "CD", "IMPL","","")</f>
        <v>26332</v>
      </c>
      <c r="AB117" s="15" cm="1">
        <f t="array" ref="AB117">_xll.VAData("KDP_US", AB$3, $C117, "VA Actuals", "CD", "IMPL","","")</f>
        <v>26101</v>
      </c>
      <c r="AC117" s="15" cm="1">
        <f t="array" ref="AC117">_xll.VAData("KDP_US", AC$3, $C117, "VA Actuals", "CD", "IMPL","","")</f>
        <v>25925</v>
      </c>
      <c r="AD117" s="15" cm="1">
        <f t="array" ref="AD117">_xll.VAData("KDP_US", AD$3, $C117, "VA Actuals", "CD", "IMPL","","")</f>
        <v>25626</v>
      </c>
      <c r="AE117" s="14" cm="1">
        <f t="array" ref="AE117">_xll.VAData("KDP_US", AE$3, $C117, "VA Actuals", "CD", "IMPL","","")</f>
        <v>25626</v>
      </c>
      <c r="AF117" s="15" cm="1">
        <f t="array" ref="AF117">_xll.VAData("KDP_US", AF$3, $C117, "VA Actuals", "CD", "IMPL","","")</f>
        <v>25733</v>
      </c>
      <c r="AG117" s="15" cm="1">
        <f t="array" ref="AG117">_xll.VAData("KDP_US", AG$3, $C117, "VA Actuals", "CD", "IMPL","","")</f>
        <v>26037</v>
      </c>
      <c r="AH117" s="15" cm="1">
        <f t="array" ref="AH117">_xll.VAData("KDP_US", AH$3, $C117, "VA Actuals", "CD", "IMPL","","")</f>
        <v>26339</v>
      </c>
      <c r="AI117" s="15" cm="1">
        <f t="array" ref="AI117">_xll.VAData("KDP_US", AI$3, $C117, "VA Actuals", "CD", "IMPL","","")</f>
        <v>26712</v>
      </c>
      <c r="AJ117" s="14" cm="1">
        <f t="array" ref="AJ117">_xll.VAData("KDP_US", AJ$3, $C117, "VA Actuals", "CD", "IMPL","","")</f>
        <v>26712</v>
      </c>
      <c r="AK117" s="15" cm="1">
        <f t="array" ref="AK117">_xll.VAData("KDP_US", AK$3, $C117, "VA Actuals", "CD", "IMPL","","")</f>
        <v>26558</v>
      </c>
      <c r="AL117" s="15" cm="1">
        <f t="array" ref="AL117">_xll.VAData("KDP_US", AL$3, $C117, "VA Actuals", "CD", "IMPL","","")</f>
        <v>26534</v>
      </c>
    </row>
    <row r="118" spans="2:38" x14ac:dyDescent="0.75">
      <c r="D118" s="14"/>
      <c r="E118" s="14"/>
      <c r="F118" s="14"/>
      <c r="G118" s="15"/>
      <c r="H118" s="15"/>
      <c r="I118" s="15"/>
      <c r="J118" s="15"/>
      <c r="K118" s="14"/>
      <c r="L118" s="15"/>
      <c r="M118" s="15"/>
      <c r="N118" s="15"/>
      <c r="O118" s="15"/>
      <c r="P118" s="14"/>
      <c r="Q118" s="15"/>
      <c r="R118" s="15"/>
      <c r="S118" s="15"/>
      <c r="T118" s="15"/>
      <c r="U118" s="14"/>
      <c r="V118" s="15"/>
      <c r="W118" s="15"/>
      <c r="X118" s="15"/>
      <c r="Y118" s="15"/>
      <c r="Z118" s="14"/>
      <c r="AA118" s="15"/>
      <c r="AB118" s="15"/>
      <c r="AC118" s="15"/>
      <c r="AD118" s="15"/>
      <c r="AE118" s="14"/>
      <c r="AF118" s="15"/>
      <c r="AG118" s="15"/>
      <c r="AH118" s="15"/>
      <c r="AI118" s="15"/>
      <c r="AJ118" s="14"/>
      <c r="AK118" s="15"/>
      <c r="AL118" s="15"/>
    </row>
    <row r="119" spans="2:38" x14ac:dyDescent="0.75">
      <c r="D119" s="14"/>
      <c r="E119" s="14"/>
      <c r="F119" s="14"/>
      <c r="G119" s="15"/>
      <c r="H119" s="15"/>
      <c r="I119" s="15"/>
      <c r="J119" s="15"/>
      <c r="K119" s="14"/>
      <c r="L119" s="15"/>
      <c r="M119" s="15"/>
      <c r="N119" s="15"/>
      <c r="O119" s="15"/>
      <c r="P119" s="14"/>
      <c r="Q119" s="15"/>
      <c r="R119" s="15"/>
      <c r="S119" s="15"/>
      <c r="T119" s="15"/>
      <c r="U119" s="14"/>
      <c r="V119" s="15"/>
      <c r="W119" s="15"/>
      <c r="X119" s="15"/>
      <c r="Y119" s="15"/>
      <c r="Z119" s="14"/>
      <c r="AA119" s="15"/>
      <c r="AB119" s="15"/>
      <c r="AC119" s="15"/>
      <c r="AD119" s="15"/>
      <c r="AE119" s="14"/>
      <c r="AF119" s="15"/>
      <c r="AG119" s="15"/>
      <c r="AH119" s="15"/>
      <c r="AI119" s="15"/>
      <c r="AJ119" s="14"/>
      <c r="AK119" s="15"/>
      <c r="AL119" s="15"/>
    </row>
    <row r="120" spans="2:38" x14ac:dyDescent="0.75">
      <c r="B120" t="s">
        <v>114</v>
      </c>
      <c r="D120" s="14"/>
      <c r="E120" s="14"/>
      <c r="F120" s="14"/>
      <c r="G120" s="15"/>
      <c r="H120" s="15"/>
      <c r="I120" s="15"/>
      <c r="J120" s="15"/>
      <c r="K120" s="14"/>
      <c r="L120" s="15"/>
      <c r="M120" s="15"/>
      <c r="N120" s="15"/>
      <c r="O120" s="15"/>
      <c r="P120" s="14"/>
      <c r="Q120" s="15"/>
      <c r="R120" s="15"/>
      <c r="S120" s="15"/>
      <c r="T120" s="15"/>
      <c r="U120" s="14"/>
      <c r="V120" s="15"/>
      <c r="W120" s="15"/>
      <c r="X120" s="15"/>
      <c r="Y120" s="15"/>
      <c r="Z120" s="14"/>
      <c r="AA120" s="15"/>
      <c r="AB120" s="15"/>
      <c r="AC120" s="15"/>
      <c r="AD120" s="15"/>
      <c r="AE120" s="14"/>
      <c r="AF120" s="15"/>
      <c r="AG120" s="15"/>
      <c r="AH120" s="15"/>
      <c r="AI120" s="15"/>
      <c r="AJ120" s="14"/>
      <c r="AK120" s="15"/>
      <c r="AL120" s="15"/>
    </row>
    <row r="121" spans="2:38" x14ac:dyDescent="0.75">
      <c r="B121" s="3" t="s">
        <v>115</v>
      </c>
      <c r="C121" t="s">
        <v>141</v>
      </c>
      <c r="D121" s="14" cm="1">
        <f t="array" ref="D121">_xll.VAData("KDP_US", D$3, $C121, "VA Actuals", "CD", "IMPL","","")</f>
        <v>2</v>
      </c>
      <c r="E121" s="14" cm="1">
        <f t="array" ref="E121">_xll.VAData("KDP_US", E$3, $C121, "VA Actuals", "CD", "IMPL","","")</f>
        <v>2</v>
      </c>
      <c r="F121" s="14" cm="1">
        <f t="array" ref="F121">_xll.VAData("KDP_US", F$3, $C121, "VA Actuals", "CD", "IMPL","","")</f>
        <v>2</v>
      </c>
      <c r="G121" s="15" cm="1">
        <f t="array" ref="G121">_xll.VAData("KDP_US", G$3, $C121, "VA Actuals", "CD", "IMPL","","")</f>
        <v>2</v>
      </c>
      <c r="H121" s="15" cm="1">
        <f t="array" ref="H121">_xll.VAData("KDP_US", H$3, $C121, "VA Actuals", "CD", "IMPL","","")</f>
        <v>2</v>
      </c>
      <c r="I121" s="15" cm="1">
        <f t="array" ref="I121">_xll.VAData("KDP_US", I$3, $C121, "VA Actuals", "CD", "IMPL","","")</f>
        <v>2</v>
      </c>
      <c r="J121" s="15" cm="1">
        <f t="array" ref="J121">_xll.VAData("KDP_US", J$3, $C121, "VA Actuals", "CD", "IMPL","","")</f>
        <v>8</v>
      </c>
      <c r="K121" s="14" cm="1">
        <f t="array" ref="K121">_xll.VAData("KDP_US", K$3, $C121, "VA Actuals", "CD", "IMPL","","")</f>
        <v>8</v>
      </c>
      <c r="L121" s="15" cm="1">
        <f t="array" ref="L121">_xll.VAData("KDP_US", L$3, $C121, "VA Actuals", "CD", "IMPL","","")</f>
        <v>2</v>
      </c>
      <c r="M121" s="15" cm="1">
        <f t="array" ref="M121">_xll.VAData("KDP_US", M$3, $C121, "VA Actuals", "CD", "IMPL","","")</f>
        <v>2</v>
      </c>
      <c r="N121" s="15" cm="1">
        <f t="array" ref="N121">_xll.VAData("KDP_US", N$3, $C121, "VA Actuals", "CD", "IMPL","","")</f>
        <v>14</v>
      </c>
      <c r="O121" s="15" cm="1">
        <f t="array" ref="O121">_xll.VAData("KDP_US", O$3, $C121, "VA Actuals", "CD", "IMPL","","")</f>
        <v>14</v>
      </c>
      <c r="P121" s="14" cm="1">
        <f t="array" ref="P121">_xll.VAData("KDP_US", P$3, $C121, "VA Actuals", "CD", "IMPL","","")</f>
        <v>14</v>
      </c>
      <c r="Q121" s="15" cm="1">
        <f t="array" ref="Q121">_xll.VAData("KDP_US", Q$3, $C121, "VA Actuals", "CD", "IMPL","","")</f>
        <v>14</v>
      </c>
      <c r="R121" s="15" cm="1">
        <f t="array" ref="R121">_xll.VAData("KDP_US", R$3, $C121, "VA Actuals", "CD", "IMPL","","")</f>
        <v>14</v>
      </c>
      <c r="S121" s="15" cm="1">
        <f t="array" ref="S121">_xll.VAData("KDP_US", S$3, $C121, "VA Actuals", "CD", "IMPL","","")</f>
        <v>14</v>
      </c>
      <c r="T121" s="15" cm="1">
        <f t="array" ref="T121">_xll.VAData("KDP_US", T$3, $C121, "VA Actuals", "CD", "IMPL","","")</f>
        <v>14</v>
      </c>
      <c r="U121" s="14" cm="1">
        <f t="array" ref="U121">_xll.VAData("KDP_US", U$3, $C121, "VA Actuals", "CD", "IMPL","","")</f>
        <v>14</v>
      </c>
      <c r="V121" s="15" cm="1">
        <f t="array" ref="V121">_xll.VAData("KDP_US", V$3, $C121, "VA Actuals", "CD", "IMPL","","")</f>
        <v>14</v>
      </c>
      <c r="W121" s="15" cm="1">
        <f t="array" ref="W121">_xll.VAData("KDP_US", W$3, $C121, "VA Actuals", "CD", "IMPL","","")</f>
        <v>14</v>
      </c>
      <c r="X121" s="15" cm="1">
        <f t="array" ref="X121">_xll.VAData("KDP_US", X$3, $C121, "VA Actuals", "CD", "IMPL","","")</f>
        <v>14</v>
      </c>
      <c r="Y121" s="15" cm="1">
        <f t="array" ref="Y121">_xll.VAData("KDP_US", Y$3, $C121, "VA Actuals", "CD", "IMPL","","")</f>
        <v>14</v>
      </c>
      <c r="Z121" s="14" cm="1">
        <f t="array" ref="Z121">_xll.VAData("KDP_US", Z$3, $C121, "VA Actuals", "CD", "IMPL","","")</f>
        <v>14</v>
      </c>
      <c r="AA121" s="15" cm="1">
        <f t="array" ref="AA121">_xll.VAData("KDP_US", AA$3, $C121, "VA Actuals", "CD", "IMPL","","")</f>
        <v>14</v>
      </c>
      <c r="AB121" s="15" cm="1">
        <f t="array" ref="AB121">_xll.VAData("KDP_US", AB$3, $C121, "VA Actuals", "CD", "IMPL","","")</f>
        <v>14</v>
      </c>
      <c r="AC121" s="15" cm="1">
        <f t="array" ref="AC121">_xll.VAData("KDP_US", AC$3, $C121, "VA Actuals", "CD", "IMPL","","")</f>
        <v>14</v>
      </c>
      <c r="AD121" s="15" cm="1">
        <f t="array" ref="AD121">_xll.VAData("KDP_US", AD$3, $C121, "VA Actuals", "CD", "IMPL","","")</f>
        <v>14</v>
      </c>
      <c r="AE121" s="14" cm="1">
        <f t="array" ref="AE121">_xll.VAData("KDP_US", AE$3, $C121, "VA Actuals", "CD", "IMPL","","")</f>
        <v>14</v>
      </c>
      <c r="AF121" s="15" cm="1">
        <f t="array" ref="AF121">_xll.VAData("KDP_US", AF$3, $C121, "VA Actuals", "CD", "IMPL","","")</f>
        <v>14</v>
      </c>
      <c r="AG121" s="15" cm="1">
        <f t="array" ref="AG121">_xll.VAData("KDP_US", AG$3, $C121, "VA Actuals", "CD", "IMPL","","")</f>
        <v>14</v>
      </c>
      <c r="AH121" s="15" cm="1">
        <f t="array" ref="AH121">_xll.VAData("KDP_US", AH$3, $C121, "VA Actuals", "CD", "IMPL","","")</f>
        <v>14</v>
      </c>
      <c r="AI121" s="15" cm="1">
        <f t="array" ref="AI121">_xll.VAData("KDP_US", AI$3, $C121, "VA Actuals", "CD", "IMPL","","")</f>
        <v>14</v>
      </c>
      <c r="AJ121" s="14" cm="1">
        <f t="array" ref="AJ121">_xll.VAData("KDP_US", AJ$3, $C121, "VA Actuals", "CD", "IMPL","","")</f>
        <v>14</v>
      </c>
      <c r="AK121" s="15" cm="1">
        <f t="array" ref="AK121">_xll.VAData("KDP_US", AK$3, $C121, "VA Actuals", "CD", "IMPL","","")</f>
        <v>14</v>
      </c>
      <c r="AL121" s="15" cm="1">
        <f t="array" ref="AL121">_xll.VAData("KDP_US", AL$3, $C121, "VA Actuals", "CD", "IMPL","","")</f>
        <v>14</v>
      </c>
    </row>
    <row r="122" spans="2:38" x14ac:dyDescent="0.75">
      <c r="B122" s="3" t="s">
        <v>116</v>
      </c>
      <c r="C122" t="s">
        <v>142</v>
      </c>
      <c r="D122" s="14" t="str" cm="1">
        <f t="array" ref="D122">_xll.VAData("KDP_US", D$3, $C122, "VA Actuals", "CD", "IMPL","","")</f>
        <v>-</v>
      </c>
      <c r="E122" s="14" t="str" cm="1">
        <f t="array" ref="E122">_xll.VAData("KDP_US", E$3, $C122, "VA Actuals", "CD", "IMPL","","")</f>
        <v>-</v>
      </c>
      <c r="F122" s="14" t="str" cm="1">
        <f t="array" ref="F122">_xll.VAData("KDP_US", F$3, $C122, "VA Actuals", "CD", "IMPL","","")</f>
        <v>-</v>
      </c>
      <c r="G122" s="15" t="str" cm="1">
        <f t="array" ref="G122">_xll.VAData("KDP_US", G$3, $C122, "VA Actuals", "CD", "IMPL","","")</f>
        <v>-</v>
      </c>
      <c r="H122" s="15" t="str" cm="1">
        <f t="array" ref="H122">_xll.VAData("KDP_US", H$3, $C122, "VA Actuals", "CD", "IMPL","","")</f>
        <v>-</v>
      </c>
      <c r="I122" s="15" t="str" cm="1">
        <f t="array" ref="I122">_xll.VAData("KDP_US", I$3, $C122, "VA Actuals", "CD", "IMPL","","")</f>
        <v>-</v>
      </c>
      <c r="J122" s="15" t="str" cm="1">
        <f t="array" ref="J122">_xll.VAData("KDP_US", J$3, $C122, "VA Actuals", "CD", "IMPL","","")</f>
        <v>-</v>
      </c>
      <c r="K122" s="14" t="str" cm="1">
        <f t="array" ref="K122">_xll.VAData("KDP_US", K$3, $C122, "VA Actuals", "CD", "IMPL","","")</f>
        <v>-</v>
      </c>
      <c r="L122" s="15" t="str" cm="1">
        <f t="array" ref="L122">_xll.VAData("KDP_US", L$3, $C122, "VA Actuals", "CD", "IMPL","","")</f>
        <v>-</v>
      </c>
      <c r="M122" s="15" t="str" cm="1">
        <f t="array" ref="M122">_xll.VAData("KDP_US", M$3, $C122, "VA Actuals", "CD", "IMPL","","")</f>
        <v>-</v>
      </c>
      <c r="N122" s="15" t="str" cm="1">
        <f t="array" ref="N122">_xll.VAData("KDP_US", N$3, $C122, "VA Actuals", "CD", "IMPL","","")</f>
        <v>-</v>
      </c>
      <c r="O122" s="15" t="str" cm="1">
        <f t="array" ref="O122">_xll.VAData("KDP_US", O$3, $C122, "VA Actuals", "CD", "IMPL","","")</f>
        <v>-</v>
      </c>
      <c r="P122" s="14" t="str" cm="1">
        <f t="array" ref="P122">_xll.VAData("KDP_US", P$3, $C122, "VA Actuals", "CD", "IMPL","","")</f>
        <v>-</v>
      </c>
      <c r="Q122" s="15" t="str" cm="1">
        <f t="array" ref="Q122">_xll.VAData("KDP_US", Q$3, $C122, "VA Actuals", "CD", "IMPL","","")</f>
        <v>-</v>
      </c>
      <c r="R122" s="15" t="str" cm="1">
        <f t="array" ref="R122">_xll.VAData("KDP_US", R$3, $C122, "VA Actuals", "CD", "IMPL","","")</f>
        <v>-</v>
      </c>
      <c r="S122" s="15" t="str" cm="1">
        <f t="array" ref="S122">_xll.VAData("KDP_US", S$3, $C122, "VA Actuals", "CD", "IMPL","","")</f>
        <v>-</v>
      </c>
      <c r="T122" s="15" t="str" cm="1">
        <f t="array" ref="T122">_xll.VAData("KDP_US", T$3, $C122, "VA Actuals", "CD", "IMPL","","")</f>
        <v>-</v>
      </c>
      <c r="U122" s="14" t="str" cm="1">
        <f t="array" ref="U122">_xll.VAData("KDP_US", U$3, $C122, "VA Actuals", "CD", "IMPL","","")</f>
        <v>-</v>
      </c>
      <c r="V122" s="15" t="str" cm="1">
        <f t="array" ref="V122">_xll.VAData("KDP_US", V$3, $C122, "VA Actuals", "CD", "IMPL","","")</f>
        <v>-</v>
      </c>
      <c r="W122" s="15" t="str" cm="1">
        <f t="array" ref="W122">_xll.VAData("KDP_US", W$3, $C122, "VA Actuals", "CD", "IMPL","","")</f>
        <v>-</v>
      </c>
      <c r="X122" s="15" t="str" cm="1">
        <f t="array" ref="X122">_xll.VAData("KDP_US", X$3, $C122, "VA Actuals", "CD", "IMPL","","")</f>
        <v>-</v>
      </c>
      <c r="Y122" s="15" t="str" cm="1">
        <f t="array" ref="Y122">_xll.VAData("KDP_US", Y$3, $C122, "VA Actuals", "CD", "IMPL","","")</f>
        <v>-</v>
      </c>
      <c r="Z122" s="14" t="str" cm="1">
        <f t="array" ref="Z122">_xll.VAData("KDP_US", Z$3, $C122, "VA Actuals", "CD", "IMPL","","")</f>
        <v>-</v>
      </c>
      <c r="AA122" s="15" t="str" cm="1">
        <f t="array" ref="AA122">_xll.VAData("KDP_US", AA$3, $C122, "VA Actuals", "CD", "IMPL","","")</f>
        <v>-</v>
      </c>
      <c r="AB122" s="15" t="str" cm="1">
        <f t="array" ref="AB122">_xll.VAData("KDP_US", AB$3, $C122, "VA Actuals", "CD", "IMPL","","")</f>
        <v>-</v>
      </c>
      <c r="AC122" s="15" t="str" cm="1">
        <f t="array" ref="AC122">_xll.VAData("KDP_US", AC$3, $C122, "VA Actuals", "CD", "IMPL","","")</f>
        <v>-</v>
      </c>
      <c r="AD122" s="15" t="str" cm="1">
        <f t="array" ref="AD122">_xll.VAData("KDP_US", AD$3, $C122, "VA Actuals", "CD", "IMPL","","")</f>
        <v>-</v>
      </c>
      <c r="AE122" s="14" t="str" cm="1">
        <f t="array" ref="AE122">_xll.VAData("KDP_US", AE$3, $C122, "VA Actuals", "CD", "IMPL","","")</f>
        <v>-</v>
      </c>
      <c r="AF122" s="15" t="str" cm="1">
        <f t="array" ref="AF122">_xll.VAData("KDP_US", AF$3, $C122, "VA Actuals", "CD", "IMPL","","")</f>
        <v>-</v>
      </c>
      <c r="AG122" s="15" t="str" cm="1">
        <f t="array" ref="AG122">_xll.VAData("KDP_US", AG$3, $C122, "VA Actuals", "CD", "IMPL","","")</f>
        <v>-</v>
      </c>
      <c r="AH122" s="15" t="str" cm="1">
        <f t="array" ref="AH122">_xll.VAData("KDP_US", AH$3, $C122, "VA Actuals", "CD", "IMPL","","")</f>
        <v>-</v>
      </c>
      <c r="AI122" s="15" t="str" cm="1">
        <f t="array" ref="AI122">_xll.VAData("KDP_US", AI$3, $C122, "VA Actuals", "CD", "IMPL","","")</f>
        <v>-</v>
      </c>
      <c r="AJ122" s="14" t="str" cm="1">
        <f t="array" ref="AJ122">_xll.VAData("KDP_US", AJ$3, $C122, "VA Actuals", "CD", "IMPL","","")</f>
        <v>-</v>
      </c>
      <c r="AK122" s="15" t="str" cm="1">
        <f t="array" ref="AK122">_xll.VAData("KDP_US", AK$3, $C122, "VA Actuals", "CD", "IMPL","","")</f>
        <v>-</v>
      </c>
      <c r="AL122" s="15" t="str" cm="1">
        <f t="array" ref="AL122">_xll.VAData("KDP_US", AL$3, $C122, "VA Actuals", "CD", "IMPL","","")</f>
        <v>-</v>
      </c>
    </row>
    <row r="123" spans="2:38" x14ac:dyDescent="0.75">
      <c r="B123" s="3" t="s">
        <v>117</v>
      </c>
      <c r="C123" t="s">
        <v>117</v>
      </c>
      <c r="D123" s="14" cm="1">
        <f t="array" ref="D123">_xll.VAData("KDP_US", D$3, $C123, "VA Actuals", "CD", "IMPL","","")</f>
        <v>1771</v>
      </c>
      <c r="E123" s="14" cm="1">
        <f t="array" ref="E123">_xll.VAData("KDP_US", E$3, $C123, "VA Actuals", "CD", "IMPL","","")</f>
        <v>2165</v>
      </c>
      <c r="F123" s="14" cm="1">
        <f t="array" ref="F123">_xll.VAData("KDP_US", F$3, $C123, "VA Actuals", "CD", "IMPL","","")</f>
        <v>2266</v>
      </c>
      <c r="G123" s="15" cm="1">
        <f t="array" ref="G123">_xll.VAData("KDP_US", G$3, $C123, "VA Actuals", "CD", "IMPL","","")</f>
        <v>2336</v>
      </c>
      <c r="H123" s="15" cm="1">
        <f t="array" ref="H123">_xll.VAData("KDP_US", H$3, $C123, "VA Actuals", "CD", "IMPL","","")</f>
        <v>2346</v>
      </c>
      <c r="I123" s="15" cm="1">
        <f t="array" ref="I123">_xll.VAData("KDP_US", I$3, $C123, "VA Actuals", "CD", "IMPL","","")</f>
        <v>2311</v>
      </c>
      <c r="J123" s="15" cm="1">
        <f t="array" ref="J123">_xll.VAData("KDP_US", J$3, $C123, "VA Actuals", "CD", "IMPL","","")</f>
        <v>914</v>
      </c>
      <c r="K123" s="14" cm="1">
        <f t="array" ref="K123">_xll.VAData("KDP_US", K$3, $C123, "VA Actuals", "CD", "IMPL","","")</f>
        <v>914</v>
      </c>
      <c r="L123" s="15" cm="1">
        <f t="array" ref="L123">_xll.VAData("KDP_US", L$3, $C123, "VA Actuals", "CD", "IMPL","","")</f>
        <v>2667</v>
      </c>
      <c r="M123" s="15" cm="1">
        <f t="array" ref="M123">_xll.VAData("KDP_US", M$3, $C123, "VA Actuals", "CD", "IMPL","","")</f>
        <v>2920</v>
      </c>
      <c r="N123" s="15" cm="1">
        <f t="array" ref="N123">_xll.VAData("KDP_US", N$3, $C123, "VA Actuals", "CD", "IMPL","","")</f>
        <v>1122</v>
      </c>
      <c r="O123" s="15" cm="1">
        <f t="array" ref="O123">_xll.VAData("KDP_US", O$3, $C123, "VA Actuals", "CD", "IMPL","","")</f>
        <v>1178</v>
      </c>
      <c r="P123" s="14" cm="1">
        <f t="array" ref="P123">_xll.VAData("KDP_US", P$3, $C123, "VA Actuals", "CD", "IMPL","","")</f>
        <v>1178</v>
      </c>
      <c r="Q123" s="15" cm="1">
        <f t="array" ref="Q123">_xll.VAData("KDP_US", Q$3, $C123, "VA Actuals", "CD", "IMPL","","")</f>
        <v>1192</v>
      </c>
      <c r="R123" s="15" cm="1">
        <f t="array" ref="R123">_xll.VAData("KDP_US", R$3, $C123, "VA Actuals", "CD", "IMPL","","")</f>
        <v>1294</v>
      </c>
      <c r="S123" s="15" cm="1">
        <f t="array" ref="S123">_xll.VAData("KDP_US", S$3, $C123, "VA Actuals", "CD", "IMPL","","")</f>
        <v>1388</v>
      </c>
      <c r="T123" s="15" cm="1">
        <f t="array" ref="T123">_xll.VAData("KDP_US", T$3, $C123, "VA Actuals", "CD", "IMPL","","")</f>
        <v>1582</v>
      </c>
      <c r="U123" s="14" cm="1">
        <f t="array" ref="U123">_xll.VAData("KDP_US", U$3, $C123, "VA Actuals", "CD", "IMPL","","")</f>
        <v>1582</v>
      </c>
      <c r="V123" s="15" cm="1">
        <f t="array" ref="V123">_xll.VAData("KDP_US", V$3, $C123, "VA Actuals", "CD", "IMPL","","")</f>
        <v>1527</v>
      </c>
      <c r="W123" s="15" cm="1">
        <f t="array" ref="W123">_xll.VAData("KDP_US", W$3, $C123, "VA Actuals", "CD", "IMPL","","")</f>
        <v>1613</v>
      </c>
      <c r="X123" s="15" cm="1">
        <f t="array" ref="X123">_xll.VAData("KDP_US", X$3, $C123, "VA Actuals", "CD", "IMPL","","")</f>
        <v>1845</v>
      </c>
      <c r="Y123" s="15" cm="1">
        <f t="array" ref="Y123">_xll.VAData("KDP_US", Y$3, $C123, "VA Actuals", "CD", "IMPL","","")</f>
        <v>2061</v>
      </c>
      <c r="Z123" s="14" cm="1">
        <f t="array" ref="Z123">_xll.VAData("KDP_US", Z$3, $C123, "VA Actuals", "CD", "IMPL","","")</f>
        <v>2061</v>
      </c>
      <c r="AA123" s="15" cm="1">
        <f t="array" ref="AA123">_xll.VAData("KDP_US", AA$3, $C123, "VA Actuals", "CD", "IMPL","","")</f>
        <v>2174</v>
      </c>
      <c r="AB123" s="15" cm="1">
        <f t="array" ref="AB123">_xll.VAData("KDP_US", AB$3, $C123, "VA Actuals", "CD", "IMPL","","")</f>
        <v>2357</v>
      </c>
      <c r="AC123" s="15" cm="1">
        <f t="array" ref="AC123">_xll.VAData("KDP_US", AC$3, $C123, "VA Actuals", "CD", "IMPL","","")</f>
        <v>2621</v>
      </c>
      <c r="AD123" s="15" cm="1">
        <f t="array" ref="AD123">_xll.VAData("KDP_US", AD$3, $C123, "VA Actuals", "CD", "IMPL","","")</f>
        <v>3199</v>
      </c>
      <c r="AE123" s="14" cm="1">
        <f t="array" ref="AE123">_xll.VAData("KDP_US", AE$3, $C123, "VA Actuals", "CD", "IMPL","","")</f>
        <v>3199</v>
      </c>
      <c r="AF123" s="15" cm="1">
        <f t="array" ref="AF123">_xll.VAData("KDP_US", AF$3, $C123, "VA Actuals", "CD", "IMPL","","")</f>
        <v>3518</v>
      </c>
      <c r="AG123" s="15" cm="1">
        <f t="array" ref="AG123">_xll.VAData("KDP_US", AG$3, $C123, "VA Actuals", "CD", "IMPL","","")</f>
        <v>3471</v>
      </c>
      <c r="AH123" s="15" cm="1">
        <f t="array" ref="AH123">_xll.VAData("KDP_US", AH$3, $C123, "VA Actuals", "CD", "IMPL","","")</f>
        <v>3367</v>
      </c>
      <c r="AI123" s="15" cm="1">
        <f t="array" ref="AI123">_xll.VAData("KDP_US", AI$3, $C123, "VA Actuals", "CD", "IMPL","","")</f>
        <v>3539</v>
      </c>
      <c r="AJ123" s="14" cm="1">
        <f t="array" ref="AJ123">_xll.VAData("KDP_US", AJ$3, $C123, "VA Actuals", "CD", "IMPL","","")</f>
        <v>3539</v>
      </c>
      <c r="AK123" s="15" cm="1">
        <f t="array" ref="AK123">_xll.VAData("KDP_US", AK$3, $C123, "VA Actuals", "CD", "IMPL","","")</f>
        <v>3724</v>
      </c>
      <c r="AL123" s="15" cm="1">
        <f t="array" ref="AL123">_xll.VAData("KDP_US", AL$3, $C123, "VA Actuals", "CD", "IMPL","","")</f>
        <v>3948</v>
      </c>
    </row>
    <row r="124" spans="2:38" x14ac:dyDescent="0.75">
      <c r="B124" s="3" t="s">
        <v>118</v>
      </c>
      <c r="C124" t="s">
        <v>148</v>
      </c>
      <c r="D124" s="14" cm="1">
        <f t="array" ref="D124">_xll.VAData("KDP_US", D$3, $C124, "VA Actuals", "CD", "IMPL","","")</f>
        <v>658</v>
      </c>
      <c r="E124" s="14" cm="1">
        <f t="array" ref="E124">_xll.VAData("KDP_US", E$3, $C124, "VA Actuals", "CD", "IMPL","","")</f>
        <v>211</v>
      </c>
      <c r="F124" s="14" cm="1">
        <f t="array" ref="F124">_xll.VAData("KDP_US", F$3, $C124, "VA Actuals", "CD", "IMPL","","")</f>
        <v>95</v>
      </c>
      <c r="G124" s="15" cm="1">
        <f t="array" ref="G124">_xll.VAData("KDP_US", G$3, $C124, "VA Actuals", "CD", "IMPL","","")</f>
        <v>61</v>
      </c>
      <c r="H124" s="15" t="str" cm="1">
        <f t="array" ref="H124">_xll.VAData("KDP_US", H$3, $C124, "VA Actuals", "CD", "IMPL","","")</f>
        <v>-</v>
      </c>
      <c r="I124" s="15" t="str" cm="1">
        <f t="array" ref="I124">_xll.VAData("KDP_US", I$3, $C124, "VA Actuals", "CD", "IMPL","","")</f>
        <v>-</v>
      </c>
      <c r="J124" s="15" cm="1">
        <f t="array" ref="J124">_xll.VAData("KDP_US", J$3, $C124, "VA Actuals", "CD", "IMPL","","")</f>
        <v>6377</v>
      </c>
      <c r="K124" s="14" cm="1">
        <f t="array" ref="K124">_xll.VAData("KDP_US", K$3, $C124, "VA Actuals", "CD", "IMPL","","")</f>
        <v>6377</v>
      </c>
      <c r="L124" s="15" cm="1">
        <f t="array" ref="L124">_xll.VAData("KDP_US", L$3, $C124, "VA Actuals", "CD", "IMPL","","")</f>
        <v>20727.5</v>
      </c>
      <c r="M124" s="15" cm="1">
        <f t="array" ref="M124">_xll.VAData("KDP_US", M$3, $C124, "VA Actuals", "CD", "IMPL","","")</f>
        <v>13702.5</v>
      </c>
      <c r="N124" s="15" cm="1">
        <f t="array" ref="N124">_xll.VAData("KDP_US", N$3, $C124, "VA Actuals", "CD", "IMPL","","")</f>
        <v>21020</v>
      </c>
      <c r="O124" s="15" cm="1">
        <f t="array" ref="O124">_xll.VAData("KDP_US", O$3, $C124, "VA Actuals", "CD", "IMPL","","")</f>
        <v>21471</v>
      </c>
      <c r="P124" s="14" cm="1">
        <f t="array" ref="P124">_xll.VAData("KDP_US", P$3, $C124, "VA Actuals", "CD", "IMPL","","")</f>
        <v>21471</v>
      </c>
      <c r="Q124" s="15" cm="1">
        <f t="array" ref="Q124">_xll.VAData("KDP_US", Q$3, $C124, "VA Actuals", "CD", "IMPL","","")</f>
        <v>21505</v>
      </c>
      <c r="R124" s="15" cm="1">
        <f t="array" ref="R124">_xll.VAData("KDP_US", R$3, $C124, "VA Actuals", "CD", "IMPL","","")</f>
        <v>21524</v>
      </c>
      <c r="S124" s="15" cm="1">
        <f t="array" ref="S124">_xll.VAData("KDP_US", S$3, $C124, "VA Actuals", "CD", "IMPL","","")</f>
        <v>21539</v>
      </c>
      <c r="T124" s="15" cm="1">
        <f t="array" ref="T124">_xll.VAData("KDP_US", T$3, $C124, "VA Actuals", "CD", "IMPL","","")</f>
        <v>21557</v>
      </c>
      <c r="U124" s="14" cm="1">
        <f t="array" ref="U124">_xll.VAData("KDP_US", U$3, $C124, "VA Actuals", "CD", "IMPL","","")</f>
        <v>21557</v>
      </c>
      <c r="V124" s="15" cm="1">
        <f t="array" ref="V124">_xll.VAData("KDP_US", V$3, $C124, "VA Actuals", "CD", "IMPL","","")</f>
        <v>21579</v>
      </c>
      <c r="W124" s="15" cm="1">
        <f t="array" ref="W124">_xll.VAData("KDP_US", W$3, $C124, "VA Actuals", "CD", "IMPL","","")</f>
        <v>21624</v>
      </c>
      <c r="X124" s="15" cm="1">
        <f t="array" ref="X124">_xll.VAData("KDP_US", X$3, $C124, "VA Actuals", "CD", "IMPL","","")</f>
        <v>21654</v>
      </c>
      <c r="Y124" s="15" cm="1">
        <f t="array" ref="Y124">_xll.VAData("KDP_US", Y$3, $C124, "VA Actuals", "CD", "IMPL","","")</f>
        <v>21677</v>
      </c>
      <c r="Z124" s="14" cm="1">
        <f t="array" ref="Z124">_xll.VAData("KDP_US", Z$3, $C124, "VA Actuals", "CD", "IMPL","","")</f>
        <v>21677</v>
      </c>
      <c r="AA124" s="15" cm="1">
        <f t="array" ref="AA124">_xll.VAData("KDP_US", AA$3, $C124, "VA Actuals", "CD", "IMPL","","")</f>
        <v>21718</v>
      </c>
      <c r="AB124" s="15" cm="1">
        <f t="array" ref="AB124">_xll.VAData("KDP_US", AB$3, $C124, "VA Actuals", "CD", "IMPL","","")</f>
        <v>21743</v>
      </c>
      <c r="AC124" s="15" cm="1">
        <f t="array" ref="AC124">_xll.VAData("KDP_US", AC$3, $C124, "VA Actuals", "CD", "IMPL","","")</f>
        <v>21764</v>
      </c>
      <c r="AD124" s="15" cm="1">
        <f t="array" ref="AD124">_xll.VAData("KDP_US", AD$3, $C124, "VA Actuals", "CD", "IMPL","","")</f>
        <v>21785</v>
      </c>
      <c r="AE124" s="14" cm="1">
        <f t="array" ref="AE124">_xll.VAData("KDP_US", AE$3, $C124, "VA Actuals", "CD", "IMPL","","")</f>
        <v>21785</v>
      </c>
      <c r="AF124" s="15" cm="1">
        <f t="array" ref="AF124">_xll.VAData("KDP_US", AF$3, $C124, "VA Actuals", "CD", "IMPL","","")</f>
        <v>21764</v>
      </c>
      <c r="AG124" s="15" cm="1">
        <f t="array" ref="AG124">_xll.VAData("KDP_US", AG$3, $C124, "VA Actuals", "CD", "IMPL","","")</f>
        <v>21701</v>
      </c>
      <c r="AH124" s="15" cm="1">
        <f t="array" ref="AH124">_xll.VAData("KDP_US", AH$3, $C124, "VA Actuals", "CD", "IMPL","","")</f>
        <v>21730</v>
      </c>
      <c r="AI124" s="15" cm="1">
        <f t="array" ref="AI124">_xll.VAData("KDP_US", AI$3, $C124, "VA Actuals", "CD", "IMPL","","")</f>
        <v>21444</v>
      </c>
      <c r="AJ124" s="14" cm="1">
        <f t="array" ref="AJ124">_xll.VAData("KDP_US", AJ$3, $C124, "VA Actuals", "CD", "IMPL","","")</f>
        <v>21444</v>
      </c>
      <c r="AK124" s="15" cm="1">
        <f t="array" ref="AK124">_xll.VAData("KDP_US", AK$3, $C124, "VA Actuals", "CD", "IMPL","","")</f>
        <v>21210</v>
      </c>
      <c r="AL124" s="15" cm="1">
        <f t="array" ref="AL124">_xll.VAData("KDP_US", AL$3, $C124, "VA Actuals", "CD", "IMPL","","")</f>
        <v>21009</v>
      </c>
    </row>
    <row r="125" spans="2:38" x14ac:dyDescent="0.75">
      <c r="B125" s="3" t="s">
        <v>119</v>
      </c>
      <c r="C125" t="s">
        <v>144</v>
      </c>
      <c r="D125" s="14" cm="1">
        <f t="array" ref="D125">_xll.VAData("KDP_US", D$3, $C125, "VA Actuals", "CD", "IMPL","","")</f>
        <v>-137</v>
      </c>
      <c r="E125" s="14" cm="1">
        <f t="array" ref="E125">_xll.VAData("KDP_US", E$3, $C125, "VA Actuals", "CD", "IMPL","","")</f>
        <v>-195</v>
      </c>
      <c r="F125" s="14" cm="1">
        <f t="array" ref="F125">_xll.VAData("KDP_US", F$3, $C125, "VA Actuals", "CD", "IMPL","","")</f>
        <v>-229</v>
      </c>
      <c r="G125" s="15" cm="1">
        <f t="array" ref="G125">_xll.VAData("KDP_US", G$3, $C125, "VA Actuals", "CD", "IMPL","","")</f>
        <v>-206</v>
      </c>
      <c r="H125" s="15" cm="1">
        <f t="array" ref="H125">_xll.VAData("KDP_US", H$3, $C125, "VA Actuals", "CD", "IMPL","","")</f>
        <v>-193</v>
      </c>
      <c r="I125" s="15" cm="1">
        <f t="array" ref="I125">_xll.VAData("KDP_US", I$3, $C125, "VA Actuals", "CD", "IMPL","","")</f>
        <v>-184</v>
      </c>
      <c r="J125" s="15" cm="1">
        <f t="array" ref="J125">_xll.VAData("KDP_US", J$3, $C125, "VA Actuals", "CD", "IMPL","","")</f>
        <v>-51.5</v>
      </c>
      <c r="K125" s="14" cm="1">
        <f t="array" ref="K125">_xll.VAData("KDP_US", K$3, $C125, "VA Actuals", "CD", "IMPL","","")</f>
        <v>99</v>
      </c>
      <c r="L125" s="15" cm="1">
        <f t="array" ref="L125">_xll.VAData("KDP_US", L$3, $C125, "VA Actuals", "CD", "IMPL","","")</f>
        <v>-183</v>
      </c>
      <c r="M125" s="15" cm="1">
        <f t="array" ref="M125">_xll.VAData("KDP_US", M$3, $C125, "VA Actuals", "CD", "IMPL","","")</f>
        <v>-200</v>
      </c>
      <c r="N125" s="15" cm="1">
        <f t="array" ref="N125">_xll.VAData("KDP_US", N$3, $C125, "VA Actuals", "CD", "IMPL","","")</f>
        <v>137</v>
      </c>
      <c r="O125" s="15" cm="1">
        <f t="array" ref="O125">_xll.VAData("KDP_US", O$3, $C125, "VA Actuals", "CD", "IMPL","","")</f>
        <v>-130</v>
      </c>
      <c r="P125" s="14" cm="1">
        <f t="array" ref="P125">_xll.VAData("KDP_US", P$3, $C125, "VA Actuals", "CD", "IMPL","","")</f>
        <v>-130</v>
      </c>
      <c r="Q125" s="15" cm="1">
        <f t="array" ref="Q125">_xll.VAData("KDP_US", Q$3, $C125, "VA Actuals", "CD", "IMPL","","")</f>
        <v>-37</v>
      </c>
      <c r="R125" s="15" cm="1">
        <f t="array" ref="R125">_xll.VAData("KDP_US", R$3, $C125, "VA Actuals", "CD", "IMPL","","")</f>
        <v>51</v>
      </c>
      <c r="S125" s="15" cm="1">
        <f t="array" ref="S125">_xll.VAData("KDP_US", S$3, $C125, "VA Actuals", "CD", "IMPL","","")</f>
        <v>-27</v>
      </c>
      <c r="T125" s="15" cm="1">
        <f t="array" ref="T125">_xll.VAData("KDP_US", T$3, $C125, "VA Actuals", "CD", "IMPL","","")</f>
        <v>104</v>
      </c>
      <c r="U125" s="14" cm="1">
        <f t="array" ref="U125">_xll.VAData("KDP_US", U$3, $C125, "VA Actuals", "CD", "IMPL","","")</f>
        <v>104</v>
      </c>
      <c r="V125" s="15" cm="1">
        <f t="array" ref="V125">_xll.VAData("KDP_US", V$3, $C125, "VA Actuals", "CD", "IMPL","","")</f>
        <v>-480</v>
      </c>
      <c r="W125" s="15" cm="1">
        <f t="array" ref="W125">_xll.VAData("KDP_US", W$3, $C125, "VA Actuals", "CD", "IMPL","","")</f>
        <v>-328</v>
      </c>
      <c r="X125" s="15" cm="1">
        <f t="array" ref="X125">_xll.VAData("KDP_US", X$3, $C125, "VA Actuals", "CD", "IMPL","","")</f>
        <v>-217</v>
      </c>
      <c r="Y125" s="15" cm="1">
        <f t="array" ref="Y125">_xll.VAData("KDP_US", Y$3, $C125, "VA Actuals", "CD", "IMPL","","")</f>
        <v>77</v>
      </c>
      <c r="Z125" s="14" cm="1">
        <f t="array" ref="Z125">_xll.VAData("KDP_US", Z$3, $C125, "VA Actuals", "CD", "IMPL","","")</f>
        <v>77</v>
      </c>
      <c r="AA125" s="15" cm="1">
        <f t="array" ref="AA125">_xll.VAData("KDP_US", AA$3, $C125, "VA Actuals", "CD", "IMPL","","")</f>
        <v>164</v>
      </c>
      <c r="AB125" s="15" cm="1">
        <f t="array" ref="AB125">_xll.VAData("KDP_US", AB$3, $C125, "VA Actuals", "CD", "IMPL","","")</f>
        <v>128</v>
      </c>
      <c r="AC125" s="15" cm="1">
        <f t="array" ref="AC125">_xll.VAData("KDP_US", AC$3, $C125, "VA Actuals", "CD", "IMPL","","")</f>
        <v>6</v>
      </c>
      <c r="AD125" s="15" cm="1">
        <f t="array" ref="AD125">_xll.VAData("KDP_US", AD$3, $C125, "VA Actuals", "CD", "IMPL","","")</f>
        <v>-26</v>
      </c>
      <c r="AE125" s="14" cm="1">
        <f t="array" ref="AE125">_xll.VAData("KDP_US", AE$3, $C125, "VA Actuals", "CD", "IMPL","","")</f>
        <v>-26</v>
      </c>
      <c r="AF125" s="15" cm="1">
        <f t="array" ref="AF125">_xll.VAData("KDP_US", AF$3, $C125, "VA Actuals", "CD", "IMPL","","")</f>
        <v>215</v>
      </c>
      <c r="AG125" s="15" cm="1">
        <f t="array" ref="AG125">_xll.VAData("KDP_US", AG$3, $C125, "VA Actuals", "CD", "IMPL","","")</f>
        <v>205</v>
      </c>
      <c r="AH125" s="15" cm="1">
        <f t="array" ref="AH125">_xll.VAData("KDP_US", AH$3, $C125, "VA Actuals", "CD", "IMPL","","")</f>
        <v>-9</v>
      </c>
      <c r="AI125" s="15" cm="1">
        <f t="array" ref="AI125">_xll.VAData("KDP_US", AI$3, $C125, "VA Actuals", "CD", "IMPL","","")</f>
        <v>129</v>
      </c>
      <c r="AJ125" s="14" cm="1">
        <f t="array" ref="AJ125">_xll.VAData("KDP_US", AJ$3, $C125, "VA Actuals", "CD", "IMPL","","")</f>
        <v>129</v>
      </c>
      <c r="AK125" s="15" cm="1">
        <f t="array" ref="AK125">_xll.VAData("KDP_US", AK$3, $C125, "VA Actuals", "CD", "IMPL","","")</f>
        <v>155</v>
      </c>
      <c r="AL125" s="15" cm="1">
        <f t="array" ref="AL125">_xll.VAData("KDP_US", AL$3, $C125, "VA Actuals", "CD", "IMPL","","")</f>
        <v>297</v>
      </c>
    </row>
    <row r="126" spans="2:38" x14ac:dyDescent="0.75">
      <c r="B126" s="3" t="s">
        <v>120</v>
      </c>
      <c r="C126" t="s">
        <v>143</v>
      </c>
      <c r="D126" s="14" t="str" cm="1">
        <f t="array" ref="D126">_xll.VAData("KDP_US", D$3, $C126, "VA Actuals", "CD", "IMPL","","")</f>
        <v>-</v>
      </c>
      <c r="E126" s="14" t="str" cm="1">
        <f t="array" ref="E126">_xll.VAData("KDP_US", E$3, $C126, "VA Actuals", "CD", "IMPL","","")</f>
        <v>-</v>
      </c>
      <c r="F126" s="14" t="str" cm="1">
        <f t="array" ref="F126">_xll.VAData("KDP_US", F$3, $C126, "VA Actuals", "CD", "IMPL","","")</f>
        <v>-</v>
      </c>
      <c r="G126" s="15" t="str" cm="1">
        <f t="array" ref="G126">_xll.VAData("KDP_US", G$3, $C126, "VA Actuals", "CD", "IMPL","","")</f>
        <v>-</v>
      </c>
      <c r="H126" s="15" t="str" cm="1">
        <f t="array" ref="H126">_xll.VAData("KDP_US", H$3, $C126, "VA Actuals", "CD", "IMPL","","")</f>
        <v>-</v>
      </c>
      <c r="I126" s="15" t="str" cm="1">
        <f t="array" ref="I126">_xll.VAData("KDP_US", I$3, $C126, "VA Actuals", "CD", "IMPL","","")</f>
        <v>-</v>
      </c>
      <c r="J126" s="15" t="str" cm="1">
        <f t="array" ref="J126">_xll.VAData("KDP_US", J$3, $C126, "VA Actuals", "CD", "IMPL","","")</f>
        <v>-</v>
      </c>
      <c r="K126" s="14" t="str" cm="1">
        <f t="array" ref="K126">_xll.VAData("KDP_US", K$3, $C126, "VA Actuals", "CD", "IMPL","","")</f>
        <v>-</v>
      </c>
      <c r="L126" s="15" t="str" cm="1">
        <f t="array" ref="L126">_xll.VAData("KDP_US", L$3, $C126, "VA Actuals", "CD", "IMPL","","")</f>
        <v>-</v>
      </c>
      <c r="M126" s="15" t="str" cm="1">
        <f t="array" ref="M126">_xll.VAData("KDP_US", M$3, $C126, "VA Actuals", "CD", "IMPL","","")</f>
        <v>-</v>
      </c>
      <c r="N126" s="15" t="str" cm="1">
        <f t="array" ref="N126">_xll.VAData("KDP_US", N$3, $C126, "VA Actuals", "CD", "IMPL","","")</f>
        <v>-</v>
      </c>
      <c r="O126" s="15" t="str" cm="1">
        <f t="array" ref="O126">_xll.VAData("KDP_US", O$3, $C126, "VA Actuals", "CD", "IMPL","","")</f>
        <v>-</v>
      </c>
      <c r="P126" s="14" t="str" cm="1">
        <f t="array" ref="P126">_xll.VAData("KDP_US", P$3, $C126, "VA Actuals", "CD", "IMPL","","")</f>
        <v>-</v>
      </c>
      <c r="Q126" s="15" t="str" cm="1">
        <f t="array" ref="Q126">_xll.VAData("KDP_US", Q$3, $C126, "VA Actuals", "CD", "IMPL","","")</f>
        <v>-</v>
      </c>
      <c r="R126" s="15" t="str" cm="1">
        <f t="array" ref="R126">_xll.VAData("KDP_US", R$3, $C126, "VA Actuals", "CD", "IMPL","","")</f>
        <v>-</v>
      </c>
      <c r="S126" s="15" t="str" cm="1">
        <f t="array" ref="S126">_xll.VAData("KDP_US", S$3, $C126, "VA Actuals", "CD", "IMPL","","")</f>
        <v>-</v>
      </c>
      <c r="T126" s="15" t="str" cm="1">
        <f t="array" ref="T126">_xll.VAData("KDP_US", T$3, $C126, "VA Actuals", "CD", "IMPL","","")</f>
        <v>-</v>
      </c>
      <c r="U126" s="14" t="str" cm="1">
        <f t="array" ref="U126">_xll.VAData("KDP_US", U$3, $C126, "VA Actuals", "CD", "IMPL","","")</f>
        <v>-</v>
      </c>
      <c r="V126" s="15" t="str" cm="1">
        <f t="array" ref="V126">_xll.VAData("KDP_US", V$3, $C126, "VA Actuals", "CD", "IMPL","","")</f>
        <v>-</v>
      </c>
      <c r="W126" s="15" t="str" cm="1">
        <f t="array" ref="W126">_xll.VAData("KDP_US", W$3, $C126, "VA Actuals", "CD", "IMPL","","")</f>
        <v>-</v>
      </c>
      <c r="X126" s="15" t="str" cm="1">
        <f t="array" ref="X126">_xll.VAData("KDP_US", X$3, $C126, "VA Actuals", "CD", "IMPL","","")</f>
        <v>-</v>
      </c>
      <c r="Y126" s="15" t="str" cm="1">
        <f t="array" ref="Y126">_xll.VAData("KDP_US", Y$3, $C126, "VA Actuals", "CD", "IMPL","","")</f>
        <v>-</v>
      </c>
      <c r="Z126" s="14" t="str" cm="1">
        <f t="array" ref="Z126">_xll.VAData("KDP_US", Z$3, $C126, "VA Actuals", "CD", "IMPL","","")</f>
        <v>-</v>
      </c>
      <c r="AA126" s="15" t="str" cm="1">
        <f t="array" ref="AA126">_xll.VAData("KDP_US", AA$3, $C126, "VA Actuals", "CD", "IMPL","","")</f>
        <v>-</v>
      </c>
      <c r="AB126" s="15" t="str" cm="1">
        <f t="array" ref="AB126">_xll.VAData("KDP_US", AB$3, $C126, "VA Actuals", "CD", "IMPL","","")</f>
        <v>-</v>
      </c>
      <c r="AC126" s="15" t="str" cm="1">
        <f t="array" ref="AC126">_xll.VAData("KDP_US", AC$3, $C126, "VA Actuals", "CD", "IMPL","","")</f>
        <v>-</v>
      </c>
      <c r="AD126" s="15" t="str" cm="1">
        <f t="array" ref="AD126">_xll.VAData("KDP_US", AD$3, $C126, "VA Actuals", "CD", "IMPL","","")</f>
        <v>-</v>
      </c>
      <c r="AE126" s="14" t="str" cm="1">
        <f t="array" ref="AE126">_xll.VAData("KDP_US", AE$3, $C126, "VA Actuals", "CD", "IMPL","","")</f>
        <v>-</v>
      </c>
      <c r="AF126" s="15" t="str" cm="1">
        <f t="array" ref="AF126">_xll.VAData("KDP_US", AF$3, $C126, "VA Actuals", "CD", "IMPL","","")</f>
        <v>-</v>
      </c>
      <c r="AG126" s="15" t="str" cm="1">
        <f t="array" ref="AG126">_xll.VAData("KDP_US", AG$3, $C126, "VA Actuals", "CD", "IMPL","","")</f>
        <v>-</v>
      </c>
      <c r="AH126" s="15" t="str" cm="1">
        <f t="array" ref="AH126">_xll.VAData("KDP_US", AH$3, $C126, "VA Actuals", "CD", "IMPL","","")</f>
        <v>-</v>
      </c>
      <c r="AI126" s="15" t="str" cm="1">
        <f t="array" ref="AI126">_xll.VAData("KDP_US", AI$3, $C126, "VA Actuals", "CD", "IMPL","","")</f>
        <v>-</v>
      </c>
      <c r="AJ126" s="14" t="str" cm="1">
        <f t="array" ref="AJ126">_xll.VAData("KDP_US", AJ$3, $C126, "VA Actuals", "CD", "IMPL","","")</f>
        <v>-</v>
      </c>
      <c r="AK126" s="15" t="str" cm="1">
        <f t="array" ref="AK126">_xll.VAData("KDP_US", AK$3, $C126, "VA Actuals", "CD", "IMPL","","")</f>
        <v>-</v>
      </c>
      <c r="AL126" s="15" t="str" cm="1">
        <f t="array" ref="AL126">_xll.VAData("KDP_US", AL$3, $C126, "VA Actuals", "CD", "IMPL","","")</f>
        <v>-</v>
      </c>
    </row>
    <row r="127" spans="2:38" x14ac:dyDescent="0.75">
      <c r="B127" s="3" t="s">
        <v>121</v>
      </c>
      <c r="C127" t="s">
        <v>145</v>
      </c>
      <c r="D127" s="14" cm="1">
        <f t="array" ref="D127">_xll.VAData("KDP_US", D$3, $C127, "VA Actuals", "CD", "IMPL","","")</f>
        <v>2294</v>
      </c>
      <c r="E127" s="14" cm="1">
        <f t="array" ref="E127">_xll.VAData("KDP_US", E$3, $C127, "VA Actuals", "CD", "IMPL","","")</f>
        <v>2183</v>
      </c>
      <c r="F127" s="14" cm="1">
        <f t="array" ref="F127">_xll.VAData("KDP_US", F$3, $C127, "VA Actuals", "CD", "IMPL","","")</f>
        <v>2134</v>
      </c>
      <c r="G127" s="15" cm="1">
        <f t="array" ref="G127">_xll.VAData("KDP_US", G$3, $C127, "VA Actuals", "CD", "IMPL","","")</f>
        <v>2193</v>
      </c>
      <c r="H127" s="15" cm="1">
        <f t="array" ref="H127">_xll.VAData("KDP_US", H$3, $C127, "VA Actuals", "CD", "IMPL","","")</f>
        <v>2155</v>
      </c>
      <c r="I127" s="15" cm="1">
        <f t="array" ref="I127">_xll.VAData("KDP_US", I$3, $C127, "VA Actuals", "CD", "IMPL","","")</f>
        <v>2129</v>
      </c>
      <c r="J127" s="15" cm="1">
        <f t="array" ref="J127">_xll.VAData("KDP_US", J$3, $C127, "VA Actuals", "CD", "IMPL","","")</f>
        <v>7398</v>
      </c>
      <c r="K127" s="14" cm="1">
        <f t="array" ref="K127">_xll.VAData("KDP_US", K$3, $C127, "VA Actuals", "CD", "IMPL","","")</f>
        <v>7398</v>
      </c>
      <c r="L127" s="15" cm="1">
        <f t="array" ref="L127">_xll.VAData("KDP_US", L$3, $C127, "VA Actuals", "CD", "IMPL","","")</f>
        <v>2486</v>
      </c>
      <c r="M127" s="15" cm="1">
        <f t="array" ref="M127">_xll.VAData("KDP_US", M$3, $C127, "VA Actuals", "CD", "IMPL","","")</f>
        <v>2722</v>
      </c>
      <c r="N127" s="15" cm="1">
        <f t="array" ref="N127">_xll.VAData("KDP_US", N$3, $C127, "VA Actuals", "CD", "IMPL","","")</f>
        <v>22293</v>
      </c>
      <c r="O127" s="15" cm="1">
        <f t="array" ref="O127">_xll.VAData("KDP_US", O$3, $C127, "VA Actuals", "CD", "IMPL","","")</f>
        <v>22533</v>
      </c>
      <c r="P127" s="14" cm="1">
        <f t="array" ref="P127">_xll.VAData("KDP_US", P$3, $C127, "VA Actuals", "CD", "IMPL","","")</f>
        <v>22533</v>
      </c>
      <c r="Q127" s="15" cm="1">
        <f t="array" ref="Q127">_xll.VAData("KDP_US", Q$3, $C127, "VA Actuals", "CD", "IMPL","","")</f>
        <v>22674</v>
      </c>
      <c r="R127" s="15" cm="1">
        <f t="array" ref="R127">_xll.VAData("KDP_US", R$3, $C127, "VA Actuals", "CD", "IMPL","","")</f>
        <v>22883</v>
      </c>
      <c r="S127" s="15" cm="1">
        <f t="array" ref="S127">_xll.VAData("KDP_US", S$3, $C127, "VA Actuals", "CD", "IMPL","","")</f>
        <v>22914</v>
      </c>
      <c r="T127" s="15" cm="1">
        <f t="array" ref="T127">_xll.VAData("KDP_US", T$3, $C127, "VA Actuals", "CD", "IMPL","","")</f>
        <v>23257</v>
      </c>
      <c r="U127" s="14" cm="1">
        <f t="array" ref="U127">_xll.VAData("KDP_US", U$3, $C127, "VA Actuals", "CD", "IMPL","","")</f>
        <v>23257</v>
      </c>
      <c r="V127" s="15" cm="1">
        <f t="array" ref="V127">_xll.VAData("KDP_US", V$3, $C127, "VA Actuals", "CD", "IMPL","","")</f>
        <v>22640</v>
      </c>
      <c r="W127" s="15" cm="1">
        <f t="array" ref="W127">_xll.VAData("KDP_US", W$3, $C127, "VA Actuals", "CD", "IMPL","","")</f>
        <v>22923</v>
      </c>
      <c r="X127" s="15" cm="1">
        <f t="array" ref="X127">_xll.VAData("KDP_US", X$3, $C127, "VA Actuals", "CD", "IMPL","","")</f>
        <v>23297</v>
      </c>
      <c r="Y127" s="15" cm="1">
        <f t="array" ref="Y127">_xll.VAData("KDP_US", Y$3, $C127, "VA Actuals", "CD", "IMPL","","")</f>
        <v>23830</v>
      </c>
      <c r="Z127" s="14" cm="1">
        <f t="array" ref="Z127">_xll.VAData("KDP_US", Z$3, $C127, "VA Actuals", "CD", "IMPL","","")</f>
        <v>23830</v>
      </c>
      <c r="AA127" s="15" cm="1">
        <f t="array" ref="AA127">_xll.VAData("KDP_US", AA$3, $C127, "VA Actuals", "CD", "IMPL","","")</f>
        <v>24071</v>
      </c>
      <c r="AB127" s="15" cm="1">
        <f t="array" ref="AB127">_xll.VAData("KDP_US", AB$3, $C127, "VA Actuals", "CD", "IMPL","","")</f>
        <v>24243</v>
      </c>
      <c r="AC127" s="15" cm="1">
        <f t="array" ref="AC127">_xll.VAData("KDP_US", AC$3, $C127, "VA Actuals", "CD", "IMPL","","")</f>
        <v>24405</v>
      </c>
      <c r="AD127" s="15" cm="1">
        <f t="array" ref="AD127">_xll.VAData("KDP_US", AD$3, $C127, "VA Actuals", "CD", "IMPL","","")</f>
        <v>24972</v>
      </c>
      <c r="AE127" s="14" cm="1">
        <f t="array" ref="AE127">_xll.VAData("KDP_US", AE$3, $C127, "VA Actuals", "CD", "IMPL","","")</f>
        <v>24972</v>
      </c>
      <c r="AF127" s="15" cm="1">
        <f t="array" ref="AF127">_xll.VAData("KDP_US", AF$3, $C127, "VA Actuals", "CD", "IMPL","","")</f>
        <v>25511</v>
      </c>
      <c r="AG127" s="15" cm="1">
        <f t="array" ref="AG127">_xll.VAData("KDP_US", AG$3, $C127, "VA Actuals", "CD", "IMPL","","")</f>
        <v>25391</v>
      </c>
      <c r="AH127" s="15" cm="1">
        <f t="array" ref="AH127">_xll.VAData("KDP_US", AH$3, $C127, "VA Actuals", "CD", "IMPL","","")</f>
        <v>25101</v>
      </c>
      <c r="AI127" s="15" cm="1">
        <f t="array" ref="AI127">_xll.VAData("KDP_US", AI$3, $C127, "VA Actuals", "CD", "IMPL","","")</f>
        <v>25125</v>
      </c>
      <c r="AJ127" s="14" cm="1">
        <f t="array" ref="AJ127">_xll.VAData("KDP_US", AJ$3, $C127, "VA Actuals", "CD", "IMPL","","")</f>
        <v>25125</v>
      </c>
      <c r="AK127" s="15" cm="1">
        <f t="array" ref="AK127">_xll.VAData("KDP_US", AK$3, $C127, "VA Actuals", "CD", "IMPL","","")</f>
        <v>25102</v>
      </c>
      <c r="AL127" s="15" cm="1">
        <f t="array" ref="AL127">_xll.VAData("KDP_US", AL$3, $C127, "VA Actuals", "CD", "IMPL","","")</f>
        <v>25267</v>
      </c>
    </row>
    <row r="128" spans="2:38" x14ac:dyDescent="0.75">
      <c r="B128" s="3" t="s">
        <v>122</v>
      </c>
      <c r="C128" t="s">
        <v>147</v>
      </c>
      <c r="D128" s="14" t="str" cm="1">
        <f t="array" ref="D128">_xll.VAData("KDP_US", D$3, $C128, "VA Actuals", "CD", "IMPL","","")</f>
        <v>-</v>
      </c>
      <c r="E128" s="14" t="str" cm="1">
        <f t="array" ref="E128">_xll.VAData("KDP_US", E$3, $C128, "VA Actuals", "CD", "IMPL","","")</f>
        <v>-</v>
      </c>
      <c r="F128" s="14" t="str" cm="1">
        <f t="array" ref="F128">_xll.VAData("KDP_US", F$3, $C128, "VA Actuals", "CD", "IMPL","","")</f>
        <v>-</v>
      </c>
      <c r="G128" s="15" t="str" cm="1">
        <f t="array" ref="G128">_xll.VAData("KDP_US", G$3, $C128, "VA Actuals", "CD", "IMPL","","")</f>
        <v>-</v>
      </c>
      <c r="H128" s="15" t="str" cm="1">
        <f t="array" ref="H128">_xll.VAData("KDP_US", H$3, $C128, "VA Actuals", "CD", "IMPL","","")</f>
        <v>-</v>
      </c>
      <c r="I128" s="15" t="str" cm="1">
        <f t="array" ref="I128">_xll.VAData("KDP_US", I$3, $C128, "VA Actuals", "CD", "IMPL","","")</f>
        <v>-</v>
      </c>
      <c r="J128" s="15" cm="1">
        <f t="array" ref="J128">_xll.VAData("KDP_US", J$3, $C128, "VA Actuals", "CD", "IMPL","","")</f>
        <v>265</v>
      </c>
      <c r="K128" s="14" cm="1">
        <f t="array" ref="K128">_xll.VAData("KDP_US", K$3, $C128, "VA Actuals", "CD", "IMPL","","")</f>
        <v>265</v>
      </c>
      <c r="L128" s="15" t="str" cm="1">
        <f t="array" ref="L128">_xll.VAData("KDP_US", L$3, $C128, "VA Actuals", "CD", "IMPL","","")</f>
        <v>-</v>
      </c>
      <c r="M128" s="15" cm="1">
        <f t="array" ref="M128">_xll.VAData("KDP_US", M$3, $C128, "VA Actuals", "CD", "IMPL","","")</f>
        <v>318</v>
      </c>
      <c r="N128" s="15" t="str" cm="1">
        <f t="array" ref="N128">_xll.VAData("KDP_US", N$3, $C128, "VA Actuals", "CD", "IMPL","","")</f>
        <v>-</v>
      </c>
      <c r="O128" s="15" t="str" cm="1">
        <f t="array" ref="O128">_xll.VAData("KDP_US", O$3, $C128, "VA Actuals", "CD", "IMPL","","")</f>
        <v>-</v>
      </c>
      <c r="P128" s="14" t="str" cm="1">
        <f t="array" ref="P128">_xll.VAData("KDP_US", P$3, $C128, "VA Actuals", "CD", "IMPL","","")</f>
        <v>-</v>
      </c>
      <c r="Q128" s="15" t="str" cm="1">
        <f t="array" ref="Q128">_xll.VAData("KDP_US", Q$3, $C128, "VA Actuals", "CD", "IMPL","","")</f>
        <v>-</v>
      </c>
      <c r="R128" s="15" t="str" cm="1">
        <f t="array" ref="R128">_xll.VAData("KDP_US", R$3, $C128, "VA Actuals", "CD", "IMPL","","")</f>
        <v>-</v>
      </c>
      <c r="S128" s="15" t="str" cm="1">
        <f t="array" ref="S128">_xll.VAData("KDP_US", S$3, $C128, "VA Actuals", "CD", "IMPL","","")</f>
        <v>-</v>
      </c>
      <c r="T128" s="15" t="str" cm="1">
        <f t="array" ref="T128">_xll.VAData("KDP_US", T$3, $C128, "VA Actuals", "CD", "IMPL","","")</f>
        <v>-</v>
      </c>
      <c r="U128" s="14" t="str" cm="1">
        <f t="array" ref="U128">_xll.VAData("KDP_US", U$3, $C128, "VA Actuals", "CD", "IMPL","","")</f>
        <v>-</v>
      </c>
      <c r="V128" s="15" t="str" cm="1">
        <f t="array" ref="V128">_xll.VAData("KDP_US", V$3, $C128, "VA Actuals", "CD", "IMPL","","")</f>
        <v>-</v>
      </c>
      <c r="W128" s="15" t="str" cm="1">
        <f t="array" ref="W128">_xll.VAData("KDP_US", W$3, $C128, "VA Actuals", "CD", "IMPL","","")</f>
        <v>-</v>
      </c>
      <c r="X128" s="15" cm="1">
        <f t="array" ref="X128">_xll.VAData("KDP_US", X$3, $C128, "VA Actuals", "CD", "IMPL","","")</f>
        <v>1</v>
      </c>
      <c r="Y128" s="15" cm="1">
        <f t="array" ref="Y128">_xll.VAData("KDP_US", Y$3, $C128, "VA Actuals", "CD", "IMPL","","")</f>
        <v>1</v>
      </c>
      <c r="Z128" s="14" cm="1">
        <f t="array" ref="Z128">_xll.VAData("KDP_US", Z$3, $C128, "VA Actuals", "CD", "IMPL","","")</f>
        <v>1</v>
      </c>
      <c r="AA128" s="15" cm="1">
        <f t="array" ref="AA128">_xll.VAData("KDP_US", AA$3, $C128, "VA Actuals", "CD", "IMPL","","")</f>
        <v>1</v>
      </c>
      <c r="AB128" s="15" cm="1">
        <f t="array" ref="AB128">_xll.VAData("KDP_US", AB$3, $C128, "VA Actuals", "CD", "IMPL","","")</f>
        <v>1</v>
      </c>
      <c r="AC128" s="15" t="str" cm="1">
        <f t="array" ref="AC128">_xll.VAData("KDP_US", AC$3, $C128, "VA Actuals", "CD", "IMPL","","")</f>
        <v>-</v>
      </c>
      <c r="AD128" s="15" t="str" cm="1">
        <f t="array" ref="AD128">_xll.VAData("KDP_US", AD$3, $C128, "VA Actuals", "CD", "IMPL","","")</f>
        <v>-</v>
      </c>
      <c r="AE128" s="14" t="str" cm="1">
        <f t="array" ref="AE128">_xll.VAData("KDP_US", AE$3, $C128, "VA Actuals", "CD", "IMPL","","")</f>
        <v>-</v>
      </c>
      <c r="AF128" s="15" t="str" cm="1">
        <f t="array" ref="AF128">_xll.VAData("KDP_US", AF$3, $C128, "VA Actuals", "CD", "IMPL","","")</f>
        <v>-</v>
      </c>
      <c r="AG128" s="15" t="str" cm="1">
        <f t="array" ref="AG128">_xll.VAData("KDP_US", AG$3, $C128, "VA Actuals", "CD", "IMPL","","")</f>
        <v>-</v>
      </c>
      <c r="AH128" s="15" cm="1">
        <f t="array" ref="AH128">_xll.VAData("KDP_US", AH$3, $C128, "VA Actuals", "CD", "IMPL","","")</f>
        <v>-1</v>
      </c>
      <c r="AI128" s="15" cm="1">
        <f t="array" ref="AI128">_xll.VAData("KDP_US", AI$3, $C128, "VA Actuals", "CD", "IMPL","","")</f>
        <v>-1</v>
      </c>
      <c r="AJ128" s="14" cm="1">
        <f t="array" ref="AJ128">_xll.VAData("KDP_US", AJ$3, $C128, "VA Actuals", "CD", "IMPL","","")</f>
        <v>-1</v>
      </c>
      <c r="AK128" s="15" cm="1">
        <f t="array" ref="AK128">_xll.VAData("KDP_US", AK$3, $C128, "VA Actuals", "CD", "IMPL","","")</f>
        <v>-1</v>
      </c>
      <c r="AL128" s="15" cm="1">
        <f t="array" ref="AL128">_xll.VAData("KDP_US", AL$3, $C128, "VA Actuals", "CD", "IMPL","","")</f>
        <v>-1</v>
      </c>
    </row>
    <row r="129" spans="2:38" x14ac:dyDescent="0.75">
      <c r="B129" s="6" t="s">
        <v>123</v>
      </c>
      <c r="D129" s="14">
        <f>D127</f>
        <v>2294</v>
      </c>
      <c r="E129" s="14">
        <f t="shared" ref="E129:I129" si="124">E127</f>
        <v>2183</v>
      </c>
      <c r="F129" s="14">
        <f t="shared" si="124"/>
        <v>2134</v>
      </c>
      <c r="G129" s="15">
        <f t="shared" si="124"/>
        <v>2193</v>
      </c>
      <c r="H129" s="15">
        <f t="shared" si="124"/>
        <v>2155</v>
      </c>
      <c r="I129" s="15">
        <f t="shared" si="124"/>
        <v>2129</v>
      </c>
      <c r="J129" s="15">
        <f t="shared" ref="J129:AL129" si="125">J127+J128</f>
        <v>7663</v>
      </c>
      <c r="K129" s="14">
        <f t="shared" si="125"/>
        <v>7663</v>
      </c>
      <c r="L129" s="15">
        <f>L127</f>
        <v>2486</v>
      </c>
      <c r="M129" s="15">
        <f t="shared" si="125"/>
        <v>3040</v>
      </c>
      <c r="N129" s="15">
        <f t="shared" ref="N129:W129" si="126">N127</f>
        <v>22293</v>
      </c>
      <c r="O129" s="15">
        <f t="shared" si="126"/>
        <v>22533</v>
      </c>
      <c r="P129" s="14">
        <f t="shared" si="126"/>
        <v>22533</v>
      </c>
      <c r="Q129" s="15">
        <f t="shared" si="126"/>
        <v>22674</v>
      </c>
      <c r="R129" s="15">
        <f t="shared" si="126"/>
        <v>22883</v>
      </c>
      <c r="S129" s="15">
        <f t="shared" si="126"/>
        <v>22914</v>
      </c>
      <c r="T129" s="15">
        <f t="shared" si="126"/>
        <v>23257</v>
      </c>
      <c r="U129" s="14">
        <f t="shared" si="126"/>
        <v>23257</v>
      </c>
      <c r="V129" s="15">
        <f t="shared" si="126"/>
        <v>22640</v>
      </c>
      <c r="W129" s="15">
        <f t="shared" si="126"/>
        <v>22923</v>
      </c>
      <c r="X129" s="15">
        <f t="shared" si="125"/>
        <v>23298</v>
      </c>
      <c r="Y129" s="15">
        <f t="shared" si="125"/>
        <v>23831</v>
      </c>
      <c r="Z129" s="14">
        <f t="shared" si="125"/>
        <v>23831</v>
      </c>
      <c r="AA129" s="15">
        <f t="shared" si="125"/>
        <v>24072</v>
      </c>
      <c r="AB129" s="15">
        <f t="shared" si="125"/>
        <v>24244</v>
      </c>
      <c r="AC129" s="15">
        <f t="shared" ref="AC129:AG129" si="127">AC127</f>
        <v>24405</v>
      </c>
      <c r="AD129" s="15">
        <f t="shared" si="127"/>
        <v>24972</v>
      </c>
      <c r="AE129" s="14">
        <f t="shared" si="127"/>
        <v>24972</v>
      </c>
      <c r="AF129" s="15">
        <f t="shared" si="127"/>
        <v>25511</v>
      </c>
      <c r="AG129" s="15">
        <f t="shared" si="127"/>
        <v>25391</v>
      </c>
      <c r="AH129" s="15">
        <f t="shared" si="125"/>
        <v>25100</v>
      </c>
      <c r="AI129" s="15">
        <f t="shared" si="125"/>
        <v>25124</v>
      </c>
      <c r="AJ129" s="14">
        <f t="shared" si="125"/>
        <v>25124</v>
      </c>
      <c r="AK129" s="15">
        <f t="shared" si="125"/>
        <v>25101</v>
      </c>
      <c r="AL129" s="15">
        <f t="shared" si="125"/>
        <v>25266</v>
      </c>
    </row>
    <row r="130" spans="2:38" x14ac:dyDescent="0.75">
      <c r="D130" s="14"/>
      <c r="E130" s="14"/>
      <c r="F130" s="14"/>
      <c r="G130" s="15"/>
      <c r="H130" s="15"/>
      <c r="I130" s="15"/>
      <c r="J130" s="15"/>
      <c r="K130" s="14"/>
      <c r="L130" s="15"/>
      <c r="M130" s="15"/>
      <c r="N130" s="15"/>
      <c r="O130" s="15"/>
      <c r="P130" s="14"/>
      <c r="Q130" s="15"/>
      <c r="R130" s="15"/>
      <c r="S130" s="15"/>
      <c r="T130" s="15"/>
      <c r="U130" s="14"/>
      <c r="V130" s="15"/>
      <c r="W130" s="15"/>
      <c r="X130" s="15"/>
      <c r="Y130" s="15"/>
      <c r="Z130" s="14"/>
      <c r="AA130" s="15"/>
      <c r="AB130" s="15"/>
      <c r="AC130" s="15"/>
      <c r="AD130" s="15"/>
      <c r="AE130" s="14"/>
      <c r="AF130" s="15"/>
      <c r="AG130" s="15"/>
      <c r="AH130" s="15"/>
      <c r="AI130" s="15"/>
      <c r="AJ130" s="14"/>
      <c r="AK130" s="15"/>
      <c r="AL130" s="15"/>
    </row>
    <row r="131" spans="2:38" x14ac:dyDescent="0.75">
      <c r="B131" t="s">
        <v>185</v>
      </c>
      <c r="C131" t="s">
        <v>146</v>
      </c>
      <c r="D131" s="14" cm="1">
        <f t="array" ref="D131">_xll.VAData("KDP_US", D$3, $C131, "VA Actuals", "CD", "IMPL","","")</f>
        <v>8273</v>
      </c>
      <c r="E131" s="14" cm="1">
        <f t="array" ref="E131">_xll.VAData("KDP_US", E$3, $C131, "VA Actuals", "CD", "IMPL","","")</f>
        <v>8869</v>
      </c>
      <c r="F131" s="14" cm="1">
        <f t="array" ref="F131">_xll.VAData("KDP_US", F$3, $C131, "VA Actuals", "CD", "IMPL","","")</f>
        <v>9791</v>
      </c>
      <c r="G131" s="15" cm="1">
        <f t="array" ref="G131">_xll.VAData("KDP_US", G$3, $C131, "VA Actuals", "CD", "IMPL","","")</f>
        <v>10008</v>
      </c>
      <c r="H131" s="15" cm="1">
        <f t="array" ref="H131">_xll.VAData("KDP_US", H$3, $C131, "VA Actuals", "CD", "IMPL","","")</f>
        <v>10319</v>
      </c>
      <c r="I131" s="15" cm="1">
        <f t="array" ref="I131">_xll.VAData("KDP_US", I$3, $C131, "VA Actuals", "CD", "IMPL","","")</f>
        <v>10039</v>
      </c>
      <c r="J131" s="15" cm="1">
        <f t="array" ref="J131">_xll.VAData("KDP_US", J$3, $C131, "VA Actuals", "CD", "IMPL","","")</f>
        <v>15744</v>
      </c>
      <c r="K131" s="14" cm="1">
        <f t="array" ref="K131">_xll.VAData("KDP_US", K$3, $C131, "VA Actuals", "CD", "IMPL","","")</f>
        <v>15744</v>
      </c>
      <c r="L131" s="15" cm="1">
        <f t="array" ref="L131">_xll.VAData("KDP_US", L$3, $C131, "VA Actuals", "CD", "IMPL","","")</f>
        <v>10179</v>
      </c>
      <c r="M131" s="15" cm="1">
        <f t="array" ref="M131">_xll.VAData("KDP_US", M$3, $C131, "VA Actuals", "CD", "IMPL","","")</f>
        <v>10246</v>
      </c>
      <c r="N131" s="15" cm="1">
        <f t="array" ref="N131">_xll.VAData("KDP_US", N$3, $C131, "VA Actuals", "CD", "IMPL","","")</f>
        <v>49058</v>
      </c>
      <c r="O131" s="15" cm="1">
        <f t="array" ref="O131">_xll.VAData("KDP_US", O$3, $C131, "VA Actuals", "CD", "IMPL","","")</f>
        <v>48918</v>
      </c>
      <c r="P131" s="14" cm="1">
        <f t="array" ref="P131">_xll.VAData("KDP_US", P$3, $C131, "VA Actuals", "CD", "IMPL","","")</f>
        <v>48918</v>
      </c>
      <c r="Q131" s="15" cm="1">
        <f t="array" ref="Q131">_xll.VAData("KDP_US", Q$3, $C131, "VA Actuals", "CD", "IMPL","","")</f>
        <v>49291</v>
      </c>
      <c r="R131" s="15" cm="1">
        <f t="array" ref="R131">_xll.VAData("KDP_US", R$3, $C131, "VA Actuals", "CD", "IMPL","","")</f>
        <v>49547</v>
      </c>
      <c r="S131" s="15" cm="1">
        <f t="array" ref="S131">_xll.VAData("KDP_US", S$3, $C131, "VA Actuals", "CD", "IMPL","","")</f>
        <v>49400</v>
      </c>
      <c r="T131" s="15" cm="1">
        <f t="array" ref="T131">_xll.VAData("KDP_US", T$3, $C131, "VA Actuals", "CD", "IMPL","","")</f>
        <v>49518</v>
      </c>
      <c r="U131" s="14" cm="1">
        <f t="array" ref="U131">_xll.VAData("KDP_US", U$3, $C131, "VA Actuals", "CD", "IMPL","","")</f>
        <v>49518</v>
      </c>
      <c r="V131" s="15" cm="1">
        <f t="array" ref="V131">_xll.VAData("KDP_US", V$3, $C131, "VA Actuals", "CD", "IMPL","","")</f>
        <v>48843</v>
      </c>
      <c r="W131" s="15" cm="1">
        <f t="array" ref="W131">_xll.VAData("KDP_US", W$3, $C131, "VA Actuals", "CD", "IMPL","","")</f>
        <v>49026</v>
      </c>
      <c r="X131" s="15" cm="1">
        <f t="array" ref="X131">_xll.VAData("KDP_US", X$3, $C131, "VA Actuals", "CD", "IMPL","","")</f>
        <v>49381</v>
      </c>
      <c r="Y131" s="15" cm="1">
        <f t="array" ref="Y131">_xll.VAData("KDP_US", Y$3, $C131, "VA Actuals", "CD", "IMPL","","")</f>
        <v>49779</v>
      </c>
      <c r="Z131" s="14" cm="1">
        <f t="array" ref="Z131">_xll.VAData("KDP_US", Z$3, $C131, "VA Actuals", "CD", "IMPL","","")</f>
        <v>49779</v>
      </c>
      <c r="AA131" s="15" cm="1">
        <f t="array" ref="AA131">_xll.VAData("KDP_US", AA$3, $C131, "VA Actuals", "CD", "IMPL","","")</f>
        <v>50403</v>
      </c>
      <c r="AB131" s="15" cm="1">
        <f t="array" ref="AB131">_xll.VAData("KDP_US", AB$3, $C131, "VA Actuals", "CD", "IMPL","","")</f>
        <v>50344</v>
      </c>
      <c r="AC131" s="15" cm="1">
        <f t="array" ref="AC131">_xll.VAData("KDP_US", AC$3, $C131, "VA Actuals", "CD", "IMPL","","")</f>
        <v>50330</v>
      </c>
      <c r="AD131" s="15" cm="1">
        <f t="array" ref="AD131">_xll.VAData("KDP_US", AD$3, $C131, "VA Actuals", "CD", "IMPL","","")</f>
        <v>50598</v>
      </c>
      <c r="AE131" s="14" cm="1">
        <f t="array" ref="AE131">_xll.VAData("KDP_US", AE$3, $C131, "VA Actuals", "CD", "IMPL","","")</f>
        <v>50598</v>
      </c>
      <c r="AF131" s="15" cm="1">
        <f t="array" ref="AF131">_xll.VAData("KDP_US", AF$3, $C131, "VA Actuals", "CD", "IMPL","","")</f>
        <v>51244</v>
      </c>
      <c r="AG131" s="15" cm="1">
        <f t="array" ref="AG131">_xll.VAData("KDP_US", AG$3, $C131, "VA Actuals", "CD", "IMPL","","")</f>
        <v>51428</v>
      </c>
      <c r="AH131" s="15" cm="1">
        <f t="array" ref="AH131">_xll.VAData("KDP_US", AH$3, $C131, "VA Actuals", "CD", "IMPL","","")</f>
        <v>51440</v>
      </c>
      <c r="AI131" s="15" cm="1">
        <f t="array" ref="AI131">_xll.VAData("KDP_US", AI$3, $C131, "VA Actuals", "CD", "IMPL","","")</f>
        <v>51837</v>
      </c>
      <c r="AJ131" s="14" cm="1">
        <f t="array" ref="AJ131">_xll.VAData("KDP_US", AJ$3, $C131, "VA Actuals", "CD", "IMPL","","")</f>
        <v>51837</v>
      </c>
      <c r="AK131" s="15" cm="1">
        <f t="array" ref="AK131">_xll.VAData("KDP_US", AK$3, $C131, "VA Actuals", "CD", "IMPL","","")</f>
        <v>51660</v>
      </c>
      <c r="AL131" s="15" cm="1">
        <f t="array" ref="AL131">_xll.VAData("KDP_US", AL$3, $C131, "VA Actuals", "CD", "IMPL","","")</f>
        <v>51801</v>
      </c>
    </row>
    <row r="132" spans="2:38" x14ac:dyDescent="0.75">
      <c r="D132" s="12"/>
      <c r="E132" s="12"/>
      <c r="F132" s="12"/>
      <c r="K132" s="12"/>
      <c r="P132" s="12"/>
      <c r="U132" s="12"/>
      <c r="Z132" s="12"/>
      <c r="AE132" s="12"/>
      <c r="AJ132" s="12"/>
    </row>
    <row r="133" spans="2:38" x14ac:dyDescent="0.75">
      <c r="B133" s="9" t="s">
        <v>124</v>
      </c>
      <c r="D133" s="13">
        <f>D105-D131</f>
        <v>0</v>
      </c>
      <c r="E133" s="13">
        <f t="shared" ref="E133:AL133" si="128">E105-E131</f>
        <v>0</v>
      </c>
      <c r="F133" s="13">
        <f t="shared" si="128"/>
        <v>0</v>
      </c>
      <c r="G133" s="9">
        <f t="shared" si="128"/>
        <v>0</v>
      </c>
      <c r="H133" s="9">
        <f t="shared" si="128"/>
        <v>0</v>
      </c>
      <c r="I133" s="9">
        <f t="shared" si="128"/>
        <v>0</v>
      </c>
      <c r="J133" s="9">
        <f t="shared" si="128"/>
        <v>0</v>
      </c>
      <c r="K133" s="13">
        <f t="shared" si="128"/>
        <v>0</v>
      </c>
      <c r="L133" s="9">
        <f t="shared" si="128"/>
        <v>0</v>
      </c>
      <c r="M133" s="9">
        <f t="shared" si="128"/>
        <v>0</v>
      </c>
      <c r="N133" s="9">
        <f t="shared" si="128"/>
        <v>0</v>
      </c>
      <c r="O133" s="9">
        <f t="shared" si="128"/>
        <v>0</v>
      </c>
      <c r="P133" s="13">
        <f t="shared" si="128"/>
        <v>0</v>
      </c>
      <c r="Q133" s="9">
        <f t="shared" si="128"/>
        <v>0</v>
      </c>
      <c r="R133" s="9">
        <f t="shared" si="128"/>
        <v>0</v>
      </c>
      <c r="S133" s="9">
        <f t="shared" si="128"/>
        <v>0</v>
      </c>
      <c r="T133" s="9">
        <f t="shared" si="128"/>
        <v>0</v>
      </c>
      <c r="U133" s="13">
        <f t="shared" si="128"/>
        <v>0</v>
      </c>
      <c r="V133" s="9">
        <f t="shared" si="128"/>
        <v>0</v>
      </c>
      <c r="W133" s="9">
        <f t="shared" si="128"/>
        <v>0</v>
      </c>
      <c r="X133" s="9">
        <f t="shared" si="128"/>
        <v>0</v>
      </c>
      <c r="Y133" s="9">
        <f t="shared" si="128"/>
        <v>0</v>
      </c>
      <c r="Z133" s="13">
        <f t="shared" si="128"/>
        <v>0</v>
      </c>
      <c r="AA133" s="9">
        <f t="shared" si="128"/>
        <v>0</v>
      </c>
      <c r="AB133" s="9">
        <f t="shared" si="128"/>
        <v>0</v>
      </c>
      <c r="AC133" s="9">
        <f t="shared" si="128"/>
        <v>0</v>
      </c>
      <c r="AD133" s="9">
        <f t="shared" si="128"/>
        <v>0</v>
      </c>
      <c r="AE133" s="13">
        <f t="shared" si="128"/>
        <v>0</v>
      </c>
      <c r="AF133" s="9">
        <f t="shared" si="128"/>
        <v>0</v>
      </c>
      <c r="AG133" s="9">
        <f t="shared" si="128"/>
        <v>0</v>
      </c>
      <c r="AH133" s="9">
        <f t="shared" si="128"/>
        <v>0</v>
      </c>
      <c r="AI133" s="9">
        <f t="shared" si="128"/>
        <v>0</v>
      </c>
      <c r="AJ133" s="13">
        <f t="shared" si="128"/>
        <v>0</v>
      </c>
      <c r="AK133" s="9">
        <f t="shared" si="128"/>
        <v>0</v>
      </c>
      <c r="AL133" s="9">
        <f t="shared" si="128"/>
        <v>0</v>
      </c>
    </row>
    <row r="134" spans="2:38" x14ac:dyDescent="0.75">
      <c r="D134" s="12"/>
      <c r="E134" s="12"/>
      <c r="F134" s="12"/>
      <c r="K134" s="12"/>
      <c r="P134" s="12"/>
      <c r="U134" s="12"/>
      <c r="Z134" s="12"/>
      <c r="AE134" s="12"/>
      <c r="AJ134" s="12"/>
    </row>
    <row r="135" spans="2:38" x14ac:dyDescent="0.75">
      <c r="D135" s="178" t="s">
        <v>150</v>
      </c>
      <c r="E135" s="178"/>
      <c r="F135" s="178"/>
      <c r="G135" s="178"/>
      <c r="H135" s="178"/>
      <c r="I135" s="17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row>
    <row r="136" spans="2:38" x14ac:dyDescent="0.75">
      <c r="D136" s="12"/>
      <c r="E136" s="12"/>
      <c r="F136" s="12"/>
      <c r="K136" s="12"/>
      <c r="P136" s="12"/>
      <c r="U136" s="12"/>
      <c r="Z136" s="12"/>
      <c r="AE136" s="12"/>
      <c r="AJ136" s="12"/>
    </row>
    <row r="137" spans="2:38" x14ac:dyDescent="0.75">
      <c r="B137" t="s">
        <v>151</v>
      </c>
      <c r="C137" t="s">
        <v>171</v>
      </c>
      <c r="D137" s="14" cm="1">
        <f t="array" ref="D137">_xll.VAData("KDP_US", D$3, $C137, "VA Actuals", "CD", "IMPL","","")</f>
        <v>703</v>
      </c>
      <c r="E137" s="14" cm="1">
        <f t="array" ref="E137">_xll.VAData("KDP_US", E$3, $C137, "VA Actuals", "CD", "IMPL","","")</f>
        <v>764</v>
      </c>
      <c r="F137" s="14" cm="1">
        <f t="array" ref="F137">_xll.VAData("KDP_US", F$3, $C137, "VA Actuals", "CD", "IMPL","","")</f>
        <v>847</v>
      </c>
      <c r="G137" s="15" cm="1">
        <f t="array" ref="G137">_xll.VAData("KDP_US", G$3, $C137, "VA Actuals", "CD", "IMPL","","")</f>
        <v>177</v>
      </c>
      <c r="H137" s="15" cm="1">
        <f t="array" ref="H137">_xll.VAData("KDP_US", H$3, $C137, "VA Actuals", "CD", "IMPL","","")</f>
        <v>188</v>
      </c>
      <c r="I137" s="15" cm="1">
        <f t="array" ref="I137">_xll.VAData("KDP_US", I$3, $C137, "VA Actuals", "CD", "IMPL","","")</f>
        <v>-127</v>
      </c>
      <c r="J137" s="15" cm="1">
        <f t="array" ref="J137">_xll.VAData("KDP_US", J$3, $C137, "VA Actuals", "CD", "IMPL","","")</f>
        <v>838</v>
      </c>
      <c r="K137" s="14" cm="1">
        <f t="array" ref="K137">_xll.VAData("KDP_US", K$3, $C137, "VA Actuals", "CD", "IMPL","","")</f>
        <v>857</v>
      </c>
      <c r="L137" s="15" cm="1">
        <f t="array" ref="L137">_xll.VAData("KDP_US", L$3, $C137, "VA Actuals", "CD", "IMPL","","")</f>
        <v>89</v>
      </c>
      <c r="M137" s="15" cm="1">
        <f t="array" ref="M137">_xll.VAData("KDP_US", M$3, $C137, "VA Actuals", "CD", "IMPL","","")</f>
        <v>85</v>
      </c>
      <c r="N137" s="15" cm="1">
        <f t="array" ref="N137">_xll.VAData("KDP_US", N$3, $C137, "VA Actuals", "CD", "IMPL","","")</f>
        <v>149</v>
      </c>
      <c r="O137" s="15" cm="1">
        <f t="array" ref="O137">_xll.VAData("KDP_US", O$3, $C137, "VA Actuals", "CD", "IMPL","","")</f>
        <v>619</v>
      </c>
      <c r="P137" s="14" cm="1">
        <f t="array" ref="P137">_xll.VAData("KDP_US", P$3, $C137, "VA Actuals", "CD", "IMPL","","")</f>
        <v>589</v>
      </c>
      <c r="Q137" s="15" cm="1">
        <f t="array" ref="Q137">_xll.VAData("KDP_US", Q$3, $C137, "VA Actuals", "CD", "IMPL","","")</f>
        <v>230</v>
      </c>
      <c r="R137" s="15" cm="1">
        <f t="array" ref="R137">_xll.VAData("KDP_US", R$3, $C137, "VA Actuals", "CD", "IMPL","","")</f>
        <v>314</v>
      </c>
      <c r="S137" s="15" cm="1">
        <f t="array" ref="S137">_xll.VAData("KDP_US", S$3, $C137, "VA Actuals", "CD", "IMPL","","")</f>
        <v>304</v>
      </c>
      <c r="T137" s="15" cm="1">
        <f t="array" ref="T137">_xll.VAData("KDP_US", T$3, $C137, "VA Actuals", "CD", "IMPL","","")</f>
        <v>406</v>
      </c>
      <c r="U137" s="14" cm="1">
        <f t="array" ref="U137">_xll.VAData("KDP_US", U$3, $C137, "VA Actuals", "CD", "IMPL","","")</f>
        <v>1254</v>
      </c>
      <c r="V137" s="15" cm="1">
        <f t="array" ref="V137">_xll.VAData("KDP_US", V$3, $C137, "VA Actuals", "CD", "IMPL","","")</f>
        <v>156</v>
      </c>
      <c r="W137" s="15" cm="1">
        <f t="array" ref="W137">_xll.VAData("KDP_US", W$3, $C137, "VA Actuals", "CD", "IMPL","","")</f>
        <v>298</v>
      </c>
      <c r="X137" s="15" cm="1">
        <f t="array" ref="X137">_xll.VAData("KDP_US", X$3, $C137, "VA Actuals", "CD", "IMPL","","")</f>
        <v>443</v>
      </c>
      <c r="Y137" s="15" cm="1">
        <f t="array" ref="Y137">_xll.VAData("KDP_US", Y$3, $C137, "VA Actuals", "CD", "IMPL","","")</f>
        <v>428</v>
      </c>
      <c r="Z137" s="14" cm="1">
        <f t="array" ref="Z137">_xll.VAData("KDP_US", Z$3, $C137, "VA Actuals", "CD", "IMPL","","")</f>
        <v>1325</v>
      </c>
      <c r="AA137" s="15" cm="1">
        <f t="array" ref="AA137">_xll.VAData("KDP_US", AA$3, $C137, "VA Actuals", "CD", "IMPL","","")</f>
        <v>325</v>
      </c>
      <c r="AB137" s="15" cm="1">
        <f t="array" ref="AB137">_xll.VAData("KDP_US", AB$3, $C137, "VA Actuals", "CD", "IMPL","","")</f>
        <v>448</v>
      </c>
      <c r="AC137" s="15" cm="1">
        <f t="array" ref="AC137">_xll.VAData("KDP_US", AC$3, $C137, "VA Actuals", "CD", "IMPL","","")</f>
        <v>530</v>
      </c>
      <c r="AD137" s="15" cm="1">
        <f t="array" ref="AD137">_xll.VAData("KDP_US", AD$3, $C137, "VA Actuals", "CD", "IMPL","","")</f>
        <v>843</v>
      </c>
      <c r="AE137" s="14" cm="1">
        <f t="array" ref="AE137">_xll.VAData("KDP_US", AE$3, $C137, "VA Actuals", "CD", "IMPL","","")</f>
        <v>2146</v>
      </c>
      <c r="AF137" s="15" cm="1">
        <f t="array" ref="AF137">_xll.VAData("KDP_US", AF$3, $C137, "VA Actuals", "CD", "IMPL","","")</f>
        <v>585</v>
      </c>
      <c r="AG137" s="15" cm="1">
        <f t="array" ref="AG137">_xll.VAData("KDP_US", AG$3, $C137, "VA Actuals", "CD", "IMPL","","")</f>
        <v>218</v>
      </c>
      <c r="AH137" s="15" cm="1">
        <f t="array" ref="AH137">_xll.VAData("KDP_US", AH$3, $C137, "VA Actuals", "CD", "IMPL","","")</f>
        <v>180</v>
      </c>
      <c r="AI137" s="15" cm="1">
        <f t="array" ref="AI137">_xll.VAData("KDP_US", AI$3, $C137, "VA Actuals", "CD", "IMPL","","")</f>
        <v>453</v>
      </c>
      <c r="AJ137" s="14" cm="1">
        <f t="array" ref="AJ137">_xll.VAData("KDP_US", AJ$3, $C137, "VA Actuals", "CD", "IMPL","","")</f>
        <v>1436</v>
      </c>
      <c r="AK137" s="15" cm="1">
        <f t="array" ref="AK137">_xll.VAData("KDP_US", AK$3, $C137, "VA Actuals", "CD", "IMPL","","")</f>
        <v>467</v>
      </c>
      <c r="AL137" s="15" cm="1">
        <f t="array" ref="AL137">_xll.VAData("KDP_US", AL$3, $C137, "VA Actuals", "CD", "IMPL","","")</f>
        <v>503</v>
      </c>
    </row>
    <row r="138" spans="2:38" x14ac:dyDescent="0.75">
      <c r="B138" t="s">
        <v>175</v>
      </c>
      <c r="C138" t="s">
        <v>175</v>
      </c>
      <c r="D138" s="14" cm="1">
        <f t="array" ref="D138">_xll.VAData("KDP_US", D$3, $C138, "VA Actuals", "CD", "IMPL","","")</f>
        <v>235</v>
      </c>
      <c r="E138" s="14" cm="1">
        <f t="array" ref="E138">_xll.VAData("KDP_US", E$3, $C138, "VA Actuals", "CD", "IMPL","","")</f>
        <v>227</v>
      </c>
      <c r="F138" s="14" cm="1">
        <f t="array" ref="F138">_xll.VAData("KDP_US", F$3, $C138, "VA Actuals", "CD", "IMPL","","")</f>
        <v>224</v>
      </c>
      <c r="G138" s="15" cm="1">
        <f t="array" ref="G138">_xll.VAData("KDP_US", G$3, $C138, "VA Actuals", "CD", "IMPL","","")</f>
        <v>60</v>
      </c>
      <c r="H138" s="15" cm="1">
        <f t="array" ref="H138">_xll.VAData("KDP_US", H$3, $C138, "VA Actuals", "CD", "IMPL","","")</f>
        <v>55</v>
      </c>
      <c r="I138" s="15" cm="1">
        <f t="array" ref="I138">_xll.VAData("KDP_US", I$3, $C138, "VA Actuals", "CD", "IMPL","","")</f>
        <v>79</v>
      </c>
      <c r="J138" s="15" cm="1">
        <f t="array" ref="J138">_xll.VAData("KDP_US", J$3, $C138, "VA Actuals", "CD", "IMPL","","")</f>
        <v>35</v>
      </c>
      <c r="K138" s="14" cm="1">
        <f t="array" ref="K138">_xll.VAData("KDP_US", K$3, $C138, "VA Actuals", "CD", "IMPL","","")</f>
        <v>260</v>
      </c>
      <c r="L138" s="15" cm="1">
        <f t="array" ref="L138">_xll.VAData("KDP_US", L$3, $C138, "VA Actuals", "CD", "IMPL","","")</f>
        <v>65</v>
      </c>
      <c r="M138" s="15" cm="1">
        <f t="array" ref="M138">_xll.VAData("KDP_US", M$3, $C138, "VA Actuals", "CD", "IMPL","","")</f>
        <v>66</v>
      </c>
      <c r="N138" s="15" cm="1">
        <f t="array" ref="N138">_xll.VAData("KDP_US", N$3, $C138, "VA Actuals", "CD", "IMPL","","")</f>
        <v>163</v>
      </c>
      <c r="O138" s="15" cm="1">
        <f t="array" ref="O138">_xll.VAData("KDP_US", O$3, $C138, "VA Actuals", "CD", "IMPL","","")</f>
        <v>168</v>
      </c>
      <c r="P138" s="14" cm="1">
        <f t="array" ref="P138">_xll.VAData("KDP_US", P$3, $C138, "VA Actuals", "CD", "IMPL","","")</f>
        <v>462</v>
      </c>
      <c r="Q138" s="15" cm="1">
        <f t="array" ref="Q138">_xll.VAData("KDP_US", Q$3, $C138, "VA Actuals", "CD", "IMPL","","")</f>
        <v>163</v>
      </c>
      <c r="R138" s="15" cm="1">
        <f t="array" ref="R138">_xll.VAData("KDP_US", R$3, $C138, "VA Actuals", "CD", "IMPL","","")</f>
        <v>181</v>
      </c>
      <c r="S138" s="15" cm="1">
        <f t="array" ref="S138">_xll.VAData("KDP_US", S$3, $C138, "VA Actuals", "CD", "IMPL","","")</f>
        <v>186</v>
      </c>
      <c r="T138" s="15" cm="1">
        <f t="array" ref="T138">_xll.VAData("KDP_US", T$3, $C138, "VA Actuals", "CD", "IMPL","","")</f>
        <v>168</v>
      </c>
      <c r="U138" s="14" cm="1">
        <f t="array" ref="U138">_xll.VAData("KDP_US", U$3, $C138, "VA Actuals", "CD", "IMPL","","")</f>
        <v>698</v>
      </c>
      <c r="V138" s="15" cm="1">
        <f t="array" ref="V138">_xll.VAData("KDP_US", V$3, $C138, "VA Actuals", "CD", "IMPL","","")</f>
        <v>163</v>
      </c>
      <c r="W138" s="15" cm="1">
        <f t="array" ref="W138">_xll.VAData("KDP_US", W$3, $C138, "VA Actuals", "CD", "IMPL","","")</f>
        <v>162</v>
      </c>
      <c r="X138" s="15" cm="1">
        <f t="array" ref="X138">_xll.VAData("KDP_US", X$3, $C138, "VA Actuals", "CD", "IMPL","","")</f>
        <v>165</v>
      </c>
      <c r="Y138" s="15" cm="1">
        <f t="array" ref="Y138">_xll.VAData("KDP_US", Y$3, $C138, "VA Actuals", "CD", "IMPL","","")</f>
        <v>163</v>
      </c>
      <c r="Z138" s="14" cm="1">
        <f t="array" ref="Z138">_xll.VAData("KDP_US", Z$3, $C138, "VA Actuals", "CD", "IMPL","","")</f>
        <v>653</v>
      </c>
      <c r="AA138" s="15" cm="1">
        <f t="array" ref="AA138">_xll.VAData("KDP_US", AA$3, $C138, "VA Actuals", "CD", "IMPL","","")</f>
        <v>175</v>
      </c>
      <c r="AB138" s="15" cm="1">
        <f t="array" ref="AB138">_xll.VAData("KDP_US", AB$3, $C138, "VA Actuals", "CD", "IMPL","","")</f>
        <v>178</v>
      </c>
      <c r="AC138" s="15" cm="1">
        <f t="array" ref="AC138">_xll.VAData("KDP_US", AC$3, $C138, "VA Actuals", "CD", "IMPL","","")</f>
        <v>170</v>
      </c>
      <c r="AD138" s="15" cm="1">
        <f t="array" ref="AD138">_xll.VAData("KDP_US", AD$3, $C138, "VA Actuals", "CD", "IMPL","","")</f>
        <v>185</v>
      </c>
      <c r="AE138" s="14" cm="1">
        <f t="array" ref="AE138">_xll.VAData("KDP_US", AE$3, $C138, "VA Actuals", "CD", "IMPL","","")</f>
        <v>708</v>
      </c>
      <c r="AF138" s="15" cm="1">
        <f t="array" ref="AF138">_xll.VAData("KDP_US", AF$3, $C138, "VA Actuals", "CD", "IMPL","","")</f>
        <v>182</v>
      </c>
      <c r="AG138" s="15" cm="1">
        <f t="array" ref="AG138">_xll.VAData("KDP_US", AG$3, $C138, "VA Actuals", "CD", "IMPL","","")</f>
        <v>176</v>
      </c>
      <c r="AH138" s="15" cm="1">
        <f t="array" ref="AH138">_xll.VAData("KDP_US", AH$3, $C138, "VA Actuals", "CD", "IMPL","","")</f>
        <v>172</v>
      </c>
      <c r="AI138" s="15" cm="1">
        <f t="array" ref="AI138">_xll.VAData("KDP_US", AI$3, $C138, "VA Actuals", "CD", "IMPL","","")</f>
        <v>179</v>
      </c>
      <c r="AJ138" s="14" cm="1">
        <f t="array" ref="AJ138">_xll.VAData("KDP_US", AJ$3, $C138, "VA Actuals", "CD", "IMPL","","")</f>
        <v>709</v>
      </c>
      <c r="AK138" s="15" cm="1">
        <f t="array" ref="AK138">_xll.VAData("KDP_US", AK$3, $C138, "VA Actuals", "CD", "IMPL","","")</f>
        <v>186</v>
      </c>
      <c r="AL138" s="15" cm="1">
        <f t="array" ref="AL138">_xll.VAData("KDP_US", AL$3, $C138, "VA Actuals", "CD", "IMPL","","")</f>
        <v>175</v>
      </c>
    </row>
    <row r="139" spans="2:38" x14ac:dyDescent="0.75">
      <c r="B139" t="s">
        <v>152</v>
      </c>
      <c r="C139" t="s">
        <v>152</v>
      </c>
      <c r="D139" s="14" cm="1">
        <f t="array" ref="D139">_xll.VAData("KDP_US", D$3, $C139, "VA Actuals", "CD", "IMPL","","")</f>
        <v>47</v>
      </c>
      <c r="E139" s="14" cm="1">
        <f t="array" ref="E139">_xll.VAData("KDP_US", E$3, $C139, "VA Actuals", "CD", "IMPL","","")</f>
        <v>6</v>
      </c>
      <c r="F139" s="14" cm="1">
        <f t="array" ref="F139">_xll.VAData("KDP_US", F$3, $C139, "VA Actuals", "CD", "IMPL","","")</f>
        <v>9</v>
      </c>
      <c r="G139" s="15" cm="1">
        <f t="array" ref="G139">_xll.VAData("KDP_US", G$3, $C139, "VA Actuals", "CD", "IMPL","","")</f>
        <v>-9</v>
      </c>
      <c r="H139" s="15" cm="1">
        <f t="array" ref="H139">_xll.VAData("KDP_US", H$3, $C139, "VA Actuals", "CD", "IMPL","","")</f>
        <v>75</v>
      </c>
      <c r="I139" s="15" cm="1">
        <f t="array" ref="I139">_xll.VAData("KDP_US", I$3, $C139, "VA Actuals", "CD", "IMPL","","")</f>
        <v>166</v>
      </c>
      <c r="J139" s="15" cm="1">
        <f t="array" ref="J139">_xll.VAData("KDP_US", J$3, $C139, "VA Actuals", "CD", "IMPL","","")</f>
        <v>-454</v>
      </c>
      <c r="K139" s="14" cm="1">
        <f t="array" ref="K139">_xll.VAData("KDP_US", K$3, $C139, "VA Actuals", "CD", "IMPL","","")</f>
        <v>-215</v>
      </c>
      <c r="L139" s="15" cm="1">
        <f t="array" ref="L139">_xll.VAData("KDP_US", L$3, $C139, "VA Actuals", "CD", "IMPL","","")</f>
        <v>7</v>
      </c>
      <c r="M139" s="15" cm="1">
        <f t="array" ref="M139">_xll.VAData("KDP_US", M$3, $C139, "VA Actuals", "CD", "IMPL","","")</f>
        <v>-26.3333333333333</v>
      </c>
      <c r="N139" s="15" cm="1">
        <f t="array" ref="N139">_xll.VAData("KDP_US", N$3, $C139, "VA Actuals", "CD", "IMPL","","")</f>
        <v>-24</v>
      </c>
      <c r="O139" s="15" cm="1">
        <f t="array" ref="O139">_xll.VAData("KDP_US", O$3, $C139, "VA Actuals", "CD", "IMPL","","")</f>
        <v>-182</v>
      </c>
      <c r="P139" s="14" cm="1">
        <f t="array" ref="P139">_xll.VAData("KDP_US", P$3, $C139, "VA Actuals", "CD", "IMPL","","")</f>
        <v>105</v>
      </c>
      <c r="Q139" s="15" cm="1">
        <f t="array" ref="Q139">_xll.VAData("KDP_US", Q$3, $C139, "VA Actuals", "CD", "IMPL","","")</f>
        <v>23</v>
      </c>
      <c r="R139" s="15" cm="1">
        <f t="array" ref="R139">_xll.VAData("KDP_US", R$3, $C139, "VA Actuals", "CD", "IMPL","","")</f>
        <v>57</v>
      </c>
      <c r="S139" s="15" cm="1">
        <f t="array" ref="S139">_xll.VAData("KDP_US", S$3, $C139, "VA Actuals", "CD", "IMPL","","")</f>
        <v>86</v>
      </c>
      <c r="T139" s="15" cm="1">
        <f t="array" ref="T139">_xll.VAData("KDP_US", T$3, $C139, "VA Actuals", "CD", "IMPL","","")</f>
        <v>-42</v>
      </c>
      <c r="U139" s="14" cm="1">
        <f t="array" ref="U139">_xll.VAData("KDP_US", U$3, $C139, "VA Actuals", "CD", "IMPL","","")</f>
        <v>156</v>
      </c>
      <c r="V139" s="15" cm="1">
        <f t="array" ref="V139">_xll.VAData("KDP_US", V$3, $C139, "VA Actuals", "CD", "IMPL","","")</f>
        <v>168</v>
      </c>
      <c r="W139" s="15" cm="1">
        <f t="array" ref="W139">_xll.VAData("KDP_US", W$3, $C139, "VA Actuals", "CD", "IMPL","","")</f>
        <v>57</v>
      </c>
      <c r="X139" s="15" cm="1">
        <f t="array" ref="X139">_xll.VAData("KDP_US", X$3, $C139, "VA Actuals", "CD", "IMPL","","")</f>
        <v>43</v>
      </c>
      <c r="Y139" s="15" cm="1">
        <f t="array" ref="Y139">_xll.VAData("KDP_US", Y$3, $C139, "VA Actuals", "CD", "IMPL","","")</f>
        <v>44</v>
      </c>
      <c r="Z139" s="14" cm="1">
        <f t="array" ref="Z139">_xll.VAData("KDP_US", Z$3, $C139, "VA Actuals", "CD", "IMPL","","")</f>
        <v>312</v>
      </c>
      <c r="AA139" s="15" cm="1">
        <f t="array" ref="AA139">_xll.VAData("KDP_US", AA$3, $C139, "VA Actuals", "CD", "IMPL","","")</f>
        <v>123</v>
      </c>
      <c r="AB139" s="15" cm="1">
        <f t="array" ref="AB139">_xll.VAData("KDP_US", AB$3, $C139, "VA Actuals", "CD", "IMPL","","")</f>
        <v>-37</v>
      </c>
      <c r="AC139" s="15" cm="1">
        <f t="array" ref="AC139">_xll.VAData("KDP_US", AC$3, $C139, "VA Actuals", "CD", "IMPL","","")</f>
        <v>28</v>
      </c>
      <c r="AD139" s="15" cm="1">
        <f t="array" ref="AD139">_xll.VAData("KDP_US", AD$3, $C139, "VA Actuals", "CD", "IMPL","","")</f>
        <v>-445</v>
      </c>
      <c r="AE139" s="14" cm="1">
        <f t="array" ref="AE139">_xll.VAData("KDP_US", AE$3, $C139, "VA Actuals", "CD", "IMPL","","")</f>
        <v>-331</v>
      </c>
      <c r="AF139" s="15" cm="1">
        <f t="array" ref="AF139">_xll.VAData("KDP_US", AF$3, $C139, "VA Actuals", "CD", "IMPL","","")</f>
        <v>-24</v>
      </c>
      <c r="AG139" s="15" cm="1">
        <f t="array" ref="AG139">_xll.VAData("KDP_US", AG$3, $C139, "VA Actuals", "CD", "IMPL","","")</f>
        <v>496</v>
      </c>
      <c r="AH139" s="15" cm="1">
        <f t="array" ref="AH139">_xll.VAData("KDP_US", AH$3, $C139, "VA Actuals", "CD", "IMPL","","")</f>
        <v>342</v>
      </c>
      <c r="AI139" s="15" cm="1">
        <f t="array" ref="AI139">_xll.VAData("KDP_US", AI$3, $C139, "VA Actuals", "CD", "IMPL","","")</f>
        <v>153</v>
      </c>
      <c r="AJ139" s="14" cm="1">
        <f t="array" ref="AJ139">_xll.VAData("KDP_US", AJ$3, $C139, "VA Actuals", "CD", "IMPL","","")</f>
        <v>967</v>
      </c>
      <c r="AK139" s="15" cm="1">
        <f t="array" ref="AK139">_xll.VAData("KDP_US", AK$3, $C139, "VA Actuals", "CD", "IMPL","","")</f>
        <v>-76</v>
      </c>
      <c r="AL139" s="15" cm="1">
        <f t="array" ref="AL139">_xll.VAData("KDP_US", AL$3, $C139, "VA Actuals", "CD", "IMPL","","")</f>
        <v>64</v>
      </c>
    </row>
    <row r="140" spans="2:38" x14ac:dyDescent="0.75">
      <c r="B140" t="s">
        <v>153</v>
      </c>
      <c r="D140" s="14"/>
      <c r="E140" s="14"/>
      <c r="F140" s="14"/>
      <c r="G140" s="15"/>
      <c r="H140" s="15"/>
      <c r="I140" s="15"/>
      <c r="J140" s="15"/>
      <c r="K140" s="14"/>
      <c r="L140" s="15"/>
      <c r="M140" s="15"/>
      <c r="N140" s="15"/>
      <c r="O140" s="15"/>
      <c r="P140" s="14"/>
      <c r="Q140" s="15"/>
      <c r="R140" s="15"/>
      <c r="S140" s="15"/>
      <c r="T140" s="15"/>
      <c r="U140" s="14"/>
      <c r="V140" s="15"/>
      <c r="W140" s="15"/>
      <c r="X140" s="15"/>
      <c r="Y140" s="15"/>
      <c r="Z140" s="14"/>
      <c r="AA140" s="15"/>
      <c r="AB140" s="15"/>
      <c r="AC140" s="15"/>
      <c r="AD140" s="15"/>
      <c r="AE140" s="14"/>
      <c r="AF140" s="15"/>
      <c r="AG140" s="15"/>
      <c r="AH140" s="15"/>
      <c r="AI140" s="15"/>
      <c r="AJ140" s="14"/>
      <c r="AK140" s="15"/>
      <c r="AL140" s="15"/>
    </row>
    <row r="141" spans="2:38" x14ac:dyDescent="0.75">
      <c r="B141" s="4" t="s">
        <v>176</v>
      </c>
      <c r="C141" t="s">
        <v>176</v>
      </c>
      <c r="D141" s="14" cm="1">
        <f t="array" ref="D141">_xll.VAData("KDP_US", D$3, $C141, "VA Actuals", "CD", "IMPL","","")</f>
        <v>-5</v>
      </c>
      <c r="E141" s="14" cm="1">
        <f t="array" ref="E141">_xll.VAData("KDP_US", E$3, $C141, "VA Actuals", "CD", "IMPL","","")</f>
        <v>-25</v>
      </c>
      <c r="F141" s="14" cm="1">
        <f t="array" ref="F141">_xll.VAData("KDP_US", F$3, $C141, "VA Actuals", "CD", "IMPL","","")</f>
        <v>-28</v>
      </c>
      <c r="G141" s="15" cm="1">
        <f t="array" ref="G141">_xll.VAData("KDP_US", G$3, $C141, "VA Actuals", "CD", "IMPL","","")</f>
        <v>23</v>
      </c>
      <c r="H141" s="15" cm="1">
        <f t="array" ref="H141">_xll.VAData("KDP_US", H$3, $C141, "VA Actuals", "CD", "IMPL","","")</f>
        <v>-85</v>
      </c>
      <c r="I141" s="15" cm="1">
        <f t="array" ref="I141">_xll.VAData("KDP_US", I$3, $C141, "VA Actuals", "CD", "IMPL","","")</f>
        <v>53</v>
      </c>
      <c r="J141" s="15" cm="1">
        <f t="array" ref="J141">_xll.VAData("KDP_US", J$3, $C141, "VA Actuals", "CD", "IMPL","","")</f>
        <v>-29</v>
      </c>
      <c r="K141" s="14" cm="1">
        <f t="array" ref="K141">_xll.VAData("KDP_US", K$3, $C141, "VA Actuals", "CD", "IMPL","","")</f>
        <v>-64</v>
      </c>
      <c r="L141" s="15" cm="1">
        <f t="array" ref="L141">_xll.VAData("KDP_US", L$3, $C141, "VA Actuals", "CD", "IMPL","","")</f>
        <v>97</v>
      </c>
      <c r="M141" s="15" cm="1">
        <f t="array" ref="M141">_xll.VAData("KDP_US", M$3, $C141, "VA Actuals", "CD", "IMPL","","")</f>
        <v>22</v>
      </c>
      <c r="N141" s="15" cm="1">
        <f t="array" ref="N141">_xll.VAData("KDP_US", N$3, $C141, "VA Actuals", "CD", "IMPL","","")</f>
        <v>-71</v>
      </c>
      <c r="O141" s="15" cm="1">
        <f t="array" ref="O141">_xll.VAData("KDP_US", O$3, $C141, "VA Actuals", "CD", "IMPL","","")</f>
        <v>-55</v>
      </c>
      <c r="P141" s="14" cm="1">
        <f t="array" ref="P141">_xll.VAData("KDP_US", P$3, $C141, "VA Actuals", "CD", "IMPL","","")</f>
        <v>82</v>
      </c>
      <c r="Q141" s="15" cm="1">
        <f t="array" ref="Q141">_xll.VAData("KDP_US", Q$3, $C141, "VA Actuals", "CD", "IMPL","","")</f>
        <v>126</v>
      </c>
      <c r="R141" s="15" cm="1">
        <f t="array" ref="R141">_xll.VAData("KDP_US", R$3, $C141, "VA Actuals", "CD", "IMPL","","")</f>
        <v>-58</v>
      </c>
      <c r="S141" s="15" cm="1">
        <f t="array" ref="S141">_xll.VAData("KDP_US", S$3, $C141, "VA Actuals", "CD", "IMPL","","")</f>
        <v>-32</v>
      </c>
      <c r="T141" s="15" cm="1">
        <f t="array" ref="T141">_xll.VAData("KDP_US", T$3, $C141, "VA Actuals", "CD", "IMPL","","")</f>
        <v>-43</v>
      </c>
      <c r="U141" s="14" cm="1">
        <f t="array" ref="U141">_xll.VAData("KDP_US", U$3, $C141, "VA Actuals", "CD", "IMPL","","")</f>
        <v>-7</v>
      </c>
      <c r="V141" s="15" cm="1">
        <f t="array" ref="V141">_xll.VAData("KDP_US", V$3, $C141, "VA Actuals", "CD", "IMPL","","")</f>
        <v>42</v>
      </c>
      <c r="W141" s="15" cm="1">
        <f t="array" ref="W141">_xll.VAData("KDP_US", W$3, $C141, "VA Actuals", "CD", "IMPL","","")</f>
        <v>16</v>
      </c>
      <c r="X141" s="15" cm="1">
        <f t="array" ref="X141">_xll.VAData("KDP_US", X$3, $C141, "VA Actuals", "CD", "IMPL","","")</f>
        <v>-59</v>
      </c>
      <c r="Y141" s="15" cm="1">
        <f t="array" ref="Y141">_xll.VAData("KDP_US", Y$3, $C141, "VA Actuals", "CD", "IMPL","","")</f>
        <v>-4</v>
      </c>
      <c r="Z141" s="14" cm="1">
        <f t="array" ref="Z141">_xll.VAData("KDP_US", Z$3, $C141, "VA Actuals", "CD", "IMPL","","")</f>
        <v>-5</v>
      </c>
      <c r="AA141" s="15" cm="1">
        <f t="array" ref="AA141">_xll.VAData("KDP_US", AA$3, $C141, "VA Actuals", "CD", "IMPL","","")</f>
        <v>-37</v>
      </c>
      <c r="AB141" s="15" cm="1">
        <f t="array" ref="AB141">_xll.VAData("KDP_US", AB$3, $C141, "VA Actuals", "CD", "IMPL","","")</f>
        <v>-4</v>
      </c>
      <c r="AC141" s="15" cm="1">
        <f t="array" ref="AC141">_xll.VAData("KDP_US", AC$3, $C141, "VA Actuals", "CD", "IMPL","","")</f>
        <v>-85</v>
      </c>
      <c r="AD141" s="15" cm="1">
        <f t="array" ref="AD141">_xll.VAData("KDP_US", AD$3, $C141, "VA Actuals", "CD", "IMPL","","")</f>
        <v>-26</v>
      </c>
      <c r="AE141" s="14" cm="1">
        <f t="array" ref="AE141">_xll.VAData("KDP_US", AE$3, $C141, "VA Actuals", "CD", "IMPL","","")</f>
        <v>-152</v>
      </c>
      <c r="AF141" s="15" cm="1">
        <f t="array" ref="AF141">_xll.VAData("KDP_US", AF$3, $C141, "VA Actuals", "CD", "IMPL","","")</f>
        <v>-73</v>
      </c>
      <c r="AG141" s="15" cm="1">
        <f t="array" ref="AG141">_xll.VAData("KDP_US", AG$3, $C141, "VA Actuals", "CD", "IMPL","","")</f>
        <v>-133</v>
      </c>
      <c r="AH141" s="15" cm="1">
        <f t="array" ref="AH141">_xll.VAData("KDP_US", AH$3, $C141, "VA Actuals", "CD", "IMPL","","")</f>
        <v>-166</v>
      </c>
      <c r="AI141" s="15" cm="1">
        <f t="array" ref="AI141">_xll.VAData("KDP_US", AI$3, $C141, "VA Actuals", "CD", "IMPL","","")</f>
        <v>-26</v>
      </c>
      <c r="AJ141" s="14" cm="1">
        <f t="array" ref="AJ141">_xll.VAData("KDP_US", AJ$3, $C141, "VA Actuals", "CD", "IMPL","","")</f>
        <v>-398</v>
      </c>
      <c r="AK141" s="15" cm="1">
        <f t="array" ref="AK141">_xll.VAData("KDP_US", AK$3, $C141, "VA Actuals", "CD", "IMPL","","")</f>
        <v>28</v>
      </c>
      <c r="AL141" s="15" cm="1">
        <f t="array" ref="AL141">_xll.VAData("KDP_US", AL$3, $C141, "VA Actuals", "CD", "IMPL","","")</f>
        <v>134</v>
      </c>
    </row>
    <row r="142" spans="2:38" x14ac:dyDescent="0.75">
      <c r="B142" s="4" t="s">
        <v>154</v>
      </c>
      <c r="C142" t="s">
        <v>154</v>
      </c>
      <c r="D142" s="14" cm="1">
        <f t="array" ref="D142">_xll.VAData("KDP_US", D$3, $C142, "VA Actuals", "CD", "IMPL","","")</f>
        <v>-8</v>
      </c>
      <c r="E142" s="14" cm="1">
        <f t="array" ref="E142">_xll.VAData("KDP_US", E$3, $C142, "VA Actuals", "CD", "IMPL","","")</f>
        <v>-11</v>
      </c>
      <c r="F142" s="14" cm="1">
        <f t="array" ref="F142">_xll.VAData("KDP_US", F$3, $C142, "VA Actuals", "CD", "IMPL","","")</f>
        <v>3</v>
      </c>
      <c r="G142" s="15" cm="1">
        <f t="array" ref="G142">_xll.VAData("KDP_US", G$3, $C142, "VA Actuals", "CD", "IMPL","","")</f>
        <v>-16</v>
      </c>
      <c r="H142" s="15" cm="1">
        <f t="array" ref="H142">_xll.VAData("KDP_US", H$3, $C142, "VA Actuals", "CD", "IMPL","","")</f>
        <v>-19</v>
      </c>
      <c r="I142" s="15" cm="1">
        <f t="array" ref="I142">_xll.VAData("KDP_US", I$3, $C142, "VA Actuals", "CD", "IMPL","","")</f>
        <v>-4</v>
      </c>
      <c r="J142" s="15" cm="1">
        <f t="array" ref="J142">_xll.VAData("KDP_US", J$3, $C142, "VA Actuals", "CD", "IMPL","","")</f>
        <v>39</v>
      </c>
      <c r="K142" s="14" cm="1">
        <f t="array" ref="K142">_xll.VAData("KDP_US", K$3, $C142, "VA Actuals", "CD", "IMPL","","")</f>
        <v>50</v>
      </c>
      <c r="L142" s="15" cm="1">
        <f t="array" ref="L142">_xll.VAData("KDP_US", L$3, $C142, "VA Actuals", "CD", "IMPL","","")</f>
        <v>-7</v>
      </c>
      <c r="M142" s="15" cm="1">
        <f t="array" ref="M142">_xll.VAData("KDP_US", M$3, $C142, "VA Actuals", "CD", "IMPL","","")</f>
        <v>-23</v>
      </c>
      <c r="N142" s="15" cm="1">
        <f t="array" ref="N142">_xll.VAData("KDP_US", N$3, $C142, "VA Actuals", "CD", "IMPL","","")</f>
        <v>121</v>
      </c>
      <c r="O142" s="15" cm="1">
        <f t="array" ref="O142">_xll.VAData("KDP_US", O$3, $C142, "VA Actuals", "CD", "IMPL","","")</f>
        <v>94</v>
      </c>
      <c r="P142" s="14" cm="1">
        <f t="array" ref="P142">_xll.VAData("KDP_US", P$3, $C142, "VA Actuals", "CD", "IMPL","","")</f>
        <v>185</v>
      </c>
      <c r="Q142" s="15" cm="1">
        <f t="array" ref="Q142">_xll.VAData("KDP_US", Q$3, $C142, "VA Actuals", "CD", "IMPL","","")</f>
        <v>-36</v>
      </c>
      <c r="R142" s="15" cm="1">
        <f t="array" ref="R142">_xll.VAData("KDP_US", R$3, $C142, "VA Actuals", "CD", "IMPL","","")</f>
        <v>-20</v>
      </c>
      <c r="S142" s="15" cm="1">
        <f t="array" ref="S142">_xll.VAData("KDP_US", S$3, $C142, "VA Actuals", "CD", "IMPL","","")</f>
        <v>-68</v>
      </c>
      <c r="T142" s="15" cm="1">
        <f t="array" ref="T142">_xll.VAData("KDP_US", T$3, $C142, "VA Actuals", "CD", "IMPL","","")</f>
        <v>100</v>
      </c>
      <c r="U142" s="14" cm="1">
        <f t="array" ref="U142">_xll.VAData("KDP_US", U$3, $C142, "VA Actuals", "CD", "IMPL","","")</f>
        <v>-24</v>
      </c>
      <c r="V142" s="15" cm="1">
        <f t="array" ref="V142">_xll.VAData("KDP_US", V$3, $C142, "VA Actuals", "CD", "IMPL","","")</f>
        <v>-38</v>
      </c>
      <c r="W142" s="15" cm="1">
        <f t="array" ref="W142">_xll.VAData("KDP_US", W$3, $C142, "VA Actuals", "CD", "IMPL","","")</f>
        <v>-63</v>
      </c>
      <c r="X142" s="15" cm="1">
        <f t="array" ref="X142">_xll.VAData("KDP_US", X$3, $C142, "VA Actuals", "CD", "IMPL","","")</f>
        <v>-74</v>
      </c>
      <c r="Y142" s="15" cm="1">
        <f t="array" ref="Y142">_xll.VAData("KDP_US", Y$3, $C142, "VA Actuals", "CD", "IMPL","","")</f>
        <v>68</v>
      </c>
      <c r="Z142" s="14" cm="1">
        <f t="array" ref="Z142">_xll.VAData("KDP_US", Z$3, $C142, "VA Actuals", "CD", "IMPL","","")</f>
        <v>-107</v>
      </c>
      <c r="AA142" s="15" cm="1">
        <f t="array" ref="AA142">_xll.VAData("KDP_US", AA$3, $C142, "VA Actuals", "CD", "IMPL","","")</f>
        <v>-77</v>
      </c>
      <c r="AB142" s="15" cm="1">
        <f t="array" ref="AB142">_xll.VAData("KDP_US", AB$3, $C142, "VA Actuals", "CD", "IMPL","","")</f>
        <v>-54</v>
      </c>
      <c r="AC142" s="15" cm="1">
        <f t="array" ref="AC142">_xll.VAData("KDP_US", AC$3, $C142, "VA Actuals", "CD", "IMPL","","")</f>
        <v>-79</v>
      </c>
      <c r="AD142" s="15" cm="1">
        <f t="array" ref="AD142">_xll.VAData("KDP_US", AD$3, $C142, "VA Actuals", "CD", "IMPL","","")</f>
        <v>77</v>
      </c>
      <c r="AE142" s="14" cm="1">
        <f t="array" ref="AE142">_xll.VAData("KDP_US", AE$3, $C142, "VA Actuals", "CD", "IMPL","","")</f>
        <v>-133</v>
      </c>
      <c r="AF142" s="15" cm="1">
        <f t="array" ref="AF142">_xll.VAData("KDP_US", AF$3, $C142, "VA Actuals", "CD", "IMPL","","")</f>
        <v>-147</v>
      </c>
      <c r="AG142" s="15" cm="1">
        <f t="array" ref="AG142">_xll.VAData("KDP_US", AG$3, $C142, "VA Actuals", "CD", "IMPL","","")</f>
        <v>-199</v>
      </c>
      <c r="AH142" s="15" cm="1">
        <f t="array" ref="AH142">_xll.VAData("KDP_US", AH$3, $C142, "VA Actuals", "CD", "IMPL","","")</f>
        <v>-206</v>
      </c>
      <c r="AI142" s="15" cm="1">
        <f t="array" ref="AI142">_xll.VAData("KDP_US", AI$3, $C142, "VA Actuals", "CD", "IMPL","","")</f>
        <v>126</v>
      </c>
      <c r="AJ142" s="14" cm="1">
        <f t="array" ref="AJ142">_xll.VAData("KDP_US", AJ$3, $C142, "VA Actuals", "CD", "IMPL","","")</f>
        <v>-426</v>
      </c>
      <c r="AK142" s="15" cm="1">
        <f t="array" ref="AK142">_xll.VAData("KDP_US", AK$3, $C142, "VA Actuals", "CD", "IMPL","","")</f>
        <v>-74</v>
      </c>
      <c r="AL142" s="15" cm="1">
        <f t="array" ref="AL142">_xll.VAData("KDP_US", AL$3, $C142, "VA Actuals", "CD", "IMPL","","")</f>
        <v>13</v>
      </c>
    </row>
    <row r="143" spans="2:38" x14ac:dyDescent="0.75">
      <c r="B143" s="4" t="s">
        <v>177</v>
      </c>
      <c r="C143" t="s">
        <v>186</v>
      </c>
      <c r="D143" s="14" cm="1">
        <f t="array" ref="D143">_xll.VAData("KDP_US", D$3, $C143, "VA Actuals", "CD", "IMPL","","")</f>
        <v>50</v>
      </c>
      <c r="E143" s="14" cm="1">
        <f t="array" ref="E143">_xll.VAData("KDP_US", E$3, $C143, "VA Actuals", "CD", "IMPL","","")</f>
        <v>30</v>
      </c>
      <c r="F143" s="14" cm="1">
        <f t="array" ref="F143">_xll.VAData("KDP_US", F$3, $C143, "VA Actuals", "CD", "IMPL","","")</f>
        <v>-73</v>
      </c>
      <c r="G143" s="15" cm="1">
        <f t="array" ref="G143">_xll.VAData("KDP_US", G$3, $C143, "VA Actuals", "CD", "IMPL","","")</f>
        <v>-138</v>
      </c>
      <c r="H143" s="15" cm="1">
        <f t="array" ref="H143">_xll.VAData("KDP_US", H$3, $C143, "VA Actuals", "CD", "IMPL","","")</f>
        <v>99</v>
      </c>
      <c r="I143" s="15" cm="1">
        <f t="array" ref="I143">_xll.VAData("KDP_US", I$3, $C143, "VA Actuals", "CD", "IMPL","","")</f>
        <v>744</v>
      </c>
      <c r="J143" s="15" cm="1">
        <f t="array" ref="J143">_xll.VAData("KDP_US", J$3, $C143, "VA Actuals", "CD", "IMPL","","")</f>
        <v>-712</v>
      </c>
      <c r="K143" s="14" cm="1">
        <f t="array" ref="K143">_xll.VAData("KDP_US", K$3, $C143, "VA Actuals", "CD", "IMPL","","")</f>
        <v>818</v>
      </c>
      <c r="L143" s="15" cm="1">
        <f t="array" ref="L143">_xll.VAData("KDP_US", L$3, $C143, "VA Actuals", "CD", "IMPL","","")</f>
        <v>16</v>
      </c>
      <c r="M143" s="15" cm="1">
        <f t="array" ref="M143">_xll.VAData("KDP_US", M$3, $C143, "VA Actuals", "CD", "IMPL","","")</f>
        <v>161</v>
      </c>
      <c r="N143" s="15" cm="1">
        <f t="array" ref="N143">_xll.VAData("KDP_US", N$3, $C143, "VA Actuals", "CD", "IMPL","","")</f>
        <v>147</v>
      </c>
      <c r="O143" s="15" cm="1">
        <f t="array" ref="O143">_xll.VAData("KDP_US", O$3, $C143, "VA Actuals", "CD", "IMPL","","")</f>
        <v>113</v>
      </c>
      <c r="P143" s="14" cm="1">
        <f t="array" ref="P143">_xll.VAData("KDP_US", P$3, $C143, "VA Actuals", "CD", "IMPL","","")</f>
        <v>190</v>
      </c>
      <c r="Q143" s="15" cm="1">
        <f t="array" ref="Q143">_xll.VAData("KDP_US", Q$3, $C143, "VA Actuals", "CD", "IMPL","","")</f>
        <v>85</v>
      </c>
      <c r="R143" s="15" cm="1">
        <f t="array" ref="R143">_xll.VAData("KDP_US", R$3, $C143, "VA Actuals", "CD", "IMPL","","")</f>
        <v>138</v>
      </c>
      <c r="S143" s="15" cm="1">
        <f t="array" ref="S143">_xll.VAData("KDP_US", S$3, $C143, "VA Actuals", "CD", "IMPL","","")</f>
        <v>124</v>
      </c>
      <c r="T143" s="15" cm="1">
        <f t="array" ref="T143">_xll.VAData("KDP_US", T$3, $C143, "VA Actuals", "CD", "IMPL","","")</f>
        <v>50</v>
      </c>
      <c r="U143" s="14" cm="1">
        <f t="array" ref="U143">_xll.VAData("KDP_US", U$3, $C143, "VA Actuals", "CD", "IMPL","","")</f>
        <v>397</v>
      </c>
      <c r="V143" s="15" cm="1">
        <f t="array" ref="V143">_xll.VAData("KDP_US", V$3, $C143, "VA Actuals", "CD", "IMPL","","")</f>
        <v>-77</v>
      </c>
      <c r="W143" s="15" cm="1">
        <f t="array" ref="W143">_xll.VAData("KDP_US", W$3, $C143, "VA Actuals", "CD", "IMPL","","")</f>
        <v>178</v>
      </c>
      <c r="X143" s="15" cm="1">
        <f t="array" ref="X143">_xll.VAData("KDP_US", X$3, $C143, "VA Actuals", "CD", "IMPL","","")</f>
        <v>86</v>
      </c>
      <c r="Y143" s="15" cm="1">
        <f t="array" ref="Y143">_xll.VAData("KDP_US", Y$3, $C143, "VA Actuals", "CD", "IMPL","","")</f>
        <v>91</v>
      </c>
      <c r="Z143" s="14" cm="1">
        <f t="array" ref="Z143">_xll.VAData("KDP_US", Z$3, $C143, "VA Actuals", "CD", "IMPL","","")</f>
        <v>278</v>
      </c>
      <c r="AA143" s="15" cm="1">
        <f t="array" ref="AA143">_xll.VAData("KDP_US", AA$3, $C143, "VA Actuals", "CD", "IMPL","","")</f>
        <v>37</v>
      </c>
      <c r="AB143" s="15" cm="1">
        <f t="array" ref="AB143">_xll.VAData("KDP_US", AB$3, $C143, "VA Actuals", "CD", "IMPL","","")</f>
        <v>62</v>
      </c>
      <c r="AC143" s="15" cm="1">
        <f t="array" ref="AC143">_xll.VAData("KDP_US", AC$3, $C143, "VA Actuals", "CD", "IMPL","","")</f>
        <v>230</v>
      </c>
      <c r="AD143" s="15" cm="1">
        <f t="array" ref="AD143">_xll.VAData("KDP_US", AD$3, $C143, "VA Actuals", "CD", "IMPL","","")</f>
        <v>307</v>
      </c>
      <c r="AE143" s="14" cm="1">
        <f t="array" ref="AE143">_xll.VAData("KDP_US", AE$3, $C143, "VA Actuals", "CD", "IMPL","","")</f>
        <v>636</v>
      </c>
      <c r="AF143" s="15" cm="1">
        <f t="array" ref="AF143">_xll.VAData("KDP_US", AF$3, $C143, "VA Actuals", "CD", "IMPL","","")</f>
        <v>140</v>
      </c>
      <c r="AG143" s="15" cm="1">
        <f t="array" ref="AG143">_xll.VAData("KDP_US", AG$3, $C143, "VA Actuals", "CD", "IMPL","","")</f>
        <v>118</v>
      </c>
      <c r="AH143" s="15" cm="1">
        <f t="array" ref="AH143">_xll.VAData("KDP_US", AH$3, $C143, "VA Actuals", "CD", "IMPL","","")</f>
        <v>437</v>
      </c>
      <c r="AI143" s="15" cm="1">
        <f t="array" ref="AI143">_xll.VAData("KDP_US", AI$3, $C143, "VA Actuals", "CD", "IMPL","","")</f>
        <v>-146</v>
      </c>
      <c r="AJ143" s="14" cm="1">
        <f t="array" ref="AJ143">_xll.VAData("KDP_US", AJ$3, $C143, "VA Actuals", "CD", "IMPL","","")</f>
        <v>549</v>
      </c>
      <c r="AK143" s="15" cm="1">
        <f t="array" ref="AK143">_xll.VAData("KDP_US", AK$3, $C143, "VA Actuals", "CD", "IMPL","","")</f>
        <v>-460</v>
      </c>
      <c r="AL143" s="15" cm="1">
        <f t="array" ref="AL143">_xll.VAData("KDP_US", AL$3, $C143, "VA Actuals", "CD", "IMPL","","")</f>
        <v>-508</v>
      </c>
    </row>
    <row r="144" spans="2:38" x14ac:dyDescent="0.75">
      <c r="B144" s="4" t="s">
        <v>155</v>
      </c>
      <c r="C144" t="s">
        <v>155</v>
      </c>
      <c r="D144" s="14" cm="1">
        <f t="array" ref="D144">_xll.VAData("KDP_US", D$3, $C144, "VA Actuals", "CD", "IMPL","","")</f>
        <v>37</v>
      </c>
      <c r="E144" s="14" cm="1">
        <f t="array" ref="E144">_xll.VAData("KDP_US", E$3, $C144, "VA Actuals", "CD", "IMPL","","")</f>
        <v>-6</v>
      </c>
      <c r="F144" s="14" cm="1">
        <f t="array" ref="F144">_xll.VAData("KDP_US", F$3, $C144, "VA Actuals", "CD", "IMPL","","")</f>
        <v>-98</v>
      </c>
      <c r="G144" s="15" cm="1">
        <f t="array" ref="G144">_xll.VAData("KDP_US", G$3, $C144, "VA Actuals", "CD", "IMPL","","")</f>
        <v>-131</v>
      </c>
      <c r="H144" s="15" cm="1">
        <f t="array" ref="H144">_xll.VAData("KDP_US", H$3, $C144, "VA Actuals", "CD", "IMPL","","")</f>
        <v>-5</v>
      </c>
      <c r="I144" s="15" cm="1">
        <f t="array" ref="I144">_xll.VAData("KDP_US", I$3, $C144, "VA Actuals", "CD", "IMPL","","")</f>
        <v>793</v>
      </c>
      <c r="J144" s="15" cm="1">
        <f t="array" ref="J144">_xll.VAData("KDP_US", J$3, $C144, "VA Actuals", "CD", "IMPL","","")</f>
        <v>-702</v>
      </c>
      <c r="K144" s="14" cm="1">
        <f t="array" ref="K144">_xll.VAData("KDP_US", K$3, $C144, "VA Actuals", "CD", "IMPL","","")</f>
        <v>804</v>
      </c>
      <c r="L144" s="15" cm="1">
        <f t="array" ref="L144">_xll.VAData("KDP_US", L$3, $C144, "VA Actuals", "CD", "IMPL","","")</f>
        <v>106</v>
      </c>
      <c r="M144" s="15" cm="1">
        <f t="array" ref="M144">_xll.VAData("KDP_US", M$3, $C144, "VA Actuals", "CD", "IMPL","","")</f>
        <v>160</v>
      </c>
      <c r="N144" s="15" cm="1">
        <f t="array" ref="N144">_xll.VAData("KDP_US", N$3, $C144, "VA Actuals", "CD", "IMPL","","")</f>
        <v>197</v>
      </c>
      <c r="O144" s="15" cm="1">
        <f t="array" ref="O144">_xll.VAData("KDP_US", O$3, $C144, "VA Actuals", "CD", "IMPL","","")</f>
        <v>147</v>
      </c>
      <c r="P144" s="14" cm="1">
        <f t="array" ref="P144">_xll.VAData("KDP_US", P$3, $C144, "VA Actuals", "CD", "IMPL","","")</f>
        <v>457</v>
      </c>
      <c r="Q144" s="15" cm="1">
        <f t="array" ref="Q144">_xll.VAData("KDP_US", Q$3, $C144, "VA Actuals", "CD", "IMPL","","")</f>
        <v>175</v>
      </c>
      <c r="R144" s="15" cm="1">
        <f t="array" ref="R144">_xll.VAData("KDP_US", R$3, $C144, "VA Actuals", "CD", "IMPL","","")</f>
        <v>60</v>
      </c>
      <c r="S144" s="15" cm="1">
        <f t="array" ref="S144">_xll.VAData("KDP_US", S$3, $C144, "VA Actuals", "CD", "IMPL","","")</f>
        <v>24</v>
      </c>
      <c r="T144" s="15" cm="1">
        <f t="array" ref="T144">_xll.VAData("KDP_US", T$3, $C144, "VA Actuals", "CD", "IMPL","","")</f>
        <v>107</v>
      </c>
      <c r="U144" s="14" cm="1">
        <f t="array" ref="U144">_xll.VAData("KDP_US", U$3, $C144, "VA Actuals", "CD", "IMPL","","")</f>
        <v>366</v>
      </c>
      <c r="V144" s="15" cm="1">
        <f t="array" ref="V144">_xll.VAData("KDP_US", V$3, $C144, "VA Actuals", "CD", "IMPL","","")</f>
        <v>-73</v>
      </c>
      <c r="W144" s="15" cm="1">
        <f t="array" ref="W144">_xll.VAData("KDP_US", W$3, $C144, "VA Actuals", "CD", "IMPL","","")</f>
        <v>131</v>
      </c>
      <c r="X144" s="15" cm="1">
        <f t="array" ref="X144">_xll.VAData("KDP_US", X$3, $C144, "VA Actuals", "CD", "IMPL","","")</f>
        <v>-47</v>
      </c>
      <c r="Y144" s="15" cm="1">
        <f t="array" ref="Y144">_xll.VAData("KDP_US", Y$3, $C144, "VA Actuals", "CD", "IMPL","","")</f>
        <v>155</v>
      </c>
      <c r="Z144" s="14" cm="1">
        <f t="array" ref="Z144">_xll.VAData("KDP_US", Z$3, $C144, "VA Actuals", "CD", "IMPL","","")</f>
        <v>166</v>
      </c>
      <c r="AA144" s="15" cm="1">
        <f t="array" ref="AA144">_xll.VAData("KDP_US", AA$3, $C144, "VA Actuals", "CD", "IMPL","","")</f>
        <v>-77</v>
      </c>
      <c r="AB144" s="15" cm="1">
        <f t="array" ref="AB144">_xll.VAData("KDP_US", AB$3, $C144, "VA Actuals", "CD", "IMPL","","")</f>
        <v>4</v>
      </c>
      <c r="AC144" s="15" cm="1">
        <f t="array" ref="AC144">_xll.VAData("KDP_US", AC$3, $C144, "VA Actuals", "CD", "IMPL","","")</f>
        <v>66</v>
      </c>
      <c r="AD144" s="15" cm="1">
        <f t="array" ref="AD144">_xll.VAData("KDP_US", AD$3, $C144, "VA Actuals", "CD", "IMPL","","")</f>
        <v>358</v>
      </c>
      <c r="AE144" s="14" cm="1">
        <f t="array" ref="AE144">_xll.VAData("KDP_US", AE$3, $C144, "VA Actuals", "CD", "IMPL","","")</f>
        <v>351</v>
      </c>
      <c r="AF144" s="15" cm="1">
        <f t="array" ref="AF144">_xll.VAData("KDP_US", AF$3, $C144, "VA Actuals", "CD", "IMPL","","")</f>
        <v>-80</v>
      </c>
      <c r="AG144" s="15" cm="1">
        <f t="array" ref="AG144">_xll.VAData("KDP_US", AG$3, $C144, "VA Actuals", "CD", "IMPL","","")</f>
        <v>-214</v>
      </c>
      <c r="AH144" s="15" cm="1">
        <f t="array" ref="AH144">_xll.VAData("KDP_US", AH$3, $C144, "VA Actuals", "CD", "IMPL","","")</f>
        <v>65</v>
      </c>
      <c r="AI144" s="15" cm="1">
        <f t="array" ref="AI144">_xll.VAData("KDP_US", AI$3, $C144, "VA Actuals", "CD", "IMPL","","")</f>
        <v>-46</v>
      </c>
      <c r="AJ144" s="14" cm="1">
        <f t="array" ref="AJ144">_xll.VAData("KDP_US", AJ$3, $C144, "VA Actuals", "CD", "IMPL","","")</f>
        <v>-275</v>
      </c>
      <c r="AK144" s="15" cm="1">
        <f t="array" ref="AK144">_xll.VAData("KDP_US", AK$3, $C144, "VA Actuals", "CD", "IMPL","","")</f>
        <v>-506</v>
      </c>
      <c r="AL144" s="15" cm="1">
        <f t="array" ref="AL144">_xll.VAData("KDP_US", AL$3, $C144, "VA Actuals", "CD", "IMPL","","")</f>
        <v>-361</v>
      </c>
    </row>
    <row r="145" spans="2:38" s="11" customFormat="1" x14ac:dyDescent="0.75">
      <c r="B145" s="10" t="s">
        <v>165</v>
      </c>
      <c r="C145" s="11" t="s">
        <v>156</v>
      </c>
      <c r="D145" s="16" cm="1">
        <f t="array" ref="D145">_xll.VAData("KDP_US", D$3, $C145, "VA Actuals", "CD", "IMPL","","")</f>
        <v>1022</v>
      </c>
      <c r="E145" s="16" cm="1">
        <f t="array" ref="E145">_xll.VAData("KDP_US", E$3, $C145, "VA Actuals", "CD", "IMPL","","")</f>
        <v>991</v>
      </c>
      <c r="F145" s="16" cm="1">
        <f t="array" ref="F145">_xll.VAData("KDP_US", F$3, $C145, "VA Actuals", "CD", "IMPL","","")</f>
        <v>961</v>
      </c>
      <c r="G145" s="17" cm="1">
        <f t="array" ref="G145">_xll.VAData("KDP_US", G$3, $C145, "VA Actuals", "CD", "IMPL","","")</f>
        <v>97</v>
      </c>
      <c r="H145" s="17" cm="1">
        <f t="array" ref="H145">_xll.VAData("KDP_US", H$3, $C145, "VA Actuals", "CD", "IMPL","","")</f>
        <v>313</v>
      </c>
      <c r="I145" s="17" cm="1">
        <f t="array" ref="I145">_xll.VAData("KDP_US", I$3, $C145, "VA Actuals", "CD", "IMPL","","")</f>
        <v>911</v>
      </c>
      <c r="J145" s="17" cm="1">
        <f t="array" ref="J145">_xll.VAData("KDP_US", J$3, $C145, "VA Actuals", "CD", "IMPL","","")</f>
        <v>-283</v>
      </c>
      <c r="K145" s="16" cm="1">
        <f t="array" ref="K145">_xll.VAData("KDP_US", K$3, $C145, "VA Actuals", "CD", "IMPL","","")</f>
        <v>1706</v>
      </c>
      <c r="L145" s="17" cm="1">
        <f t="array" ref="L145">_xll.VAData("KDP_US", L$3, $C145, "VA Actuals", "CD", "IMPL","","")</f>
        <v>267</v>
      </c>
      <c r="M145" s="17" cm="1">
        <f t="array" ref="M145">_xll.VAData("KDP_US", M$3, $C145, "VA Actuals", "CD", "IMPL","","")</f>
        <v>311</v>
      </c>
      <c r="N145" s="17" cm="1">
        <f t="array" ref="N145">_xll.VAData("KDP_US", N$3, $C145, "VA Actuals", "CD", "IMPL","","")</f>
        <v>485</v>
      </c>
      <c r="O145" s="17" cm="1">
        <f t="array" ref="O145">_xll.VAData("KDP_US", O$3, $C145, "VA Actuals", "CD", "IMPL","","")</f>
        <v>550</v>
      </c>
      <c r="P145" s="16" cm="1">
        <f t="array" ref="P145">_xll.VAData("KDP_US", P$3, $C145, "VA Actuals", "CD", "IMPL","","")</f>
        <v>1613</v>
      </c>
      <c r="Q145" s="17" cm="1">
        <f t="array" ref="Q145">_xll.VAData("KDP_US", Q$3, $C145, "VA Actuals", "CD", "IMPL","","")</f>
        <v>591</v>
      </c>
      <c r="R145" s="17" cm="1">
        <f t="array" ref="R145">_xll.VAData("KDP_US", R$3, $C145, "VA Actuals", "CD", "IMPL","","")</f>
        <v>612</v>
      </c>
      <c r="S145" s="17" cm="1">
        <f t="array" ref="S145">_xll.VAData("KDP_US", S$3, $C145, "VA Actuals", "CD", "IMPL","","")</f>
        <v>600</v>
      </c>
      <c r="T145" s="17" cm="1">
        <f t="array" ref="T145">_xll.VAData("KDP_US", T$3, $C145, "VA Actuals", "CD", "IMPL","","")</f>
        <v>671</v>
      </c>
      <c r="U145" s="16" cm="1">
        <f t="array" ref="U145">_xll.VAData("KDP_US", U$3, $C145, "VA Actuals", "CD", "IMPL","","")</f>
        <v>2474</v>
      </c>
      <c r="V145" s="17" cm="1">
        <f t="array" ref="V145">_xll.VAData("KDP_US", V$3, $C145, "VA Actuals", "CD", "IMPL","","")</f>
        <v>414</v>
      </c>
      <c r="W145" s="17" cm="1">
        <f t="array" ref="W145">_xll.VAData("KDP_US", W$3, $C145, "VA Actuals", "CD", "IMPL","","")</f>
        <v>648</v>
      </c>
      <c r="X145" s="17" cm="1">
        <f t="array" ref="X145">_xll.VAData("KDP_US", X$3, $C145, "VA Actuals", "CD", "IMPL","","")</f>
        <v>604</v>
      </c>
      <c r="Y145" s="17" cm="1">
        <f t="array" ref="Y145">_xll.VAData("KDP_US", Y$3, $C145, "VA Actuals", "CD", "IMPL","","")</f>
        <v>790</v>
      </c>
      <c r="Z145" s="16" cm="1">
        <f t="array" ref="Z145">_xll.VAData("KDP_US", Z$3, $C145, "VA Actuals", "CD", "IMPL","","")</f>
        <v>2456</v>
      </c>
      <c r="AA145" s="17" cm="1">
        <f t="array" ref="AA145">_xll.VAData("KDP_US", AA$3, $C145, "VA Actuals", "CD", "IMPL","","")</f>
        <v>546</v>
      </c>
      <c r="AB145" s="17" cm="1">
        <f t="array" ref="AB145">_xll.VAData("KDP_US", AB$3, $C145, "VA Actuals", "CD", "IMPL","","")</f>
        <v>593</v>
      </c>
      <c r="AC145" s="17" cm="1">
        <f t="array" ref="AC145">_xll.VAData("KDP_US", AC$3, $C145, "VA Actuals", "CD", "IMPL","","")</f>
        <v>794</v>
      </c>
      <c r="AD145" s="17" cm="1">
        <f t="array" ref="AD145">_xll.VAData("KDP_US", AD$3, $C145, "VA Actuals", "CD", "IMPL","","")</f>
        <v>941</v>
      </c>
      <c r="AE145" s="16" cm="1">
        <f t="array" ref="AE145">_xll.VAData("KDP_US", AE$3, $C145, "VA Actuals", "CD", "IMPL","","")</f>
        <v>2874</v>
      </c>
      <c r="AF145" s="17" cm="1">
        <f t="array" ref="AF145">_xll.VAData("KDP_US", AF$3, $C145, "VA Actuals", "CD", "IMPL","","")</f>
        <v>663</v>
      </c>
      <c r="AG145" s="17" cm="1">
        <f t="array" ref="AG145">_xll.VAData("KDP_US", AG$3, $C145, "VA Actuals", "CD", "IMPL","","")</f>
        <v>676</v>
      </c>
      <c r="AH145" s="17" cm="1">
        <f t="array" ref="AH145">_xll.VAData("KDP_US", AH$3, $C145, "VA Actuals", "CD", "IMPL","","")</f>
        <v>759</v>
      </c>
      <c r="AI145" s="17" cm="1">
        <f t="array" ref="AI145">_xll.VAData("KDP_US", AI$3, $C145, "VA Actuals", "CD", "IMPL","","")</f>
        <v>739</v>
      </c>
      <c r="AJ145" s="16" cm="1">
        <f t="array" ref="AJ145">_xll.VAData("KDP_US", AJ$3, $C145, "VA Actuals", "CD", "IMPL","","")</f>
        <v>2837</v>
      </c>
      <c r="AK145" s="17" cm="1">
        <f t="array" ref="AK145">_xll.VAData("KDP_US", AK$3, $C145, "VA Actuals", "CD", "IMPL","","")</f>
        <v>71</v>
      </c>
      <c r="AL145" s="17" cm="1">
        <f t="array" ref="AL145">_xll.VAData("KDP_US", AL$3, $C145, "VA Actuals", "CD", "IMPL","","")</f>
        <v>381</v>
      </c>
    </row>
    <row r="146" spans="2:38" x14ac:dyDescent="0.75">
      <c r="D146" s="14"/>
      <c r="E146" s="14"/>
      <c r="F146" s="14"/>
      <c r="G146" s="15"/>
      <c r="H146" s="15"/>
      <c r="I146" s="15"/>
      <c r="J146" s="15"/>
      <c r="K146" s="14"/>
      <c r="L146" s="15"/>
      <c r="M146" s="15"/>
      <c r="N146" s="15"/>
      <c r="O146" s="15"/>
      <c r="P146" s="14"/>
      <c r="Q146" s="15"/>
      <c r="R146" s="15"/>
      <c r="S146" s="15"/>
      <c r="T146" s="15"/>
      <c r="U146" s="14"/>
      <c r="V146" s="15"/>
      <c r="W146" s="15"/>
      <c r="X146" s="15"/>
      <c r="Y146" s="15"/>
      <c r="Z146" s="14"/>
      <c r="AA146" s="15"/>
      <c r="AB146" s="15"/>
      <c r="AC146" s="15"/>
      <c r="AD146" s="15"/>
      <c r="AE146" s="14"/>
      <c r="AF146" s="15"/>
      <c r="AG146" s="15"/>
      <c r="AH146" s="15"/>
      <c r="AI146" s="15"/>
      <c r="AJ146" s="14"/>
      <c r="AK146" s="15"/>
      <c r="AL146" s="15"/>
    </row>
    <row r="147" spans="2:38" x14ac:dyDescent="0.75">
      <c r="D147" s="14"/>
      <c r="E147" s="14"/>
      <c r="F147" s="14"/>
      <c r="G147" s="15"/>
      <c r="H147" s="15"/>
      <c r="I147" s="15"/>
      <c r="J147" s="15"/>
      <c r="K147" s="14"/>
      <c r="L147" s="15"/>
      <c r="M147" s="15"/>
      <c r="N147" s="15"/>
      <c r="O147" s="15"/>
      <c r="P147" s="14"/>
      <c r="Q147" s="15"/>
      <c r="R147" s="15"/>
      <c r="S147" s="15"/>
      <c r="T147" s="15"/>
      <c r="U147" s="14"/>
      <c r="V147" s="15"/>
      <c r="W147" s="15"/>
      <c r="X147" s="15"/>
      <c r="Y147" s="15"/>
      <c r="Z147" s="14"/>
      <c r="AA147" s="15"/>
      <c r="AB147" s="15"/>
      <c r="AC147" s="15"/>
      <c r="AD147" s="15"/>
      <c r="AE147" s="14"/>
      <c r="AF147" s="15"/>
      <c r="AG147" s="15"/>
      <c r="AH147" s="15"/>
      <c r="AI147" s="15"/>
      <c r="AJ147" s="14"/>
      <c r="AK147" s="15"/>
      <c r="AL147" s="15"/>
    </row>
    <row r="148" spans="2:38" x14ac:dyDescent="0.75">
      <c r="B148" t="s">
        <v>157</v>
      </c>
      <c r="C148" t="s">
        <v>172</v>
      </c>
      <c r="D148" s="14" cm="1">
        <f t="array" ref="D148">_xll.VAData("KDP_US", D$3, $C148, "VA Actuals", "CD", "IMPL","","")</f>
        <v>-162</v>
      </c>
      <c r="E148" s="14" cm="1">
        <f t="array" ref="E148">_xll.VAData("KDP_US", E$3, $C148, "VA Actuals", "CD", "IMPL","","")</f>
        <v>-159</v>
      </c>
      <c r="F148" s="14" cm="1">
        <f t="array" ref="F148">_xll.VAData("KDP_US", F$3, $C148, "VA Actuals", "CD", "IMPL","","")</f>
        <v>-174</v>
      </c>
      <c r="G148" s="15" cm="1">
        <f t="array" ref="G148">_xll.VAData("KDP_US", G$3, $C148, "VA Actuals", "CD", "IMPL","","")</f>
        <v>-15</v>
      </c>
      <c r="H148" s="15" cm="1">
        <f t="array" ref="H148">_xll.VAData("KDP_US", H$3, $C148, "VA Actuals", "CD", "IMPL","","")</f>
        <v>-25</v>
      </c>
      <c r="I148" s="15" cm="1">
        <f t="array" ref="I148">_xll.VAData("KDP_US", I$3, $C148, "VA Actuals", "CD", "IMPL","","")</f>
        <v>-5</v>
      </c>
      <c r="J148" s="15" cm="1">
        <f t="array" ref="J148">_xll.VAData("KDP_US", J$3, $C148, "VA Actuals", "CD", "IMPL","","")</f>
        <v>-154</v>
      </c>
      <c r="K148" s="14" cm="1">
        <f t="array" ref="K148">_xll.VAData("KDP_US", K$3, $C148, "VA Actuals", "CD", "IMPL","","")</f>
        <v>-56</v>
      </c>
      <c r="L148" s="15" cm="1">
        <f t="array" ref="L148">_xll.VAData("KDP_US", L$3, $C148, "VA Actuals", "CD", "IMPL","","")</f>
        <v>-20</v>
      </c>
      <c r="M148" s="15" cm="1">
        <f t="array" ref="M148">_xll.VAData("KDP_US", M$3, $C148, "VA Actuals", "CD", "IMPL","","")</f>
        <v>-24</v>
      </c>
      <c r="N148" s="15" cm="1">
        <f t="array" ref="N148">_xll.VAData("KDP_US", N$3, $C148, "VA Actuals", "CD", "IMPL","","")</f>
        <v>-23</v>
      </c>
      <c r="O148" s="15" cm="1">
        <f t="array" ref="O148">_xll.VAData("KDP_US", O$3, $C148, "VA Actuals", "CD", "IMPL","","")</f>
        <v>-85</v>
      </c>
      <c r="P148" s="14" cm="1">
        <f t="array" ref="P148">_xll.VAData("KDP_US", P$3, $C148, "VA Actuals", "CD", "IMPL","","")</f>
        <v>-180</v>
      </c>
      <c r="Q148" s="15" cm="1">
        <f t="array" ref="Q148">_xll.VAData("KDP_US", Q$3, $C148, "VA Actuals", "CD", "IMPL","","")</f>
        <v>-62</v>
      </c>
      <c r="R148" s="15" cm="1">
        <f t="array" ref="R148">_xll.VAData("KDP_US", R$3, $C148, "VA Actuals", "CD", "IMPL","","")</f>
        <v>-37</v>
      </c>
      <c r="S148" s="15" cm="1">
        <f t="array" ref="S148">_xll.VAData("KDP_US", S$3, $C148, "VA Actuals", "CD", "IMPL","","")</f>
        <v>-90</v>
      </c>
      <c r="T148" s="15" cm="1">
        <f t="array" ref="T148">_xll.VAData("KDP_US", T$3, $C148, "VA Actuals", "CD", "IMPL","","")</f>
        <v>-122</v>
      </c>
      <c r="U148" s="14" cm="1">
        <f t="array" ref="U148">_xll.VAData("KDP_US", U$3, $C148, "VA Actuals", "CD", "IMPL","","")</f>
        <v>-330</v>
      </c>
      <c r="V148" s="15" cm="1">
        <f t="array" ref="V148">_xll.VAData("KDP_US", V$3, $C148, "VA Actuals", "CD", "IMPL","","")</f>
        <v>-151</v>
      </c>
      <c r="W148" s="15" cm="1">
        <f t="array" ref="W148">_xll.VAData("KDP_US", W$3, $C148, "VA Actuals", "CD", "IMPL","","")</f>
        <v>-125</v>
      </c>
      <c r="X148" s="15" cm="1">
        <f t="array" ref="X148">_xll.VAData("KDP_US", X$3, $C148, "VA Actuals", "CD", "IMPL","","")</f>
        <v>-80</v>
      </c>
      <c r="Y148" s="15" cm="1">
        <f t="array" ref="Y148">_xll.VAData("KDP_US", Y$3, $C148, "VA Actuals", "CD", "IMPL","","")</f>
        <v>-105</v>
      </c>
      <c r="Z148" s="14" cm="1">
        <f t="array" ref="Z148">_xll.VAData("KDP_US", Z$3, $C148, "VA Actuals", "CD", "IMPL","","")</f>
        <v>-461</v>
      </c>
      <c r="AA148" s="15" cm="1">
        <f t="array" ref="AA148">_xll.VAData("KDP_US", AA$3, $C148, "VA Actuals", "CD", "IMPL","","")</f>
        <v>-95</v>
      </c>
      <c r="AB148" s="15" cm="1">
        <f t="array" ref="AB148">_xll.VAData("KDP_US", AB$3, $C148, "VA Actuals", "CD", "IMPL","","")</f>
        <v>-109</v>
      </c>
      <c r="AC148" s="15" cm="1">
        <f t="array" ref="AC148">_xll.VAData("KDP_US", AC$3, $C148, "VA Actuals", "CD", "IMPL","","")</f>
        <v>-121</v>
      </c>
      <c r="AD148" s="15" cm="1">
        <f t="array" ref="AD148">_xll.VAData("KDP_US", AD$3, $C148, "VA Actuals", "CD", "IMPL","","")</f>
        <v>-98</v>
      </c>
      <c r="AE148" s="14" cm="1">
        <f t="array" ref="AE148">_xll.VAData("KDP_US", AE$3, $C148, "VA Actuals", "CD", "IMPL","","")</f>
        <v>-423</v>
      </c>
      <c r="AF148" s="15" cm="1">
        <f t="array" ref="AF148">_xll.VAData("KDP_US", AF$3, $C148, "VA Actuals", "CD", "IMPL","","")</f>
        <v>-109</v>
      </c>
      <c r="AG148" s="15" cm="1">
        <f t="array" ref="AG148">_xll.VAData("KDP_US", AG$3, $C148, "VA Actuals", "CD", "IMPL","","")</f>
        <v>-77</v>
      </c>
      <c r="AH148" s="15" cm="1">
        <f t="array" ref="AH148">_xll.VAData("KDP_US", AH$3, $C148, "VA Actuals", "CD", "IMPL","","")</f>
        <v>-73</v>
      </c>
      <c r="AI148" s="15" cm="1">
        <f t="array" ref="AI148">_xll.VAData("KDP_US", AI$3, $C148, "VA Actuals", "CD", "IMPL","","")</f>
        <v>-93</v>
      </c>
      <c r="AJ148" s="14" cm="1">
        <f t="array" ref="AJ148">_xll.VAData("KDP_US", AJ$3, $C148, "VA Actuals", "CD", "IMPL","","")</f>
        <v>-353</v>
      </c>
      <c r="AK148" s="15" cm="1">
        <f t="array" ref="AK148">_xll.VAData("KDP_US", AK$3, $C148, "VA Actuals", "CD", "IMPL","","")</f>
        <v>-55</v>
      </c>
      <c r="AL148" s="15" cm="1">
        <f t="array" ref="AL148">_xll.VAData("KDP_US", AL$3, $C148, "VA Actuals", "CD", "IMPL","","")</f>
        <v>-86</v>
      </c>
    </row>
    <row r="149" spans="2:38" x14ac:dyDescent="0.75">
      <c r="B149" t="s">
        <v>158</v>
      </c>
      <c r="C149" t="s">
        <v>178</v>
      </c>
      <c r="D149" s="14" cm="1">
        <f t="array" ref="D149">_xll.VAData("KDP_US", D$3, $C149, "VA Actuals", "CD", "IMPL","","")</f>
        <v>-19</v>
      </c>
      <c r="E149" s="14" cm="1">
        <f t="array" ref="E149">_xll.VAData("KDP_US", E$3, $C149, "VA Actuals", "CD", "IMPL","","")</f>
        <v>-25</v>
      </c>
      <c r="F149" s="14" cm="1">
        <f t="array" ref="F149">_xll.VAData("KDP_US", F$3, $C149, "VA Actuals", "CD", "IMPL","","")</f>
        <v>-15</v>
      </c>
      <c r="G149" s="15" cm="1">
        <f t="array" ref="G149">_xll.VAData("KDP_US", G$3, $C149, "VA Actuals", "CD", "IMPL","","")</f>
        <v>-1548</v>
      </c>
      <c r="H149" s="15" cm="1">
        <f t="array" ref="H149">_xll.VAData("KDP_US", H$3, $C149, "VA Actuals", "CD", "IMPL","","")</f>
        <v>-2</v>
      </c>
      <c r="I149" s="15" cm="1">
        <f t="array" ref="I149">_xll.VAData("KDP_US", I$3, $C149, "VA Actuals", "CD", "IMPL","","")</f>
        <v>1550</v>
      </c>
      <c r="J149" s="15" cm="1">
        <f t="array" ref="J149">_xll.VAData("KDP_US", J$3, $C149, "VA Actuals", "CD", "IMPL","","")</f>
        <v>-1556</v>
      </c>
      <c r="K149" s="14" cm="1">
        <f t="array" ref="K149">_xll.VAData("KDP_US", K$3, $C149, "VA Actuals", "CD", "IMPL","","")</f>
        <v>-1556</v>
      </c>
      <c r="L149" s="15" cm="1">
        <f t="array" ref="L149">_xll.VAData("KDP_US", L$3, $C149, "VA Actuals", "CD", "IMPL","","")</f>
        <v>-3158.3333333333348</v>
      </c>
      <c r="M149" s="15" cm="1">
        <f t="array" ref="M149">_xll.VAData("KDP_US", M$3, $C149, "VA Actuals", "CD", "IMPL","","")</f>
        <v>-3307.3333333333348</v>
      </c>
      <c r="N149" s="15" cm="1">
        <f t="array" ref="N149">_xll.VAData("KDP_US", N$3, $C149, "VA Actuals", "CD", "IMPL","","")</f>
        <v>-19124</v>
      </c>
      <c r="O149" s="15" cm="1">
        <f t="array" ref="O149">_xll.VAData("KDP_US", O$3, $C149, "VA Actuals", "CD", "IMPL","","")</f>
        <v>-31.6</v>
      </c>
      <c r="P149" s="14" cm="1">
        <f t="array" ref="P149">_xll.VAData("KDP_US", P$3, $C149, "VA Actuals", "CD", "IMPL","","")</f>
        <v>-18945</v>
      </c>
      <c r="Q149" s="15" cm="1">
        <f t="array" ref="Q149">_xll.VAData("KDP_US", Q$3, $C149, "VA Actuals", "CD", "IMPL","","")</f>
        <v>-62</v>
      </c>
      <c r="R149" s="15" cm="1">
        <f t="array" ref="R149">_xll.VAData("KDP_US", R$3, $C149, "VA Actuals", "CD", "IMPL","","")</f>
        <v>-8</v>
      </c>
      <c r="S149" s="15" cm="1">
        <f t="array" ref="S149">_xll.VAData("KDP_US", S$3, $C149, "VA Actuals", "CD", "IMPL","","")</f>
        <v>-12</v>
      </c>
      <c r="T149" s="15" cm="1">
        <f t="array" ref="T149">_xll.VAData("KDP_US", T$3, $C149, "VA Actuals", "CD", "IMPL","","")</f>
        <v>115.5</v>
      </c>
      <c r="U149" s="14" cm="1">
        <f t="array" ref="U149">_xll.VAData("KDP_US", U$3, $C149, "VA Actuals", "CD", "IMPL","","")</f>
        <v>-8</v>
      </c>
      <c r="V149" s="15" cm="1">
        <f t="array" ref="V149">_xll.VAData("KDP_US", V$3, $C149, "VA Actuals", "CD", "IMPL","","")</f>
        <v>50</v>
      </c>
      <c r="W149" s="15" cm="1">
        <f t="array" ref="W149">_xll.VAData("KDP_US", W$3, $C149, "VA Actuals", "CD", "IMPL","","")</f>
        <v>-65</v>
      </c>
      <c r="X149" s="15" cm="1">
        <f t="array" ref="X149">_xll.VAData("KDP_US", X$3, $C149, "VA Actuals", "CD", "IMPL","","")</f>
        <v>-7</v>
      </c>
      <c r="Y149" s="15" cm="1">
        <f t="array" ref="Y149">_xll.VAData("KDP_US", Y$3, $C149, "VA Actuals", "CD", "IMPL","","")</f>
        <v>-12</v>
      </c>
      <c r="Z149" s="14" cm="1">
        <f t="array" ref="Z149">_xll.VAData("KDP_US", Z$3, $C149, "VA Actuals", "CD", "IMPL","","")</f>
        <v>71</v>
      </c>
      <c r="AA149" s="15" cm="1">
        <f t="array" ref="AA149">_xll.VAData("KDP_US", AA$3, $C149, "VA Actuals", "CD", "IMPL","","")</f>
        <v>1</v>
      </c>
      <c r="AB149" s="15" cm="1">
        <f t="array" ref="AB149">_xll.VAData("KDP_US", AB$3, $C149, "VA Actuals", "CD", "IMPL","","")</f>
        <v>8</v>
      </c>
      <c r="AC149" s="15" cm="1">
        <f t="array" ref="AC149">_xll.VAData("KDP_US", AC$3, $C149, "VA Actuals", "CD", "IMPL","","")</f>
        <v>-16</v>
      </c>
      <c r="AD149" s="15" cm="1">
        <f t="array" ref="AD149">_xll.VAData("KDP_US", AD$3, $C149, "VA Actuals", "CD", "IMPL","","")</f>
        <v>647</v>
      </c>
      <c r="AE149" s="14" cm="1">
        <f t="array" ref="AE149">_xll.VAData("KDP_US", AE$3, $C149, "VA Actuals", "CD", "IMPL","","")</f>
        <v>623</v>
      </c>
      <c r="AF149" s="15" cm="1">
        <f t="array" ref="AF149">_xll.VAData("KDP_US", AF$3, $C149, "VA Actuals", "CD", "IMPL","","")</f>
        <v>54.75</v>
      </c>
      <c r="AG149" s="15" cm="1">
        <f t="array" ref="AG149">_xll.VAData("KDP_US", AG$3, $C149, "VA Actuals", "CD", "IMPL","","")</f>
        <v>-28.5</v>
      </c>
      <c r="AH149" s="15" cm="1">
        <f t="array" ref="AH149">_xll.VAData("KDP_US", AH$3, $C149, "VA Actuals", "CD", "IMPL","","")</f>
        <v>50</v>
      </c>
      <c r="AI149" s="15" cm="1">
        <f t="array" ref="AI149">_xll.VAData("KDP_US", AI$3, $C149, "VA Actuals", "CD", "IMPL","","")</f>
        <v>-718.2</v>
      </c>
      <c r="AJ149" s="14" cm="1">
        <f t="array" ref="AJ149">_xll.VAData("KDP_US", AJ$3, $C149, "VA Actuals", "CD", "IMPL","","")</f>
        <v>-552</v>
      </c>
      <c r="AK149" s="15" cm="1">
        <f t="array" ref="AK149">_xll.VAData("KDP_US", AK$3, $C149, "VA Actuals", "CD", "IMPL","","")</f>
        <v>7</v>
      </c>
      <c r="AL149" s="15" cm="1">
        <f t="array" ref="AL149">_xll.VAData("KDP_US", AL$3, $C149, "VA Actuals", "CD", "IMPL","","")</f>
        <v>-6</v>
      </c>
    </row>
    <row r="150" spans="2:38" x14ac:dyDescent="0.75">
      <c r="B150" t="s">
        <v>159</v>
      </c>
      <c r="C150" t="s">
        <v>173</v>
      </c>
      <c r="D150" s="14" cm="1">
        <f t="array" ref="D150">_xll.VAData("KDP_US", D$3, $C150, "VA Actuals", "CD", "IMPL","","")</f>
        <v>-4</v>
      </c>
      <c r="E150" s="14" cm="1">
        <f t="array" ref="E150">_xll.VAData("KDP_US", E$3, $C150, "VA Actuals", "CD", "IMPL","","")</f>
        <v>-35</v>
      </c>
      <c r="F150" s="14" cm="1">
        <f t="array" ref="F150">_xll.VAData("KDP_US", F$3, $C150, "VA Actuals", "CD", "IMPL","","")</f>
        <v>-9.25</v>
      </c>
      <c r="G150" s="15" cm="1">
        <f t="array" ref="G150">_xll.VAData("KDP_US", G$3, $C150, "VA Actuals", "CD", "IMPL","","")</f>
        <v>-6</v>
      </c>
      <c r="H150" s="15" cm="1">
        <f t="array" ref="H150">_xll.VAData("KDP_US", H$3, $C150, "VA Actuals", "CD", "IMPL","","")</f>
        <v>1</v>
      </c>
      <c r="I150" s="15" cm="1">
        <f t="array" ref="I150">_xll.VAData("KDP_US", I$3, $C150, "VA Actuals", "CD", "IMPL","","")</f>
        <v>251</v>
      </c>
      <c r="J150" s="15" cm="1">
        <f t="array" ref="J150">_xll.VAData("KDP_US", J$3, $C150, "VA Actuals", "CD", "IMPL","","")</f>
        <v>-254</v>
      </c>
      <c r="K150" s="14" cm="1">
        <f t="array" ref="K150">_xll.VAData("KDP_US", K$3, $C150, "VA Actuals", "CD", "IMPL","","")</f>
        <v>239</v>
      </c>
      <c r="L150" s="15" cm="1">
        <f t="array" ref="L150">_xll.VAData("KDP_US", L$3, $C150, "VA Actuals", "CD", "IMPL","","")</f>
        <v>-6</v>
      </c>
      <c r="M150" s="15" cm="1">
        <f t="array" ref="M150">_xll.VAData("KDP_US", M$3, $C150, "VA Actuals", "CD", "IMPL","","")</f>
        <v>-30</v>
      </c>
      <c r="N150" s="15" cm="1">
        <f t="array" ref="N150">_xll.VAData("KDP_US", N$3, $C150, "VA Actuals", "CD", "IMPL","","")</f>
        <v>157</v>
      </c>
      <c r="O150" s="15" cm="1">
        <f t="array" ref="O150">_xll.VAData("KDP_US", O$3, $C150, "VA Actuals", "CD", "IMPL","","")</f>
        <v>12</v>
      </c>
      <c r="P150" s="14" cm="1">
        <f t="array" ref="P150">_xll.VAData("KDP_US", P$3, $C150, "VA Actuals", "CD", "IMPL","","")</f>
        <v>-6</v>
      </c>
      <c r="Q150" s="15" cm="1">
        <f t="array" ref="Q150">_xll.VAData("KDP_US", Q$3, $C150, "VA Actuals", "CD", "IMPL","","")</f>
        <v>17</v>
      </c>
      <c r="R150" s="15" cm="1">
        <f t="array" ref="R150">_xll.VAData("KDP_US", R$3, $C150, "VA Actuals", "CD", "IMPL","","")</f>
        <v>-5</v>
      </c>
      <c r="S150" s="15" cm="1">
        <f t="array" ref="S150">_xll.VAData("KDP_US", S$3, $C150, "VA Actuals", "CD", "IMPL","","")</f>
        <v>-12</v>
      </c>
      <c r="T150" s="15" cm="1">
        <f t="array" ref="T150">_xll.VAData("KDP_US", T$3, $C150, "VA Actuals", "CD", "IMPL","","")</f>
        <v>188</v>
      </c>
      <c r="U150" s="14" cm="1">
        <f t="array" ref="U150">_xll.VAData("KDP_US", U$3, $C150, "VA Actuals", "CD", "IMPL","","")</f>
        <v>188</v>
      </c>
      <c r="V150" s="15" cm="1">
        <f t="array" ref="V150">_xll.VAData("KDP_US", V$3, $C150, "VA Actuals", "CD", "IMPL","","")</f>
        <v>185</v>
      </c>
      <c r="W150" s="15" cm="1">
        <f t="array" ref="W150">_xll.VAData("KDP_US", W$3, $C150, "VA Actuals", "CD", "IMPL","","")</f>
        <v>-1</v>
      </c>
      <c r="X150" s="15" cm="1">
        <f t="array" ref="X150">_xll.VAData("KDP_US", X$3, $C150, "VA Actuals", "CD", "IMPL","","")</f>
        <v>-10</v>
      </c>
      <c r="Y150" s="15" cm="1">
        <f t="array" ref="Y150">_xll.VAData("KDP_US", Y$3, $C150, "VA Actuals", "CD", "IMPL","","")</f>
        <v>-29</v>
      </c>
      <c r="Z150" s="14" cm="1">
        <f t="array" ref="Z150">_xll.VAData("KDP_US", Z$3, $C150, "VA Actuals", "CD", "IMPL","","")</f>
        <v>-58</v>
      </c>
      <c r="AA150" s="15" cm="1">
        <f t="array" ref="AA150">_xll.VAData("KDP_US", AA$3, $C150, "VA Actuals", "CD", "IMPL","","")</f>
        <v>-11</v>
      </c>
      <c r="AB150" s="15" cm="1">
        <f t="array" ref="AB150">_xll.VAData("KDP_US", AB$3, $C150, "VA Actuals", "CD", "IMPL","","")</f>
        <v>8</v>
      </c>
      <c r="AC150" s="15" cm="1">
        <f t="array" ref="AC150">_xll.VAData("KDP_US", AC$3, $C150, "VA Actuals", "CD", "IMPL","","")</f>
        <v>-29</v>
      </c>
      <c r="AD150" s="15" cm="1">
        <f t="array" ref="AD150">_xll.VAData("KDP_US", AD$3, $C150, "VA Actuals", "CD", "IMPL","","")</f>
        <v>554</v>
      </c>
      <c r="AE150" s="14" cm="1">
        <f t="array" ref="AE150">_xll.VAData("KDP_US", AE$3, $C150, "VA Actuals", "CD", "IMPL","","")</f>
        <v>511</v>
      </c>
      <c r="AF150" s="15" cm="1">
        <f t="array" ref="AF150">_xll.VAData("KDP_US", AF$3, $C150, "VA Actuals", "CD", "IMPL","","")</f>
        <v>34</v>
      </c>
      <c r="AG150" s="15" cm="1">
        <f t="array" ref="AG150">_xll.VAData("KDP_US", AG$3, $C150, "VA Actuals", "CD", "IMPL","","")</f>
        <v>-57</v>
      </c>
      <c r="AH150" s="15" cm="1">
        <f t="array" ref="AH150">_xll.VAData("KDP_US", AH$3, $C150, "VA Actuals", "CD", "IMPL","","")</f>
        <v>-9</v>
      </c>
      <c r="AI150" s="15" cm="1">
        <f t="array" ref="AI150">_xll.VAData("KDP_US", AI$3, $C150, "VA Actuals", "CD", "IMPL","","")</f>
        <v>-918</v>
      </c>
      <c r="AJ150" s="14" cm="1">
        <f t="array" ref="AJ150">_xll.VAData("KDP_US", AJ$3, $C150, "VA Actuals", "CD", "IMPL","","")</f>
        <v>-950</v>
      </c>
      <c r="AK150" s="15" cm="1">
        <f t="array" ref="AK150">_xll.VAData("KDP_US", AK$3, $C150, "VA Actuals", "CD", "IMPL","","")</f>
        <v>-50</v>
      </c>
      <c r="AL150" s="15" cm="1">
        <f t="array" ref="AL150">_xll.VAData("KDP_US", AL$3, $C150, "VA Actuals", "CD", "IMPL","","")</f>
        <v>-12</v>
      </c>
    </row>
    <row r="151" spans="2:38" s="11" customFormat="1" x14ac:dyDescent="0.75">
      <c r="B151" s="11" t="s">
        <v>174</v>
      </c>
      <c r="C151" s="11" t="s">
        <v>160</v>
      </c>
      <c r="D151" s="16" cm="1">
        <f t="array" ref="D151">_xll.VAData("KDP_US", D$3, $C151, "VA Actuals", "CD", "IMPL","","")</f>
        <v>-185</v>
      </c>
      <c r="E151" s="16" cm="1">
        <f t="array" ref="E151">_xll.VAData("KDP_US", E$3, $C151, "VA Actuals", "CD", "IMPL","","")</f>
        <v>-194</v>
      </c>
      <c r="F151" s="16" cm="1">
        <f t="array" ref="F151">_xll.VAData("KDP_US", F$3, $C151, "VA Actuals", "CD", "IMPL","","")</f>
        <v>-189</v>
      </c>
      <c r="G151" s="17" cm="1">
        <f t="array" ref="G151">_xll.VAData("KDP_US", G$3, $C151, "VA Actuals", "CD", "IMPL","","")</f>
        <v>-1569</v>
      </c>
      <c r="H151" s="17" cm="1">
        <f t="array" ref="H151">_xll.VAData("KDP_US", H$3, $C151, "VA Actuals", "CD", "IMPL","","")</f>
        <v>-26</v>
      </c>
      <c r="I151" s="17" cm="1">
        <f t="array" ref="I151">_xll.VAData("KDP_US", I$3, $C151, "VA Actuals", "CD", "IMPL","","")</f>
        <v>1796</v>
      </c>
      <c r="J151" s="17" cm="1">
        <f t="array" ref="J151">_xll.VAData("KDP_US", J$3, $C151, "VA Actuals", "CD", "IMPL","","")</f>
        <v>-1964</v>
      </c>
      <c r="K151" s="16" cm="1">
        <f t="array" ref="K151">_xll.VAData("KDP_US", K$3, $C151, "VA Actuals", "CD", "IMPL","","")</f>
        <v>183</v>
      </c>
      <c r="L151" s="17" cm="1">
        <f t="array" ref="L151">_xll.VAData("KDP_US", L$3, $C151, "VA Actuals", "CD", "IMPL","","")</f>
        <v>-26</v>
      </c>
      <c r="M151" s="17" cm="1">
        <f t="array" ref="M151">_xll.VAData("KDP_US", M$3, $C151, "VA Actuals", "CD", "IMPL","","")</f>
        <v>-54</v>
      </c>
      <c r="N151" s="17" cm="1">
        <f t="array" ref="N151">_xll.VAData("KDP_US", N$3, $C151, "VA Actuals", "CD", "IMPL","","")</f>
        <v>-18990</v>
      </c>
      <c r="O151" s="17" cm="1">
        <f t="array" ref="O151">_xll.VAData("KDP_US", O$3, $C151, "VA Actuals", "CD", "IMPL","","")</f>
        <v>-18</v>
      </c>
      <c r="P151" s="16" cm="1">
        <f t="array" ref="P151">_xll.VAData("KDP_US", P$3, $C151, "VA Actuals", "CD", "IMPL","","")</f>
        <v>-19131</v>
      </c>
      <c r="Q151" s="17" cm="1">
        <f t="array" ref="Q151">_xll.VAData("KDP_US", Q$3, $C151, "VA Actuals", "CD", "IMPL","","")</f>
        <v>-45</v>
      </c>
      <c r="R151" s="17" cm="1">
        <f t="array" ref="R151">_xll.VAData("KDP_US", R$3, $C151, "VA Actuals", "CD", "IMPL","","")</f>
        <v>-69</v>
      </c>
      <c r="S151" s="17" cm="1">
        <f t="array" ref="S151">_xll.VAData("KDP_US", S$3, $C151, "VA Actuals", "CD", "IMPL","","")</f>
        <v>-102</v>
      </c>
      <c r="T151" s="17" cm="1">
        <f t="array" ref="T151">_xll.VAData("KDP_US", T$3, $C151, "VA Actuals", "CD", "IMPL","","")</f>
        <v>66</v>
      </c>
      <c r="U151" s="16" cm="1">
        <f t="array" ref="U151">_xll.VAData("KDP_US", U$3, $C151, "VA Actuals", "CD", "IMPL","","")</f>
        <v>-150</v>
      </c>
      <c r="V151" s="17" cm="1">
        <f t="array" ref="V151">_xll.VAData("KDP_US", V$3, $C151, "VA Actuals", "CD", "IMPL","","")</f>
        <v>34</v>
      </c>
      <c r="W151" s="17" cm="1">
        <f t="array" ref="W151">_xll.VAData("KDP_US", W$3, $C151, "VA Actuals", "CD", "IMPL","","")</f>
        <v>-126</v>
      </c>
      <c r="X151" s="17" cm="1">
        <f t="array" ref="X151">_xll.VAData("KDP_US", X$3, $C151, "VA Actuals", "CD", "IMPL","","")</f>
        <v>-90</v>
      </c>
      <c r="Y151" s="17" cm="1">
        <f t="array" ref="Y151">_xll.VAData("KDP_US", Y$3, $C151, "VA Actuals", "CD", "IMPL","","")</f>
        <v>-134</v>
      </c>
      <c r="Z151" s="16" cm="1">
        <f t="array" ref="Z151">_xll.VAData("KDP_US", Z$3, $C151, "VA Actuals", "CD", "IMPL","","")</f>
        <v>-316</v>
      </c>
      <c r="AA151" s="17" cm="1">
        <f t="array" ref="AA151">_xll.VAData("KDP_US", AA$3, $C151, "VA Actuals", "CD", "IMPL","","")</f>
        <v>-99</v>
      </c>
      <c r="AB151" s="17" cm="1">
        <f t="array" ref="AB151">_xll.VAData("KDP_US", AB$3, $C151, "VA Actuals", "CD", "IMPL","","")</f>
        <v>-101</v>
      </c>
      <c r="AC151" s="17" cm="1">
        <f t="array" ref="AC151">_xll.VAData("KDP_US", AC$3, $C151, "VA Actuals", "CD", "IMPL","","")</f>
        <v>-150</v>
      </c>
      <c r="AD151" s="17" cm="1">
        <f t="array" ref="AD151">_xll.VAData("KDP_US", AD$3, $C151, "VA Actuals", "CD", "IMPL","","")</f>
        <v>560</v>
      </c>
      <c r="AE151" s="16" cm="1">
        <f t="array" ref="AE151">_xll.VAData("KDP_US", AE$3, $C151, "VA Actuals", "CD", "IMPL","","")</f>
        <v>210</v>
      </c>
      <c r="AF151" s="17" cm="1">
        <f t="array" ref="AF151">_xll.VAData("KDP_US", AF$3, $C151, "VA Actuals", "CD", "IMPL","","")</f>
        <v>3</v>
      </c>
      <c r="AG151" s="17" cm="1">
        <f t="array" ref="AG151">_xll.VAData("KDP_US", AG$3, $C151, "VA Actuals", "CD", "IMPL","","")</f>
        <v>-134</v>
      </c>
      <c r="AH151" s="17" cm="1">
        <f t="array" ref="AH151">_xll.VAData("KDP_US", AH$3, $C151, "VA Actuals", "CD", "IMPL","","")</f>
        <v>-82</v>
      </c>
      <c r="AI151" s="17" cm="1">
        <f t="array" ref="AI151">_xll.VAData("KDP_US", AI$3, $C151, "VA Actuals", "CD", "IMPL","","")</f>
        <v>-922</v>
      </c>
      <c r="AJ151" s="16" cm="1">
        <f t="array" ref="AJ151">_xll.VAData("KDP_US", AJ$3, $C151, "VA Actuals", "CD", "IMPL","","")</f>
        <v>-1135</v>
      </c>
      <c r="AK151" s="17" cm="1">
        <f t="array" ref="AK151">_xll.VAData("KDP_US", AK$3, $C151, "VA Actuals", "CD", "IMPL","","")</f>
        <v>-105</v>
      </c>
      <c r="AL151" s="17" cm="1">
        <f t="array" ref="AL151">_xll.VAData("KDP_US", AL$3, $C151, "VA Actuals", "CD", "IMPL","","")</f>
        <v>-98</v>
      </c>
    </row>
    <row r="152" spans="2:38" x14ac:dyDescent="0.75">
      <c r="D152" s="14"/>
      <c r="E152" s="14"/>
      <c r="F152" s="14"/>
      <c r="G152" s="15"/>
      <c r="H152" s="15"/>
      <c r="I152" s="15"/>
      <c r="J152" s="15"/>
      <c r="K152" s="14"/>
      <c r="L152" s="15"/>
      <c r="M152" s="15"/>
      <c r="N152" s="15"/>
      <c r="O152" s="15"/>
      <c r="P152" s="14"/>
      <c r="Q152" s="15"/>
      <c r="R152" s="15"/>
      <c r="S152" s="15"/>
      <c r="T152" s="15"/>
      <c r="U152" s="14"/>
      <c r="V152" s="15"/>
      <c r="W152" s="15"/>
      <c r="X152" s="15"/>
      <c r="Y152" s="15"/>
      <c r="Z152" s="14"/>
      <c r="AA152" s="15"/>
      <c r="AB152" s="15"/>
      <c r="AC152" s="15"/>
      <c r="AD152" s="15"/>
      <c r="AE152" s="14"/>
      <c r="AF152" s="15"/>
      <c r="AG152" s="15"/>
      <c r="AH152" s="15"/>
      <c r="AI152" s="15"/>
      <c r="AJ152" s="14"/>
      <c r="AK152" s="15"/>
      <c r="AL152" s="15"/>
    </row>
    <row r="153" spans="2:38" x14ac:dyDescent="0.75">
      <c r="D153" s="14"/>
      <c r="E153" s="14"/>
      <c r="F153" s="14"/>
      <c r="G153" s="15"/>
      <c r="H153" s="15"/>
      <c r="I153" s="15"/>
      <c r="J153" s="15"/>
      <c r="K153" s="14"/>
      <c r="L153" s="15"/>
      <c r="M153" s="15"/>
      <c r="N153" s="15"/>
      <c r="O153" s="15"/>
      <c r="P153" s="14"/>
      <c r="Q153" s="15"/>
      <c r="R153" s="15"/>
      <c r="S153" s="15"/>
      <c r="T153" s="15"/>
      <c r="U153" s="14"/>
      <c r="V153" s="15"/>
      <c r="W153" s="15"/>
      <c r="X153" s="15"/>
      <c r="Y153" s="15"/>
      <c r="Z153" s="14"/>
      <c r="AA153" s="15"/>
      <c r="AB153" s="15"/>
      <c r="AC153" s="15"/>
      <c r="AD153" s="15"/>
      <c r="AE153" s="14"/>
      <c r="AF153" s="15"/>
      <c r="AG153" s="15"/>
      <c r="AH153" s="15"/>
      <c r="AI153" s="15"/>
      <c r="AJ153" s="14"/>
      <c r="AK153" s="15"/>
      <c r="AL153" s="15"/>
    </row>
    <row r="154" spans="2:38" x14ac:dyDescent="0.75">
      <c r="B154" t="s">
        <v>161</v>
      </c>
      <c r="C154" t="s">
        <v>161</v>
      </c>
      <c r="D154" s="14" cm="1">
        <f t="array" ref="D154">_xll.VAData("KDP_US", D$3, $C154, "VA Actuals", "CD", "IMPL","","")</f>
        <v>400</v>
      </c>
      <c r="E154" s="14" cm="1">
        <f t="array" ref="E154">_xll.VAData("KDP_US", E$3, $C154, "VA Actuals", "CD", "IMPL","","")</f>
        <v>521</v>
      </c>
      <c r="F154" s="14" cm="1">
        <f t="array" ref="F154">_xll.VAData("KDP_US", F$3, $C154, "VA Actuals", "CD", "IMPL","","")</f>
        <v>519</v>
      </c>
      <c r="G154" s="15" cm="1">
        <f t="array" ref="G154">_xll.VAData("KDP_US", G$3, $C154, "VA Actuals", "CD", "IMPL","","")</f>
        <v>28</v>
      </c>
      <c r="H154" s="15" cm="1">
        <f t="array" ref="H154">_xll.VAData("KDP_US", H$3, $C154, "VA Actuals", "CD", "IMPL","","")</f>
        <v>149</v>
      </c>
      <c r="I154" s="15" cm="1">
        <f t="array" ref="I154">_xll.VAData("KDP_US", I$3, $C154, "VA Actuals", "CD", "IMPL","","")</f>
        <v>63</v>
      </c>
      <c r="J154" s="15" cm="1">
        <f t="array" ref="J154">_xll.VAData("KDP_US", J$3, $C154, "VA Actuals", "CD", "IMPL","","")</f>
        <v>399</v>
      </c>
      <c r="K154" s="14" cm="1">
        <f t="array" ref="K154">_xll.VAData("KDP_US", K$3, $C154, "VA Actuals", "CD", "IMPL","","")</f>
        <v>399</v>
      </c>
      <c r="L154" s="15" cm="1">
        <f t="array" ref="L154">_xll.VAData("KDP_US", L$3, $C154, "VA Actuals", "CD", "IMPL","","")</f>
        <v>-3007.3333333333298</v>
      </c>
      <c r="M154" s="15" cm="1">
        <f t="array" ref="M154">_xll.VAData("KDP_US", M$3, $C154, "VA Actuals", "CD", "IMPL","","")</f>
        <v>-3007.3333333333298</v>
      </c>
      <c r="N154" s="15" cm="1">
        <f t="array" ref="N154">_xll.VAData("KDP_US", N$3, $C154, "VA Actuals", "CD", "IMPL","","")</f>
        <v>-3007.3333333333298</v>
      </c>
      <c r="O154" s="15" cm="1">
        <f t="array" ref="O154">_xll.VAData("KDP_US", O$3, $C154, "VA Actuals", "CD", "IMPL","","")</f>
        <v>1</v>
      </c>
      <c r="P154" s="14" cm="1">
        <f t="array" ref="P154">_xll.VAData("KDP_US", P$3, $C154, "VA Actuals", "CD", "IMPL","","")</f>
        <v>-9004.7999999999993</v>
      </c>
      <c r="Q154" s="15" cm="1">
        <f t="array" ref="Q154">_xll.VAData("KDP_US", Q$3, $C154, "VA Actuals", "CD", "IMPL","","")</f>
        <v>-8</v>
      </c>
      <c r="R154" s="15" cm="1">
        <f t="array" ref="R154">_xll.VAData("KDP_US", R$3, $C154, "VA Actuals", "CD", "IMPL","","")</f>
        <v>8</v>
      </c>
      <c r="S154" s="15" t="str" cm="1">
        <f t="array" ref="S154">_xll.VAData("KDP_US", S$3, $C154, "VA Actuals", "CD", "IMPL","","")</f>
        <v>-</v>
      </c>
      <c r="T154" s="15" cm="1">
        <f t="array" ref="T154">_xll.VAData("KDP_US", T$3, $C154, "VA Actuals", "CD", "IMPL","","")</f>
        <v>-20</v>
      </c>
      <c r="U154" s="14" cm="1">
        <f t="array" ref="U154">_xll.VAData("KDP_US", U$3, $C154, "VA Actuals", "CD", "IMPL","","")</f>
        <v>-20</v>
      </c>
      <c r="V154" s="15" t="str" cm="1">
        <f t="array" ref="V154">_xll.VAData("KDP_US", V$3, $C154, "VA Actuals", "CD", "IMPL","","")</f>
        <v>-</v>
      </c>
      <c r="W154" s="15" t="str" cm="1">
        <f t="array" ref="W154">_xll.VAData("KDP_US", W$3, $C154, "VA Actuals", "CD", "IMPL","","")</f>
        <v>-</v>
      </c>
      <c r="X154" s="15" cm="1">
        <f t="array" ref="X154">_xll.VAData("KDP_US", X$3, $C154, "VA Actuals", "CD", "IMPL","","")</f>
        <v>-7</v>
      </c>
      <c r="Y154" s="15" t="str" cm="1">
        <f t="array" ref="Y154">_xll.VAData("KDP_US", Y$3, $C154, "VA Actuals", "CD", "IMPL","","")</f>
        <v>-</v>
      </c>
      <c r="Z154" s="14" cm="1">
        <f t="array" ref="Z154">_xll.VAData("KDP_US", Z$3, $C154, "VA Actuals", "CD", "IMPL","","")</f>
        <v>-29</v>
      </c>
      <c r="AA154" s="15" cm="1">
        <f t="array" ref="AA154">_xll.VAData("KDP_US", AA$3, $C154, "VA Actuals", "CD", "IMPL","","")</f>
        <v>-140</v>
      </c>
      <c r="AB154" s="15" cm="1">
        <f t="array" ref="AB154">_xll.VAData("KDP_US", AB$3, $C154, "VA Actuals", "CD", "IMPL","","")</f>
        <v>140</v>
      </c>
      <c r="AC154" s="15" t="str" cm="1">
        <f t="array" ref="AC154">_xll.VAData("KDP_US", AC$3, $C154, "VA Actuals", "CD", "IMPL","","")</f>
        <v>-</v>
      </c>
      <c r="AD154" s="15" t="str" cm="1">
        <f t="array" ref="AD154">_xll.VAData("KDP_US", AD$3, $C154, "VA Actuals", "CD", "IMPL","","")</f>
        <v>-</v>
      </c>
      <c r="AE154" s="14" cm="1">
        <f t="array" ref="AE154">_xll.VAData("KDP_US", AE$3, $C154, "VA Actuals", "CD", "IMPL","","")</f>
        <v>-140</v>
      </c>
      <c r="AF154" s="15" t="str" cm="1">
        <f t="array" ref="AF154">_xll.VAData("KDP_US", AF$3, $C154, "VA Actuals", "CD", "IMPL","","")</f>
        <v>-</v>
      </c>
      <c r="AG154" s="15" cm="1">
        <f t="array" ref="AG154">_xll.VAData("KDP_US", AG$3, $C154, "VA Actuals", "CD", "IMPL","","")</f>
        <v>88</v>
      </c>
      <c r="AH154" s="15" t="str" cm="1">
        <f t="array" ref="AH154">_xll.VAData("KDP_US", AH$3, $C154, "VA Actuals", "CD", "IMPL","","")</f>
        <v>-</v>
      </c>
      <c r="AI154" s="15" cm="1">
        <f t="array" ref="AI154">_xll.VAData("KDP_US", AI$3, $C154, "VA Actuals", "CD", "IMPL","","")</f>
        <v>291</v>
      </c>
      <c r="AJ154" s="14" cm="1">
        <f t="array" ref="AJ154">_xll.VAData("KDP_US", AJ$3, $C154, "VA Actuals", "CD", "IMPL","","")</f>
        <v>379</v>
      </c>
      <c r="AK154" s="15" cm="1">
        <f t="array" ref="AK154">_xll.VAData("KDP_US", AK$3, $C154, "VA Actuals", "CD", "IMPL","","")</f>
        <v>231</v>
      </c>
      <c r="AL154" s="15" cm="1">
        <f t="array" ref="AL154">_xll.VAData("KDP_US", AL$3, $C154, "VA Actuals", "CD", "IMPL","","")</f>
        <v>226</v>
      </c>
    </row>
    <row r="155" spans="2:38" x14ac:dyDescent="0.75">
      <c r="B155" t="s">
        <v>162</v>
      </c>
      <c r="C155" t="s">
        <v>189</v>
      </c>
      <c r="D155" s="14" cm="1">
        <f t="array" ref="D155">_xll.VAData("KDP_US", D$3, $C155, "VA Actuals", "CD", "IMPL","","")</f>
        <v>-65</v>
      </c>
      <c r="E155" s="14" cm="1">
        <f t="array" ref="E155">_xll.VAData("KDP_US", E$3, $C155, "VA Actuals", "CD", "IMPL","","")</f>
        <v>750</v>
      </c>
      <c r="F155" s="14" cm="1">
        <f t="array" ref="F155">_xll.VAData("KDP_US", F$3, $C155, "VA Actuals", "CD", "IMPL","","")</f>
        <v>1059</v>
      </c>
      <c r="G155" s="15" cm="1">
        <f t="array" ref="G155">_xll.VAData("KDP_US", G$3, $C155, "VA Actuals", "CD", "IMPL","","")</f>
        <v>-1</v>
      </c>
      <c r="H155" s="15" cm="1">
        <f t="array" ref="H155">_xll.VAData("KDP_US", H$3, $C155, "VA Actuals", "CD", "IMPL","","")</f>
        <v>152</v>
      </c>
      <c r="I155" s="15" cm="1">
        <f t="array" ref="I155">_xll.VAData("KDP_US", I$3, $C155, "VA Actuals", "CD", "IMPL","","")</f>
        <v>-1296</v>
      </c>
      <c r="J155" s="15" cm="1">
        <f t="array" ref="J155">_xll.VAData("KDP_US", J$3, $C155, "VA Actuals", "CD", "IMPL","","")</f>
        <v>1048</v>
      </c>
      <c r="K155" s="14" cm="1">
        <f t="array" ref="K155">_xll.VAData("KDP_US", K$3, $C155, "VA Actuals", "CD", "IMPL","","")</f>
        <v>-96</v>
      </c>
      <c r="L155" s="15" cm="1">
        <f t="array" ref="L155">_xll.VAData("KDP_US", L$3, $C155, "VA Actuals", "CD", "IMPL","","")</f>
        <v>-203</v>
      </c>
      <c r="M155" s="15" cm="1">
        <f t="array" ref="M155">_xll.VAData("KDP_US", M$3, $C155, "VA Actuals", "CD", "IMPL","","")</f>
        <v>7940</v>
      </c>
      <c r="N155" s="15" cm="1">
        <f t="array" ref="N155">_xll.VAData("KDP_US", N$3, $C155, "VA Actuals", "CD", "IMPL","","")</f>
        <v>-502</v>
      </c>
      <c r="O155" s="15" cm="1">
        <f t="array" ref="O155">_xll.VAData("KDP_US", O$3, $C155, "VA Actuals", "CD", "IMPL","","")</f>
        <v>-1143</v>
      </c>
      <c r="P155" s="14" cm="1">
        <f t="array" ref="P155">_xll.VAData("KDP_US", P$3, $C155, "VA Actuals", "CD", "IMPL","","")</f>
        <v>6012</v>
      </c>
      <c r="Q155" s="15" cm="1">
        <f t="array" ref="Q155">_xll.VAData("KDP_US", Q$3, $C155, "VA Actuals", "CD", "IMPL","","")</f>
        <v>-355</v>
      </c>
      <c r="R155" s="15" cm="1">
        <f t="array" ref="R155">_xll.VAData("KDP_US", R$3, $C155, "VA Actuals", "CD", "IMPL","","")</f>
        <v>-303</v>
      </c>
      <c r="S155" s="15" cm="1">
        <f t="array" ref="S155">_xll.VAData("KDP_US", S$3, $C155, "VA Actuals", "CD", "IMPL","","")</f>
        <v>-336</v>
      </c>
      <c r="T155" s="15" cm="1">
        <f t="array" ref="T155">_xll.VAData("KDP_US", T$3, $C155, "VA Actuals", "CD", "IMPL","","")</f>
        <v>-522</v>
      </c>
      <c r="U155" s="14" cm="1">
        <f t="array" ref="U155">_xll.VAData("KDP_US", U$3, $C155, "VA Actuals", "CD", "IMPL","","")</f>
        <v>-1525</v>
      </c>
      <c r="V155" s="15" cm="1">
        <f t="array" ref="V155">_xll.VAData("KDP_US", V$3, $C155, "VA Actuals", "CD", "IMPL","","")</f>
        <v>-118</v>
      </c>
      <c r="W155" s="15" cm="1">
        <f t="array" ref="W155">_xll.VAData("KDP_US", W$3, $C155, "VA Actuals", "CD", "IMPL","","")</f>
        <v>-363</v>
      </c>
      <c r="X155" s="15" cm="1">
        <f t="array" ref="X155">_xll.VAData("KDP_US", X$3, $C155, "VA Actuals", "CD", "IMPL","","")</f>
        <v>-257</v>
      </c>
      <c r="Y155" s="15" cm="1">
        <f t="array" ref="Y155">_xll.VAData("KDP_US", Y$3, $C155, "VA Actuals", "CD", "IMPL","","")</f>
        <v>-435</v>
      </c>
      <c r="Z155" s="14" cm="1">
        <f t="array" ref="Z155">_xll.VAData("KDP_US", Z$3, $C155, "VA Actuals", "CD", "IMPL","","")</f>
        <v>-1173</v>
      </c>
      <c r="AA155" s="15" cm="1">
        <f t="array" ref="AA155">_xll.VAData("KDP_US", AA$3, $C155, "VA Actuals", "CD", "IMPL","","")</f>
        <v>-141</v>
      </c>
      <c r="AB155" s="15" cm="1">
        <f t="array" ref="AB155">_xll.VAData("KDP_US", AB$3, $C155, "VA Actuals", "CD", "IMPL","","")</f>
        <v>-625</v>
      </c>
      <c r="AC155" s="15" cm="1">
        <f t="array" ref="AC155">_xll.VAData("KDP_US", AC$3, $C155, "VA Actuals", "CD", "IMPL","","")</f>
        <v>-406</v>
      </c>
      <c r="AD155" s="15" cm="1">
        <f t="array" ref="AD155">_xll.VAData("KDP_US", AD$3, $C155, "VA Actuals", "CD", "IMPL","","")</f>
        <v>-849</v>
      </c>
      <c r="AE155" s="14" cm="1">
        <f t="array" ref="AE155">_xll.VAData("KDP_US", AE$3, $C155, "VA Actuals", "CD", "IMPL","","")</f>
        <v>-1732</v>
      </c>
      <c r="AF155" s="15" cm="1">
        <f t="array" ref="AF155">_xll.VAData("KDP_US", AF$3, $C155, "VA Actuals", "CD", "IMPL","","")</f>
        <v>-349</v>
      </c>
      <c r="AG155" s="15" cm="1">
        <f t="array" ref="AG155">_xll.VAData("KDP_US", AG$3, $C155, "VA Actuals", "CD", "IMPL","","")</f>
        <v>-161</v>
      </c>
      <c r="AH155" s="15" cm="1">
        <f t="array" ref="AH155">_xll.VAData("KDP_US", AH$3, $C155, "VA Actuals", "CD", "IMPL","","")</f>
        <v>-1</v>
      </c>
      <c r="AI155" s="15" cm="1">
        <f t="array" ref="AI155">_xll.VAData("KDP_US", AI$3, $C155, "VA Actuals", "CD", "IMPL","","")</f>
        <v>393</v>
      </c>
      <c r="AJ155" s="14" cm="1">
        <f t="array" ref="AJ155">_xll.VAData("KDP_US", AJ$3, $C155, "VA Actuals", "CD", "IMPL","","")</f>
        <v>-118</v>
      </c>
      <c r="AK155" s="15" cm="1">
        <f t="array" ref="AK155">_xll.VAData("KDP_US", AK$3, $C155, "VA Actuals", "CD", "IMPL","","")</f>
        <v>267</v>
      </c>
      <c r="AL155" s="15" cm="1">
        <f t="array" ref="AL155">_xll.VAData("KDP_US", AL$3, $C155, "VA Actuals", "CD", "IMPL","","")</f>
        <v>311</v>
      </c>
    </row>
    <row r="156" spans="2:38" x14ac:dyDescent="0.75">
      <c r="B156" t="s">
        <v>163</v>
      </c>
      <c r="C156" t="s">
        <v>163</v>
      </c>
      <c r="D156" s="14" cm="1">
        <f t="array" ref="D156">_xll.VAData("KDP_US", D$3, $C156, "VA Actuals", "CD", "IMPL","","")</f>
        <v>317</v>
      </c>
      <c r="E156" s="14" cm="1">
        <f t="array" ref="E156">_xll.VAData("KDP_US", E$3, $C156, "VA Actuals", "CD", "IMPL","","")</f>
        <v>355</v>
      </c>
      <c r="F156" s="14" cm="1">
        <f t="array" ref="F156">_xll.VAData("KDP_US", F$3, $C156, "VA Actuals", "CD", "IMPL","","")</f>
        <v>386</v>
      </c>
      <c r="G156" s="15" cm="1">
        <f t="array" ref="G156">_xll.VAData("KDP_US", G$3, $C156, "VA Actuals", "CD", "IMPL","","")</f>
        <v>97</v>
      </c>
      <c r="H156" s="15" cm="1">
        <f t="array" ref="H156">_xll.VAData("KDP_US", H$3, $C156, "VA Actuals", "CD", "IMPL","","")</f>
        <v>107</v>
      </c>
      <c r="I156" s="15" cm="1">
        <f t="array" ref="I156">_xll.VAData("KDP_US", I$3, $C156, "VA Actuals", "CD", "IMPL","","")</f>
        <v>-158</v>
      </c>
      <c r="J156" s="15" cm="1">
        <f t="array" ref="J156">_xll.VAData("KDP_US", J$3, $C156, "VA Actuals", "CD", "IMPL","","")</f>
        <v>368</v>
      </c>
      <c r="K156" s="14" cm="1">
        <f t="array" ref="K156">_xll.VAData("KDP_US", K$3, $C156, "VA Actuals", "CD", "IMPL","","")</f>
        <v>57</v>
      </c>
      <c r="L156" s="15" cm="1">
        <f t="array" ref="L156">_xll.VAData("KDP_US", L$3, $C156, "VA Actuals", "CD", "IMPL","","")</f>
        <v>11</v>
      </c>
      <c r="M156" s="15" cm="1">
        <f t="array" ref="M156">_xll.VAData("KDP_US", M$3, $C156, "VA Actuals", "CD", "IMPL","","")</f>
        <v>12</v>
      </c>
      <c r="N156" s="15" cm="1">
        <f t="array" ref="N156">_xll.VAData("KDP_US", N$3, $C156, "VA Actuals", "CD", "IMPL","","")</f>
        <v>15.333333333333336</v>
      </c>
      <c r="O156" s="15" cm="1">
        <f t="array" ref="O156">_xll.VAData("KDP_US", O$3, $C156, "VA Actuals", "CD", "IMPL","","")</f>
        <v>209</v>
      </c>
      <c r="P156" s="14" cm="1">
        <f t="array" ref="P156">_xll.VAData("KDP_US", P$3, $C156, "VA Actuals", "CD", "IMPL","","")</f>
        <v>232</v>
      </c>
      <c r="Q156" s="15" cm="1">
        <f t="array" ref="Q156">_xll.VAData("KDP_US", Q$3, $C156, "VA Actuals", "CD", "IMPL","","")</f>
        <v>211</v>
      </c>
      <c r="R156" s="15" cm="1">
        <f t="array" ref="R156">_xll.VAData("KDP_US", R$3, $C156, "VA Actuals", "CD", "IMPL","","")</f>
        <v>212</v>
      </c>
      <c r="S156" s="15" cm="1">
        <f t="array" ref="S156">_xll.VAData("KDP_US", S$3, $C156, "VA Actuals", "CD", "IMPL","","")</f>
        <v>210</v>
      </c>
      <c r="T156" s="15" cm="1">
        <f t="array" ref="T156">_xll.VAData("KDP_US", T$3, $C156, "VA Actuals", "CD", "IMPL","","")</f>
        <v>211</v>
      </c>
      <c r="U156" s="14" cm="1">
        <f t="array" ref="U156">_xll.VAData("KDP_US", U$3, $C156, "VA Actuals", "CD", "IMPL","","")</f>
        <v>844</v>
      </c>
      <c r="V156" s="15" cm="1">
        <f t="array" ref="V156">_xll.VAData("KDP_US", V$3, $C156, "VA Actuals", "CD", "IMPL","","")</f>
        <v>212</v>
      </c>
      <c r="W156" s="15" cm="1">
        <f t="array" ref="W156">_xll.VAData("KDP_US", W$3, $C156, "VA Actuals", "CD", "IMPL","","")</f>
        <v>211</v>
      </c>
      <c r="X156" s="15" cm="1">
        <f t="array" ref="X156">_xll.VAData("KDP_US", X$3, $C156, "VA Actuals", "CD", "IMPL","","")</f>
        <v>212</v>
      </c>
      <c r="Y156" s="15" cm="1">
        <f t="array" ref="Y156">_xll.VAData("KDP_US", Y$3, $C156, "VA Actuals", "CD", "IMPL","","")</f>
        <v>211</v>
      </c>
      <c r="Z156" s="14" cm="1">
        <f t="array" ref="Z156">_xll.VAData("KDP_US", Z$3, $C156, "VA Actuals", "CD", "IMPL","","")</f>
        <v>846</v>
      </c>
      <c r="AA156" s="15" cm="1">
        <f t="array" ref="AA156">_xll.VAData("KDP_US", AA$3, $C156, "VA Actuals", "CD", "IMPL","","")</f>
        <v>192</v>
      </c>
      <c r="AB156" s="15" cm="1">
        <f t="array" ref="AB156">_xll.VAData("KDP_US", AB$3, $C156, "VA Actuals", "CD", "IMPL","","")</f>
        <v>232</v>
      </c>
      <c r="AC156" s="15" cm="1">
        <f t="array" ref="AC156">_xll.VAData("KDP_US", AC$3, $C156, "VA Actuals", "CD", "IMPL","","")</f>
        <v>263</v>
      </c>
      <c r="AD156" s="15" cm="1">
        <f t="array" ref="AD156">_xll.VAData("KDP_US", AD$3, $C156, "VA Actuals", "CD", "IMPL","","")</f>
        <v>268</v>
      </c>
      <c r="AE156" s="14" cm="1">
        <f t="array" ref="AE156">_xll.VAData("KDP_US", AE$3, $C156, "VA Actuals", "CD", "IMPL","","")</f>
        <v>955</v>
      </c>
      <c r="AF156" s="15" cm="1">
        <f t="array" ref="AF156">_xll.VAData("KDP_US", AF$3, $C156, "VA Actuals", "CD", "IMPL","","")</f>
        <v>265</v>
      </c>
      <c r="AG156" s="15" cm="1">
        <f t="array" ref="AG156">_xll.VAData("KDP_US", AG$3, $C156, "VA Actuals", "CD", "IMPL","","")</f>
        <v>266</v>
      </c>
      <c r="AH156" s="15" cm="1">
        <f t="array" ref="AH156">_xll.VAData("KDP_US", AH$3, $C156, "VA Actuals", "CD", "IMPL","","")</f>
        <v>265</v>
      </c>
      <c r="AI156" s="15" cm="1">
        <f t="array" ref="AI156">_xll.VAData("KDP_US", AI$3, $C156, "VA Actuals", "CD", "IMPL","","")</f>
        <v>284</v>
      </c>
      <c r="AJ156" s="14" cm="1">
        <f t="array" ref="AJ156">_xll.VAData("KDP_US", AJ$3, $C156, "VA Actuals", "CD", "IMPL","","")</f>
        <v>1080</v>
      </c>
      <c r="AK156" s="15" cm="1">
        <f t="array" ref="AK156">_xll.VAData("KDP_US", AK$3, $C156, "VA Actuals", "CD", "IMPL","","")</f>
        <v>281</v>
      </c>
      <c r="AL156" s="15" cm="1">
        <f t="array" ref="AL156">_xll.VAData("KDP_US", AL$3, $C156, "VA Actuals", "CD", "IMPL","","")</f>
        <v>282</v>
      </c>
    </row>
    <row r="157" spans="2:38" x14ac:dyDescent="0.75">
      <c r="B157" t="s">
        <v>164</v>
      </c>
      <c r="C157" t="s">
        <v>164</v>
      </c>
      <c r="D157" s="14" cm="1">
        <f t="array" ref="D157">_xll.VAData("KDP_US", D$3, $C157, "VA Actuals", "CD", "IMPL","","")</f>
        <v>35</v>
      </c>
      <c r="E157" s="14" cm="1">
        <f t="array" ref="E157">_xll.VAData("KDP_US", E$3, $C157, "VA Actuals", "CD", "IMPL","","")</f>
        <v>12</v>
      </c>
      <c r="F157" s="14" cm="1">
        <f t="array" ref="F157">_xll.VAData("KDP_US", F$3, $C157, "VA Actuals", "CD", "IMPL","","")</f>
        <v>-46</v>
      </c>
      <c r="G157" s="15" cm="1">
        <f t="array" ref="G157">_xll.VAData("KDP_US", G$3, $C157, "VA Actuals", "CD", "IMPL","","")</f>
        <v>-17</v>
      </c>
      <c r="H157" s="15" cm="1">
        <f t="array" ref="H157">_xll.VAData("KDP_US", H$3, $C157, "VA Actuals", "CD", "IMPL","","")</f>
        <v>26</v>
      </c>
      <c r="I157" s="15" cm="1">
        <f t="array" ref="I157">_xll.VAData("KDP_US", I$3, $C157, "VA Actuals", "CD", "IMPL","","")</f>
        <v>-107</v>
      </c>
      <c r="J157" s="15" cm="1">
        <f t="array" ref="J157">_xll.VAData("KDP_US", J$3, $C157, "VA Actuals", "CD", "IMPL","","")</f>
        <v>100</v>
      </c>
      <c r="K157" s="14" cm="1">
        <f t="array" ref="K157">_xll.VAData("KDP_US", K$3, $C157, "VA Actuals", "CD", "IMPL","","")</f>
        <v>2</v>
      </c>
      <c r="L157" s="15" cm="1">
        <f t="array" ref="L157">_xll.VAData("KDP_US", L$3, $C157, "VA Actuals", "CD", "IMPL","","")</f>
        <v>-1</v>
      </c>
      <c r="M157" s="15" cm="1">
        <f t="array" ref="M157">_xll.VAData("KDP_US", M$3, $C157, "VA Actuals", "CD", "IMPL","","")</f>
        <v>-23</v>
      </c>
      <c r="N157" s="15" cm="1">
        <f t="array" ref="N157">_xll.VAData("KDP_US", N$3, $C157, "VA Actuals", "CD", "IMPL","","")</f>
        <v>10892</v>
      </c>
      <c r="O157" s="15" cm="1">
        <f t="array" ref="O157">_xll.VAData("KDP_US", O$3, $C157, "VA Actuals", "CD", "IMPL","","")</f>
        <v>1</v>
      </c>
      <c r="P157" s="14" cm="1">
        <f t="array" ref="P157">_xll.VAData("KDP_US", P$3, $C157, "VA Actuals", "CD", "IMPL","","")</f>
        <v>7929</v>
      </c>
      <c r="Q157" s="15" cm="1">
        <f t="array" ref="Q157">_xll.VAData("KDP_US", Q$3, $C157, "VA Actuals", "CD", "IMPL","","")</f>
        <v>6</v>
      </c>
      <c r="R157" s="15" cm="1">
        <f t="array" ref="R157">_xll.VAData("KDP_US", R$3, $C157, "VA Actuals", "CD", "IMPL","","")</f>
        <v>-9</v>
      </c>
      <c r="S157" s="15" cm="1">
        <f t="array" ref="S157">_xll.VAData("KDP_US", S$3, $C157, "VA Actuals", "CD", "IMPL","","")</f>
        <v>-10</v>
      </c>
      <c r="T157" s="15" cm="1">
        <f t="array" ref="T157">_xll.VAData("KDP_US", T$3, $C157, "VA Actuals", "CD", "IMPL","","")</f>
        <v>-14</v>
      </c>
      <c r="U157" s="14" cm="1">
        <f t="array" ref="U157">_xll.VAData("KDP_US", U$3, $C157, "VA Actuals", "CD", "IMPL","","")</f>
        <v>5</v>
      </c>
      <c r="V157" s="15" cm="1">
        <f t="array" ref="V157">_xll.VAData("KDP_US", V$3, $C157, "VA Actuals", "CD", "IMPL","","")</f>
        <v>-11</v>
      </c>
      <c r="W157" s="15" cm="1">
        <f t="array" ref="W157">_xll.VAData("KDP_US", W$3, $C157, "VA Actuals", "CD", "IMPL","","")</f>
        <v>-10</v>
      </c>
      <c r="X157" s="15" cm="1">
        <f t="array" ref="X157">_xll.VAData("KDP_US", X$3, $C157, "VA Actuals", "CD", "IMPL","","")</f>
        <v>-7</v>
      </c>
      <c r="Y157" s="15" cm="1">
        <f t="array" ref="Y157">_xll.VAData("KDP_US", Y$3, $C157, "VA Actuals", "CD", "IMPL","","")</f>
        <v>-8529</v>
      </c>
      <c r="Z157" s="14" cm="1">
        <f t="array" ref="Z157">_xll.VAData("KDP_US", Z$3, $C157, "VA Actuals", "CD", "IMPL","","")</f>
        <v>-23</v>
      </c>
      <c r="AA157" s="15" cm="1">
        <f t="array" ref="AA157">_xll.VAData("KDP_US", AA$3, $C157, "VA Actuals", "CD", "IMPL","","")</f>
        <v>-177</v>
      </c>
      <c r="AB157" s="15" cm="1">
        <f t="array" ref="AB157">_xll.VAData("KDP_US", AB$3, $C157, "VA Actuals", "CD", "IMPL","","")</f>
        <v>128</v>
      </c>
      <c r="AC157" s="15" cm="1">
        <f t="array" ref="AC157">_xll.VAData("KDP_US", AC$3, $C157, "VA Actuals", "CD", "IMPL","","")</f>
        <v>-11</v>
      </c>
      <c r="AD157" s="15" cm="1">
        <f t="array" ref="AD157">_xll.VAData("KDP_US", AD$3, $C157, "VA Actuals", "CD", "IMPL","","")</f>
        <v>-15</v>
      </c>
      <c r="AE157" s="14" cm="1">
        <f t="array" ref="AE157">_xll.VAData("KDP_US", AE$3, $C157, "VA Actuals", "CD", "IMPL","","")</f>
        <v>-215</v>
      </c>
      <c r="AF157" s="15" cm="1">
        <f t="array" ref="AF157">_xll.VAData("KDP_US", AF$3, $C157, "VA Actuals", "CD", "IMPL","","")</f>
        <v>-30</v>
      </c>
      <c r="AG157" s="15" cm="1">
        <f t="array" ref="AG157">_xll.VAData("KDP_US", AG$3, $C157, "VA Actuals", "CD", "IMPL","","")</f>
        <v>-62</v>
      </c>
      <c r="AH157" s="15" cm="1">
        <f t="array" ref="AH157">_xll.VAData("KDP_US", AH$3, $C157, "VA Actuals", "CD", "IMPL","","")</f>
        <v>-28</v>
      </c>
      <c r="AI157" s="15" cm="1">
        <f t="array" ref="AI157">_xll.VAData("KDP_US", AI$3, $C157, "VA Actuals", "CD", "IMPL","","")</f>
        <v>-31</v>
      </c>
      <c r="AJ157" s="14" cm="1">
        <f t="array" ref="AJ157">_xll.VAData("KDP_US", AJ$3, $C157, "VA Actuals", "CD", "IMPL","","")</f>
        <v>-151</v>
      </c>
      <c r="AK157" s="15" cm="1">
        <f t="array" ref="AK157">_xll.VAData("KDP_US", AK$3, $C157, "VA Actuals", "CD", "IMPL","","")</f>
        <v>-58</v>
      </c>
      <c r="AL157" s="15" cm="1">
        <f t="array" ref="AL157">_xll.VAData("KDP_US", AL$3, $C157, "VA Actuals", "CD", "IMPL","","")</f>
        <v>-23</v>
      </c>
    </row>
    <row r="158" spans="2:38" s="11" customFormat="1" x14ac:dyDescent="0.75">
      <c r="B158" s="11" t="s">
        <v>166</v>
      </c>
      <c r="C158" s="11" t="s">
        <v>187</v>
      </c>
      <c r="D158" s="16" cm="1">
        <f t="array" ref="D158">_xll.VAData("KDP_US", D$3, $C158, "VA Actuals", "CD", "IMPL","","")</f>
        <v>-747</v>
      </c>
      <c r="E158" s="16" cm="1">
        <f t="array" ref="E158">_xll.VAData("KDP_US", E$3, $C158, "VA Actuals", "CD", "IMPL","","")</f>
        <v>-114</v>
      </c>
      <c r="F158" s="16" cm="1">
        <f t="array" ref="F158">_xll.VAData("KDP_US", F$3, $C158, "VA Actuals", "CD", "IMPL","","")</f>
        <v>130</v>
      </c>
      <c r="G158" s="17" cm="1">
        <f t="array" ref="G158">_xll.VAData("KDP_US", G$3, $C158, "VA Actuals", "CD", "IMPL","","")</f>
        <v>-142</v>
      </c>
      <c r="H158" s="17" cm="1">
        <f t="array" ref="H158">_xll.VAData("KDP_US", H$3, $C158, "VA Actuals", "CD", "IMPL","","")</f>
        <v>-78</v>
      </c>
      <c r="I158" s="17" cm="1">
        <f t="array" ref="I158">_xll.VAData("KDP_US", I$3, $C158, "VA Actuals", "CD", "IMPL","","")</f>
        <v>-1068</v>
      </c>
      <c r="J158" s="17" cm="1">
        <f t="array" ref="J158">_xll.VAData("KDP_US", J$3, $C158, "VA Actuals", "CD", "IMPL","","")</f>
        <v>381</v>
      </c>
      <c r="K158" s="16" cm="1">
        <f t="array" ref="K158">_xll.VAData("KDP_US", K$3, $C158, "VA Actuals", "CD", "IMPL","","")</f>
        <v>-1908</v>
      </c>
      <c r="L158" s="17" cm="1">
        <f t="array" ref="L158">_xll.VAData("KDP_US", L$3, $C158, "VA Actuals", "CD", "IMPL","","")</f>
        <v>-215</v>
      </c>
      <c r="M158" s="17" cm="1">
        <f t="array" ref="M158">_xll.VAData("KDP_US", M$3, $C158, "VA Actuals", "CD", "IMPL","","")</f>
        <v>7905</v>
      </c>
      <c r="N158" s="17" cm="1">
        <f t="array" ref="N158">_xll.VAData("KDP_US", N$3, $C158, "VA Actuals", "CD", "IMPL","","")</f>
        <v>10394</v>
      </c>
      <c r="O158" s="17" cm="1">
        <f t="array" ref="O158">_xll.VAData("KDP_US", O$3, $C158, "VA Actuals", "CD", "IMPL","","")</f>
        <v>-507</v>
      </c>
      <c r="P158" s="16" cm="1">
        <f t="array" ref="P158">_xll.VAData("KDP_US", P$3, $C158, "VA Actuals", "CD", "IMPL","","")</f>
        <v>17577</v>
      </c>
      <c r="Q158" s="17" cm="1">
        <f t="array" ref="Q158">_xll.VAData("KDP_US", Q$3, $C158, "VA Actuals", "CD", "IMPL","","")</f>
        <v>-556</v>
      </c>
      <c r="R158" s="17" cm="1">
        <f t="array" ref="R158">_xll.VAData("KDP_US", R$3, $C158, "VA Actuals", "CD", "IMPL","","")</f>
        <v>-524</v>
      </c>
      <c r="S158" s="17" cm="1">
        <f t="array" ref="S158">_xll.VAData("KDP_US", S$3, $C158, "VA Actuals", "CD", "IMPL","","")</f>
        <v>-546</v>
      </c>
      <c r="T158" s="17" cm="1">
        <f t="array" ref="T158">_xll.VAData("KDP_US", T$3, $C158, "VA Actuals", "CD", "IMPL","","")</f>
        <v>-738</v>
      </c>
      <c r="U158" s="16" cm="1">
        <f t="array" ref="U158">_xll.VAData("KDP_US", U$3, $C158, "VA Actuals", "CD", "IMPL","","")</f>
        <v>-2364</v>
      </c>
      <c r="V158" s="17" cm="1">
        <f t="array" ref="V158">_xll.VAData("KDP_US", V$3, $C158, "VA Actuals", "CD", "IMPL","","")</f>
        <v>-328</v>
      </c>
      <c r="W158" s="17" cm="1">
        <f t="array" ref="W158">_xll.VAData("KDP_US", W$3, $C158, "VA Actuals", "CD", "IMPL","","")</f>
        <v>-573</v>
      </c>
      <c r="X158" s="17" cm="1">
        <f t="array" ref="X158">_xll.VAData("KDP_US", X$3, $C158, "VA Actuals", "CD", "IMPL","","")</f>
        <v>-465</v>
      </c>
      <c r="Y158" s="17" cm="1">
        <f t="array" ref="Y158">_xll.VAData("KDP_US", Y$3, $C158, "VA Actuals", "CD", "IMPL","","")</f>
        <v>-624</v>
      </c>
      <c r="Z158" s="16" cm="1">
        <f t="array" ref="Z158">_xll.VAData("KDP_US", Z$3, $C158, "VA Actuals", "CD", "IMPL","","")</f>
        <v>-1990</v>
      </c>
      <c r="AA158" s="17" cm="1">
        <f t="array" ref="AA158">_xll.VAData("KDP_US", AA$3, $C158, "VA Actuals", "CD", "IMPL","","")</f>
        <v>-355</v>
      </c>
      <c r="AB158" s="17" cm="1">
        <f t="array" ref="AB158">_xll.VAData("KDP_US", AB$3, $C158, "VA Actuals", "CD", "IMPL","","")</f>
        <v>-673</v>
      </c>
      <c r="AC158" s="17" cm="1">
        <f t="array" ref="AC158">_xll.VAData("KDP_US", AC$3, $C158, "VA Actuals", "CD", "IMPL","","")</f>
        <v>-602</v>
      </c>
      <c r="AD158" s="17" cm="1">
        <f t="array" ref="AD158">_xll.VAData("KDP_US", AD$3, $C158, "VA Actuals", "CD", "IMPL","","")</f>
        <v>-1132</v>
      </c>
      <c r="AE158" s="16" cm="1">
        <f t="array" ref="AE158">_xll.VAData("KDP_US", AE$3, $C158, "VA Actuals", "CD", "IMPL","","")</f>
        <v>-2762</v>
      </c>
      <c r="AF158" s="17" cm="1">
        <f t="array" ref="AF158">_xll.VAData("KDP_US", AF$3, $C158, "VA Actuals", "CD", "IMPL","","")</f>
        <v>-644</v>
      </c>
      <c r="AG158" s="17" cm="1">
        <f t="array" ref="AG158">_xll.VAData("KDP_US", AG$3, $C158, "VA Actuals", "CD", "IMPL","","")</f>
        <v>-577</v>
      </c>
      <c r="AH158" s="17" cm="1">
        <f t="array" ref="AH158">_xll.VAData("KDP_US", AH$3, $C158, "VA Actuals", "CD", "IMPL","","")</f>
        <v>-294</v>
      </c>
      <c r="AI158" s="17" cm="1">
        <f t="array" ref="AI158">_xll.VAData("KDP_US", AI$3, $C158, "VA Actuals", "CD", "IMPL","","")</f>
        <v>-213</v>
      </c>
      <c r="AJ158" s="16" cm="1">
        <f t="array" ref="AJ158">_xll.VAData("KDP_US", AJ$3, $C158, "VA Actuals", "CD", "IMPL","","")</f>
        <v>-1728</v>
      </c>
      <c r="AK158" s="17" cm="1">
        <f t="array" ref="AK158">_xll.VAData("KDP_US", AK$3, $C158, "VA Actuals", "CD", "IMPL","","")</f>
        <v>-303</v>
      </c>
      <c r="AL158" s="17" cm="1">
        <f t="array" ref="AL158">_xll.VAData("KDP_US", AL$3, $C158, "VA Actuals", "CD", "IMPL","","")</f>
        <v>-220</v>
      </c>
    </row>
    <row r="159" spans="2:38" x14ac:dyDescent="0.75">
      <c r="D159" s="14"/>
      <c r="E159" s="14"/>
      <c r="F159" s="14"/>
      <c r="G159" s="15"/>
      <c r="H159" s="15"/>
      <c r="I159" s="15"/>
      <c r="J159" s="15"/>
      <c r="K159" s="14"/>
      <c r="L159" s="15"/>
      <c r="M159" s="15"/>
      <c r="N159" s="15"/>
      <c r="O159" s="15"/>
      <c r="P159" s="14"/>
      <c r="Q159" s="15"/>
      <c r="R159" s="15"/>
      <c r="S159" s="15"/>
      <c r="T159" s="15"/>
      <c r="U159" s="14"/>
      <c r="V159" s="15"/>
      <c r="W159" s="15"/>
      <c r="X159" s="15"/>
      <c r="Y159" s="15"/>
      <c r="Z159" s="14"/>
      <c r="AA159" s="15"/>
      <c r="AB159" s="15"/>
      <c r="AC159" s="15"/>
      <c r="AD159" s="15"/>
      <c r="AE159" s="14"/>
      <c r="AF159" s="15"/>
      <c r="AG159" s="15"/>
      <c r="AH159" s="15"/>
      <c r="AI159" s="15"/>
      <c r="AJ159" s="14"/>
      <c r="AK159" s="15"/>
      <c r="AL159" s="15"/>
    </row>
    <row r="160" spans="2:38" x14ac:dyDescent="0.75">
      <c r="B160" t="s">
        <v>168</v>
      </c>
      <c r="C160" t="s">
        <v>188</v>
      </c>
      <c r="D160" s="14" cm="1">
        <f t="array" ref="D160">_xll.VAData("KDP_US", D$3, $C160, "VA Actuals", "CD", "IMPL","","")</f>
        <v>-6</v>
      </c>
      <c r="E160" s="14" cm="1">
        <f t="array" ref="E160">_xll.VAData("KDP_US", E$3, $C160, "VA Actuals", "CD", "IMPL","","")</f>
        <v>-9</v>
      </c>
      <c r="F160" s="14" cm="1">
        <f t="array" ref="F160">_xll.VAData("KDP_US", F$3, $C160, "VA Actuals", "CD", "IMPL","","")</f>
        <v>-4</v>
      </c>
      <c r="G160" s="15" cm="1">
        <f t="array" ref="G160">_xll.VAData("KDP_US", G$3, $C160, "VA Actuals", "CD", "IMPL","","")</f>
        <v>3</v>
      </c>
      <c r="H160" s="15" cm="1">
        <f t="array" ref="H160">_xll.VAData("KDP_US", H$3, $C160, "VA Actuals", "CD", "IMPL","","")</f>
        <v>2</v>
      </c>
      <c r="I160" s="15" cm="1">
        <f t="array" ref="I160">_xll.VAData("KDP_US", I$3, $C160, "VA Actuals", "CD", "IMPL","","")</f>
        <v>13</v>
      </c>
      <c r="J160" s="15" cm="1">
        <f t="array" ref="J160">_xll.VAData("KDP_US", J$3, $C160, "VA Actuals", "CD", "IMPL","","")</f>
        <v>-15</v>
      </c>
      <c r="K160" s="14" cm="1">
        <f t="array" ref="K160">_xll.VAData("KDP_US", K$3, $C160, "VA Actuals", "CD", "IMPL","","")</f>
        <v>17</v>
      </c>
      <c r="L160" s="15" cm="1">
        <f t="array" ref="L160">_xll.VAData("KDP_US", L$3, $C160, "VA Actuals", "CD", "IMPL","","")</f>
        <v>1</v>
      </c>
      <c r="M160" s="15" cm="1">
        <f t="array" ref="M160">_xll.VAData("KDP_US", M$3, $C160, "VA Actuals", "CD", "IMPL","","")</f>
        <v>-35.666666633333399</v>
      </c>
      <c r="N160" s="15" cm="1">
        <f t="array" ref="N160">_xll.VAData("KDP_US", N$3, $C160, "VA Actuals", "CD", "IMPL","","")</f>
        <v>-51</v>
      </c>
      <c r="O160" s="15" cm="1">
        <f t="array" ref="O160">_xll.VAData("KDP_US", O$3, $C160, "VA Actuals", "CD", "IMPL","","")</f>
        <v>-1</v>
      </c>
      <c r="P160" s="14" cm="1">
        <f t="array" ref="P160">_xll.VAData("KDP_US", P$3, $C160, "VA Actuals", "CD", "IMPL","","")</f>
        <v>-15</v>
      </c>
      <c r="Q160" s="15" cm="1">
        <f t="array" ref="Q160">_xll.VAData("KDP_US", Q$3, $C160, "VA Actuals", "CD", "IMPL","","")</f>
        <v>10</v>
      </c>
      <c r="R160" s="15" cm="1">
        <f t="array" ref="R160">_xll.VAData("KDP_US", R$3, $C160, "VA Actuals", "CD", "IMPL","","")</f>
        <v>2</v>
      </c>
      <c r="S160" s="15" cm="1">
        <f t="array" ref="S160">_xll.VAData("KDP_US", S$3, $C160, "VA Actuals", "CD", "IMPL","","")</f>
        <v>16</v>
      </c>
      <c r="T160" s="15" t="str" cm="1">
        <f t="array" ref="T160">_xll.VAData("KDP_US", T$3, $C160, "VA Actuals", "CD", "IMPL","","")</f>
        <v>-</v>
      </c>
      <c r="U160" s="14" cm="1">
        <f t="array" ref="U160">_xll.VAData("KDP_US", U$3, $C160, "VA Actuals", "CD", "IMPL","","")</f>
        <v>12</v>
      </c>
      <c r="V160" s="15" cm="1">
        <f t="array" ref="V160">_xll.VAData("KDP_US", V$3, $C160, "VA Actuals", "CD", "IMPL","","")</f>
        <v>-8</v>
      </c>
      <c r="W160" s="15" cm="1">
        <f t="array" ref="W160">_xll.VAData("KDP_US", W$3, $C160, "VA Actuals", "CD", "IMPL","","")</f>
        <v>5</v>
      </c>
      <c r="X160" s="15" cm="1">
        <f t="array" ref="X160">_xll.VAData("KDP_US", X$3, $C160, "VA Actuals", "CD", "IMPL","","")</f>
        <v>-8</v>
      </c>
      <c r="Y160" s="15" cm="1">
        <f t="array" ref="Y160">_xll.VAData("KDP_US", Y$3, $C160, "VA Actuals", "CD", "IMPL","","")</f>
        <v>5</v>
      </c>
      <c r="Z160" s="14" cm="1">
        <f t="array" ref="Z160">_xll.VAData("KDP_US", Z$3, $C160, "VA Actuals", "CD", "IMPL","","")</f>
        <v>-6</v>
      </c>
      <c r="AA160" s="15" cm="1">
        <f t="array" ref="AA160">_xll.VAData("KDP_US", AA$3, $C160, "VA Actuals", "CD", "IMPL","","")</f>
        <v>2</v>
      </c>
      <c r="AB160" s="15" cm="1">
        <f t="array" ref="AB160">_xll.VAData("KDP_US", AB$3, $C160, "VA Actuals", "CD", "IMPL","","")</f>
        <v>2</v>
      </c>
      <c r="AC160" s="15" cm="1">
        <f t="array" ref="AC160">_xll.VAData("KDP_US", AC$3, $C160, "VA Actuals", "CD", "IMPL","","")</f>
        <v>-9</v>
      </c>
      <c r="AD160" s="15" cm="1">
        <f t="array" ref="AD160">_xll.VAData("KDP_US", AD$3, $C160, "VA Actuals", "CD", "IMPL","","")</f>
        <v>-4</v>
      </c>
      <c r="AE160" s="14" cm="1">
        <f t="array" ref="AE160">_xll.VAData("KDP_US", AE$3, $C160, "VA Actuals", "CD", "IMPL","","")</f>
        <v>-9</v>
      </c>
      <c r="AF160" s="15" cm="1">
        <f t="array" ref="AF160">_xll.VAData("KDP_US", AF$3, $C160, "VA Actuals", "CD", "IMPL","","")</f>
        <v>4</v>
      </c>
      <c r="AG160" s="15" cm="1">
        <f t="array" ref="AG160">_xll.VAData("KDP_US", AG$3, $C160, "VA Actuals", "CD", "IMPL","","")</f>
        <v>-5</v>
      </c>
      <c r="AH160" s="15" cm="1">
        <f t="array" ref="AH160">_xll.VAData("KDP_US", AH$3, $C160, "VA Actuals", "CD", "IMPL","","")</f>
        <v>-9</v>
      </c>
      <c r="AI160" s="15" cm="1">
        <f t="array" ref="AI160">_xll.VAData("KDP_US", AI$3, $C160, "VA Actuals", "CD", "IMPL","","")</f>
        <v>3</v>
      </c>
      <c r="AJ160" s="14" cm="1">
        <f t="array" ref="AJ160">_xll.VAData("KDP_US", AJ$3, $C160, "VA Actuals", "CD", "IMPL","","")</f>
        <v>-7</v>
      </c>
      <c r="AK160" s="15" cm="1">
        <f t="array" ref="AK160">_xll.VAData("KDP_US", AK$3, $C160, "VA Actuals", "CD", "IMPL","","")</f>
        <v>6</v>
      </c>
      <c r="AL160" s="15" cm="1">
        <f t="array" ref="AL160">_xll.VAData("KDP_US", AL$3, $C160, "VA Actuals", "CD", "IMPL","","")</f>
        <v>11</v>
      </c>
    </row>
    <row r="161" spans="2:38" x14ac:dyDescent="0.75">
      <c r="D161" s="14"/>
      <c r="E161" s="14"/>
      <c r="F161" s="14"/>
      <c r="G161" s="15"/>
      <c r="H161" s="15"/>
      <c r="I161" s="15"/>
      <c r="J161" s="15"/>
      <c r="K161" s="14"/>
      <c r="L161" s="15"/>
      <c r="M161" s="15"/>
      <c r="N161" s="15"/>
      <c r="O161" s="15"/>
      <c r="P161" s="14"/>
      <c r="Q161" s="15"/>
      <c r="R161" s="15"/>
      <c r="S161" s="15"/>
      <c r="T161" s="15"/>
      <c r="U161" s="14"/>
      <c r="V161" s="15"/>
      <c r="W161" s="15"/>
      <c r="X161" s="15"/>
      <c r="Y161" s="15"/>
      <c r="Z161" s="14"/>
      <c r="AA161" s="15"/>
      <c r="AB161" s="15"/>
      <c r="AC161" s="15"/>
      <c r="AD161" s="15"/>
      <c r="AE161" s="14"/>
      <c r="AF161" s="15"/>
      <c r="AG161" s="15"/>
      <c r="AH161" s="15"/>
      <c r="AI161" s="15"/>
      <c r="AJ161" s="14"/>
      <c r="AK161" s="15"/>
      <c r="AL161" s="15"/>
    </row>
    <row r="162" spans="2:38" x14ac:dyDescent="0.75">
      <c r="B162" t="s">
        <v>169</v>
      </c>
      <c r="C162" t="s">
        <v>190</v>
      </c>
      <c r="D162" s="14" cm="1">
        <f t="array" ref="D162">_xll.VAData("KDP_US", D$3, $C162, "VA Actuals", "CD", "IMPL","","")</f>
        <v>153</v>
      </c>
      <c r="E162" s="14" cm="1">
        <f t="array" ref="E162">_xll.VAData("KDP_US", E$3, $C162, "VA Actuals", "CD", "IMPL","","")</f>
        <v>237</v>
      </c>
      <c r="F162" s="14" cm="1">
        <f t="array" ref="F162">_xll.VAData("KDP_US", F$3, $C162, "VA Actuals", "CD", "IMPL","","")</f>
        <v>911</v>
      </c>
      <c r="G162" s="15" cm="1">
        <f t="array" ref="G162">_xll.VAData("KDP_US", G$3, $C162, "VA Actuals", "CD", "IMPL","","")</f>
        <v>1787</v>
      </c>
      <c r="H162" s="15" cm="1">
        <f t="array" ref="H162">_xll.VAData("KDP_US", H$3, $C162, "VA Actuals", "CD", "IMPL","","")</f>
        <v>176</v>
      </c>
      <c r="I162" s="15" cm="1">
        <f t="array" ref="I162">_xll.VAData("KDP_US", I$3, $C162, "VA Actuals", "CD", "IMPL","","")</f>
        <v>387</v>
      </c>
      <c r="J162" s="15" cm="1">
        <f t="array" ref="J162">_xll.VAData("KDP_US", J$3, $C162, "VA Actuals", "CD", "IMPL","","")</f>
        <v>165</v>
      </c>
      <c r="K162" s="14" cm="1">
        <f t="array" ref="K162">_xll.VAData("KDP_US", K$3, $C162, "VA Actuals", "CD", "IMPL","","")</f>
        <v>97</v>
      </c>
      <c r="L162" s="15" cm="1">
        <f t="array" ref="L162">_xll.VAData("KDP_US", L$3, $C162, "VA Actuals", "CD", "IMPL","","")</f>
        <v>95</v>
      </c>
      <c r="M162" s="15" t="str" cm="1">
        <f t="array" ref="M162">_xll.VAData("KDP_US", M$3, $C162, "VA Actuals", "CD", "IMPL","","")</f>
        <v>-</v>
      </c>
      <c r="N162" s="15" cm="1">
        <f t="array" ref="N162">_xll.VAData("KDP_US", N$3, $C162, "VA Actuals", "CD", "IMPL","","")</f>
        <v>95</v>
      </c>
      <c r="O162" s="15" cm="1">
        <f t="array" ref="O162">_xll.VAData("KDP_US", O$3, $C162, "VA Actuals", "CD", "IMPL","","")</f>
        <v>349</v>
      </c>
      <c r="P162" s="14" cm="1">
        <f t="array" ref="P162">_xll.VAData("KDP_US", P$3, $C162, "VA Actuals", "CD", "IMPL","","")</f>
        <v>95</v>
      </c>
      <c r="Q162" s="15" cm="1">
        <f t="array" ref="Q162">_xll.VAData("KDP_US", Q$3, $C162, "VA Actuals", "CD", "IMPL","","")</f>
        <v>139</v>
      </c>
      <c r="R162" s="15" cm="1">
        <f t="array" ref="R162">_xll.VAData("KDP_US", R$3, $C162, "VA Actuals", "CD", "IMPL","","")</f>
        <v>129</v>
      </c>
      <c r="S162" s="15" cm="1">
        <f t="array" ref="S162">_xll.VAData("KDP_US", S$3, $C162, "VA Actuals", "CD", "IMPL","","")</f>
        <v>152.5</v>
      </c>
      <c r="T162" s="15" cm="1">
        <f t="array" ref="T162">_xll.VAData("KDP_US", T$3, $C162, "VA Actuals", "CD", "IMPL","","")</f>
        <v>102</v>
      </c>
      <c r="U162" s="14" cm="1">
        <f t="array" ref="U162">_xll.VAData("KDP_US", U$3, $C162, "VA Actuals", "CD", "IMPL","","")</f>
        <v>139</v>
      </c>
      <c r="V162" s="15" cm="1">
        <f t="array" ref="V162">_xll.VAData("KDP_US", V$3, $C162, "VA Actuals", "CD", "IMPL","","")</f>
        <v>111</v>
      </c>
      <c r="W162" s="15" cm="1">
        <f t="array" ref="W162">_xll.VAData("KDP_US", W$3, $C162, "VA Actuals", "CD", "IMPL","","")</f>
        <v>223</v>
      </c>
      <c r="X162" s="15" cm="1">
        <f t="array" ref="X162">_xll.VAData("KDP_US", X$3, $C162, "VA Actuals", "CD", "IMPL","","")</f>
        <v>177</v>
      </c>
      <c r="Y162" s="15" cm="1">
        <f t="array" ref="Y162">_xll.VAData("KDP_US", Y$3, $C162, "VA Actuals", "CD", "IMPL","","")</f>
        <v>218</v>
      </c>
      <c r="Z162" s="14" cm="1">
        <f t="array" ref="Z162">_xll.VAData("KDP_US", Z$3, $C162, "VA Actuals", "CD", "IMPL","","")</f>
        <v>111</v>
      </c>
      <c r="AA162" s="15" cm="1">
        <f t="array" ref="AA162">_xll.VAData("KDP_US", AA$3, $C162, "VA Actuals", "CD", "IMPL","","")</f>
        <v>255</v>
      </c>
      <c r="AB162" s="15" cm="1">
        <f t="array" ref="AB162">_xll.VAData("KDP_US", AB$3, $C162, "VA Actuals", "CD", "IMPL","","")</f>
        <v>349</v>
      </c>
      <c r="AC162" s="15" cm="1">
        <f t="array" ref="AC162">_xll.VAData("KDP_US", AC$3, $C162, "VA Actuals", "CD", "IMPL","","")</f>
        <v>170</v>
      </c>
      <c r="AD162" s="15" cm="1">
        <f t="array" ref="AD162">_xll.VAData("KDP_US", AD$3, $C162, "VA Actuals", "CD", "IMPL","","")</f>
        <v>203</v>
      </c>
      <c r="AE162" s="14" cm="1">
        <f t="array" ref="AE162">_xll.VAData("KDP_US", AE$3, $C162, "VA Actuals", "CD", "IMPL","","")</f>
        <v>255</v>
      </c>
      <c r="AF162" s="15" cm="1">
        <f t="array" ref="AF162">_xll.VAData("KDP_US", AF$3, $C162, "VA Actuals", "CD", "IMPL","","")</f>
        <v>568</v>
      </c>
      <c r="AG162" s="15" cm="1">
        <f t="array" ref="AG162">_xll.VAData("KDP_US", AG$3, $C162, "VA Actuals", "CD", "IMPL","","")</f>
        <v>594</v>
      </c>
      <c r="AH162" s="15" cm="1">
        <f t="array" ref="AH162">_xll.VAData("KDP_US", AH$3, $C162, "VA Actuals", "CD", "IMPL","","")</f>
        <v>554</v>
      </c>
      <c r="AI162" s="15" cm="1">
        <f t="array" ref="AI162">_xll.VAData("KDP_US", AI$3, $C162, "VA Actuals", "CD", "IMPL","","")</f>
        <v>928</v>
      </c>
      <c r="AJ162" s="14" cm="1">
        <f t="array" ref="AJ162">_xll.VAData("KDP_US", AJ$3, $C162, "VA Actuals", "CD", "IMPL","","")</f>
        <v>568</v>
      </c>
      <c r="AK162" s="15" cm="1">
        <f t="array" ref="AK162">_xll.VAData("KDP_US", AK$3, $C162, "VA Actuals", "CD", "IMPL","","")</f>
        <v>535</v>
      </c>
      <c r="AL162" s="15" cm="1">
        <f t="array" ref="AL162">_xll.VAData("KDP_US", AL$3, $C162, "VA Actuals", "CD", "IMPL","","")</f>
        <v>204</v>
      </c>
    </row>
    <row r="163" spans="2:38" x14ac:dyDescent="0.75">
      <c r="B163" t="s">
        <v>167</v>
      </c>
      <c r="D163" s="14">
        <f t="shared" ref="D163:AI163" si="129">SUM(D145,D151,D158,D160)</f>
        <v>84</v>
      </c>
      <c r="E163" s="14">
        <f t="shared" si="129"/>
        <v>674</v>
      </c>
      <c r="F163" s="14">
        <f t="shared" si="129"/>
        <v>898</v>
      </c>
      <c r="G163" s="15">
        <f t="shared" si="129"/>
        <v>-1611</v>
      </c>
      <c r="H163" s="15">
        <f t="shared" si="129"/>
        <v>211</v>
      </c>
      <c r="I163" s="15">
        <f t="shared" si="129"/>
        <v>1652</v>
      </c>
      <c r="J163" s="15">
        <f t="shared" si="129"/>
        <v>-1881</v>
      </c>
      <c r="K163" s="14">
        <f t="shared" si="129"/>
        <v>-2</v>
      </c>
      <c r="L163" s="15">
        <f t="shared" si="129"/>
        <v>27</v>
      </c>
      <c r="M163" s="15">
        <f t="shared" si="129"/>
        <v>8126.3333333666669</v>
      </c>
      <c r="N163" s="15">
        <f t="shared" si="129"/>
        <v>-8162</v>
      </c>
      <c r="O163" s="15">
        <f t="shared" si="129"/>
        <v>24</v>
      </c>
      <c r="P163" s="14">
        <f t="shared" si="129"/>
        <v>44</v>
      </c>
      <c r="Q163" s="15">
        <f t="shared" si="129"/>
        <v>0</v>
      </c>
      <c r="R163" s="15">
        <f t="shared" si="129"/>
        <v>21</v>
      </c>
      <c r="S163" s="15">
        <f t="shared" si="129"/>
        <v>-32</v>
      </c>
      <c r="T163" s="15">
        <f t="shared" si="129"/>
        <v>-1</v>
      </c>
      <c r="U163" s="14">
        <f t="shared" si="129"/>
        <v>-28</v>
      </c>
      <c r="V163" s="15">
        <f t="shared" si="129"/>
        <v>112</v>
      </c>
      <c r="W163" s="15">
        <f t="shared" si="129"/>
        <v>-46</v>
      </c>
      <c r="X163" s="15">
        <f t="shared" si="129"/>
        <v>41</v>
      </c>
      <c r="Y163" s="15">
        <f t="shared" si="129"/>
        <v>37</v>
      </c>
      <c r="Z163" s="14">
        <f t="shared" si="129"/>
        <v>144</v>
      </c>
      <c r="AA163" s="15">
        <f t="shared" si="129"/>
        <v>94</v>
      </c>
      <c r="AB163" s="15">
        <f t="shared" si="129"/>
        <v>-179</v>
      </c>
      <c r="AC163" s="15">
        <f t="shared" si="129"/>
        <v>33</v>
      </c>
      <c r="AD163" s="15">
        <f t="shared" si="129"/>
        <v>365</v>
      </c>
      <c r="AE163" s="14">
        <f t="shared" si="129"/>
        <v>313</v>
      </c>
      <c r="AF163" s="15">
        <f t="shared" si="129"/>
        <v>26</v>
      </c>
      <c r="AG163" s="15">
        <f t="shared" si="129"/>
        <v>-40</v>
      </c>
      <c r="AH163" s="15">
        <f t="shared" si="129"/>
        <v>374</v>
      </c>
      <c r="AI163" s="15">
        <f t="shared" si="129"/>
        <v>-393</v>
      </c>
      <c r="AJ163" s="14">
        <f>SUM(AJ145,AJ151,AJ158,AJ160)</f>
        <v>-33</v>
      </c>
      <c r="AK163" s="15">
        <f t="shared" ref="AK163:AL163" si="130">SUM(AK145,AK151,AK158,AK160)</f>
        <v>-331</v>
      </c>
      <c r="AL163" s="15">
        <f t="shared" si="130"/>
        <v>74</v>
      </c>
    </row>
    <row r="164" spans="2:38" x14ac:dyDescent="0.75">
      <c r="B164" t="s">
        <v>170</v>
      </c>
      <c r="D164" s="14">
        <f>D162+D163</f>
        <v>237</v>
      </c>
      <c r="E164" s="14">
        <f>E162+E163</f>
        <v>911</v>
      </c>
      <c r="F164" s="14">
        <f t="shared" ref="F164:AL164" si="131">F162+F163</f>
        <v>1809</v>
      </c>
      <c r="G164" s="15">
        <f t="shared" si="131"/>
        <v>176</v>
      </c>
      <c r="H164" s="15">
        <f t="shared" si="131"/>
        <v>387</v>
      </c>
      <c r="I164" s="15">
        <f t="shared" si="131"/>
        <v>2039</v>
      </c>
      <c r="J164" s="15">
        <f t="shared" si="131"/>
        <v>-1716</v>
      </c>
      <c r="K164" s="14">
        <f t="shared" si="131"/>
        <v>95</v>
      </c>
      <c r="L164" s="15">
        <f t="shared" si="131"/>
        <v>122</v>
      </c>
      <c r="M164" s="15" t="e">
        <f>M162+M163</f>
        <v>#VALUE!</v>
      </c>
      <c r="N164" s="15">
        <f t="shared" si="131"/>
        <v>-8067</v>
      </c>
      <c r="O164" s="15">
        <f t="shared" si="131"/>
        <v>373</v>
      </c>
      <c r="P164" s="14">
        <f t="shared" si="131"/>
        <v>139</v>
      </c>
      <c r="Q164" s="15">
        <f t="shared" si="131"/>
        <v>139</v>
      </c>
      <c r="R164" s="15">
        <f t="shared" si="131"/>
        <v>150</v>
      </c>
      <c r="S164" s="15">
        <f t="shared" si="131"/>
        <v>120.5</v>
      </c>
      <c r="T164" s="15">
        <f t="shared" si="131"/>
        <v>101</v>
      </c>
      <c r="U164" s="14">
        <f t="shared" si="131"/>
        <v>111</v>
      </c>
      <c r="V164" s="15">
        <f t="shared" si="131"/>
        <v>223</v>
      </c>
      <c r="W164" s="15">
        <f t="shared" si="131"/>
        <v>177</v>
      </c>
      <c r="X164" s="15">
        <f t="shared" si="131"/>
        <v>218</v>
      </c>
      <c r="Y164" s="15">
        <f t="shared" si="131"/>
        <v>255</v>
      </c>
      <c r="Z164" s="14">
        <f t="shared" si="131"/>
        <v>255</v>
      </c>
      <c r="AA164" s="15">
        <f t="shared" si="131"/>
        <v>349</v>
      </c>
      <c r="AB164" s="15">
        <f t="shared" si="131"/>
        <v>170</v>
      </c>
      <c r="AC164" s="15">
        <f t="shared" si="131"/>
        <v>203</v>
      </c>
      <c r="AD164" s="15">
        <f t="shared" si="131"/>
        <v>568</v>
      </c>
      <c r="AE164" s="14">
        <f t="shared" si="131"/>
        <v>568</v>
      </c>
      <c r="AF164" s="15">
        <f t="shared" si="131"/>
        <v>594</v>
      </c>
      <c r="AG164" s="15">
        <f t="shared" si="131"/>
        <v>554</v>
      </c>
      <c r="AH164" s="15">
        <f t="shared" si="131"/>
        <v>928</v>
      </c>
      <c r="AI164" s="15">
        <f t="shared" si="131"/>
        <v>535</v>
      </c>
      <c r="AJ164" s="14">
        <f t="shared" si="131"/>
        <v>535</v>
      </c>
      <c r="AK164" s="15">
        <f t="shared" si="131"/>
        <v>204</v>
      </c>
      <c r="AL164" s="15">
        <f t="shared" si="131"/>
        <v>278</v>
      </c>
    </row>
  </sheetData>
  <mergeCells count="3">
    <mergeCell ref="D7:AL7"/>
    <mergeCell ref="D93:AL93"/>
    <mergeCell ref="D135:AL135"/>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145A5-8029-4AF9-B439-6717B4D79CCA}">
  <dimension ref="A1:DU25"/>
  <sheetViews>
    <sheetView workbookViewId="0">
      <selection activeCell="H12" sqref="H12"/>
    </sheetView>
  </sheetViews>
  <sheetFormatPr defaultRowHeight="14.75" outlineLevelCol="1" x14ac:dyDescent="0.75"/>
  <cols>
    <col min="1" max="1" width="21.6328125" customWidth="1"/>
    <col min="2" max="2" width="2.26953125" customWidth="1"/>
    <col min="3" max="3" width="12.7265625" customWidth="1"/>
    <col min="4" max="4" width="2.26953125" customWidth="1"/>
    <col min="5" max="5" width="8.26953125" customWidth="1"/>
    <col min="6" max="6" width="2.26953125" customWidth="1"/>
    <col min="7" max="7" width="7.81640625" customWidth="1"/>
    <col min="8" max="8" width="2.26953125" customWidth="1"/>
    <col min="9" max="9" width="9.81640625" customWidth="1"/>
    <col min="10" max="10" width="2.26953125" customWidth="1"/>
    <col min="11" max="11" width="9.1796875" customWidth="1"/>
    <col min="12" max="12" width="2.26953125" customWidth="1"/>
    <col min="13" max="13" width="9.26953125" customWidth="1"/>
    <col min="14" max="14" width="2.26953125" customWidth="1"/>
    <col min="15" max="15" width="5.26953125" customWidth="1"/>
    <col min="16" max="16" width="2.7265625" customWidth="1"/>
    <col min="17" max="17" width="5.26953125" customWidth="1"/>
    <col min="18" max="18" width="2.26953125" customWidth="1"/>
    <col min="19" max="19" width="8.1796875" customWidth="1"/>
    <col min="20" max="20" width="2.7265625" customWidth="1"/>
    <col min="21" max="21" width="5.26953125" customWidth="1"/>
    <col min="22" max="22" width="2.7265625" customWidth="1"/>
    <col min="23" max="23" width="5.26953125" customWidth="1"/>
    <col min="24" max="24" width="2.26953125" customWidth="1"/>
    <col min="25" max="25" width="6.7265625" customWidth="1"/>
    <col min="26" max="26" width="2.26953125" customWidth="1"/>
    <col min="27" max="27" width="6.7265625" customWidth="1"/>
    <col min="28" max="28" width="2.26953125" customWidth="1"/>
    <col min="29" max="29" width="6.7265625" customWidth="1"/>
    <col min="30" max="30" width="2.26953125" customWidth="1"/>
    <col min="31" max="31" width="20.1796875" customWidth="1"/>
    <col min="32" max="32" width="2.26953125" customWidth="1"/>
    <col min="33" max="33" width="16.26953125" customWidth="1"/>
    <col min="34" max="34" width="2.26953125" customWidth="1"/>
    <col min="35" max="35" width="13.1796875" customWidth="1"/>
    <col min="36" max="36" width="1.54296875" customWidth="1"/>
    <col min="37" max="42" width="7.90625" customWidth="1"/>
    <col min="43" max="43" width="73.6328125" customWidth="1"/>
    <col min="44" max="44" width="1.54296875" customWidth="1"/>
    <col min="45" max="45" width="10" customWidth="1"/>
    <col min="46" max="46" width="1.54296875" customWidth="1"/>
    <col min="47" max="47" width="9.1796875" customWidth="1" outlineLevel="1"/>
    <col min="48" max="48" width="5.7265625" customWidth="1" outlineLevel="1"/>
    <col min="54" max="54" width="3.7265625" customWidth="1"/>
    <col min="57" max="57" width="3.7265625" customWidth="1"/>
    <col min="59" max="59" width="3.7265625" customWidth="1"/>
    <col min="61" max="61" width="3.7265625" customWidth="1"/>
    <col min="63" max="63" width="3.7265625" customWidth="1"/>
    <col min="66" max="66" width="2.81640625" customWidth="1"/>
    <col min="68" max="68" width="3.7265625" customWidth="1"/>
    <col min="70" max="70" width="3.7265625" customWidth="1"/>
    <col min="72" max="72" width="3.26953125" customWidth="1"/>
    <col min="74" max="74" width="3.7265625" customWidth="1"/>
    <col min="76" max="76" width="3.7265625" customWidth="1"/>
    <col min="78" max="78" width="2.81640625" customWidth="1"/>
    <col min="80" max="80" width="3.7265625" customWidth="1"/>
    <col min="82" max="82" width="3.7265625" customWidth="1"/>
    <col min="84" max="84" width="3.7265625" customWidth="1"/>
    <col min="88" max="88" width="3.7265625" customWidth="1"/>
    <col min="90" max="90" width="3.7265625" customWidth="1"/>
    <col min="92" max="92" width="3.7265625" customWidth="1"/>
    <col min="96" max="96" width="3.7265625" customWidth="1"/>
    <col min="98" max="98" width="3.7265625" customWidth="1"/>
    <col min="100" max="100" width="3.7265625" customWidth="1"/>
    <col min="104" max="104" width="4.54296875" customWidth="1"/>
    <col min="106" max="106" width="4.54296875" customWidth="1"/>
    <col min="108" max="108" width="4.54296875" customWidth="1"/>
    <col min="111" max="111" width="10.81640625" customWidth="1"/>
    <col min="112" max="112" width="4.08984375" customWidth="1"/>
    <col min="113" max="113" width="11" customWidth="1"/>
    <col min="114" max="114" width="4.08984375" customWidth="1"/>
    <col min="115" max="115" width="16.453125" customWidth="1"/>
    <col min="116" max="116" width="4.08984375" customWidth="1"/>
    <col min="117" max="117" width="10.36328125" customWidth="1"/>
    <col min="118" max="118" width="2.7265625" customWidth="1"/>
    <col min="120" max="120" width="2.7265625" customWidth="1"/>
    <col min="122" max="122" width="2.7265625" customWidth="1"/>
    <col min="124" max="124" width="2.7265625" customWidth="1"/>
  </cols>
  <sheetData>
    <row r="1" spans="1:125" s="97" customFormat="1" ht="18.5" x14ac:dyDescent="0.9">
      <c r="A1" s="95" t="str">
        <f>text_ticker&amp;" Comps"</f>
        <v>KDP Comps</v>
      </c>
      <c r="B1" s="96"/>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96"/>
      <c r="AW1" s="96"/>
    </row>
    <row r="3" spans="1:125" x14ac:dyDescent="0.75">
      <c r="AK3" s="180" t="s">
        <v>339</v>
      </c>
      <c r="AL3" s="180"/>
      <c r="AM3" s="180"/>
      <c r="AN3" s="180"/>
      <c r="AO3" s="180"/>
      <c r="AP3" s="180"/>
      <c r="AQ3" s="180"/>
      <c r="AU3" s="98" t="s">
        <v>340</v>
      </c>
      <c r="AW3" s="98" t="s">
        <v>341</v>
      </c>
    </row>
    <row r="4" spans="1:125" x14ac:dyDescent="0.75">
      <c r="A4" s="11"/>
      <c r="B4" s="11"/>
      <c r="C4" s="98"/>
      <c r="D4" s="98"/>
      <c r="E4" s="98" t="s">
        <v>74</v>
      </c>
      <c r="F4" s="98"/>
      <c r="G4" s="98" t="s">
        <v>342</v>
      </c>
      <c r="H4" s="98"/>
      <c r="I4" s="98" t="s">
        <v>343</v>
      </c>
      <c r="J4" s="98"/>
      <c r="K4" s="98" t="s">
        <v>344</v>
      </c>
      <c r="M4" s="98" t="s">
        <v>345</v>
      </c>
      <c r="O4" s="99" t="s">
        <v>346</v>
      </c>
      <c r="P4" s="100"/>
      <c r="Q4" s="100"/>
      <c r="S4" s="98" t="s">
        <v>347</v>
      </c>
      <c r="U4" s="99" t="s">
        <v>346</v>
      </c>
      <c r="V4" s="100"/>
      <c r="W4" s="100"/>
      <c r="Y4" s="99" t="s">
        <v>348</v>
      </c>
      <c r="Z4" s="99"/>
      <c r="AA4" s="99"/>
      <c r="AB4" s="99"/>
      <c r="AC4" s="99"/>
      <c r="AE4" s="181" t="str">
        <f>text_ticker&amp;" Key Metrics"</f>
        <v>KDP Key Metrics</v>
      </c>
      <c r="AF4" s="181"/>
      <c r="AG4" s="181"/>
      <c r="AH4" s="181"/>
      <c r="AI4" s="181"/>
      <c r="AJ4" s="101"/>
      <c r="AK4" s="180" t="s">
        <v>349</v>
      </c>
      <c r="AL4" s="180"/>
      <c r="AM4" s="180" t="s">
        <v>400</v>
      </c>
      <c r="AN4" s="180"/>
      <c r="AO4" s="180" t="s">
        <v>401</v>
      </c>
      <c r="AP4" s="180"/>
      <c r="AQ4" s="98"/>
      <c r="AR4" s="101"/>
      <c r="AS4" s="101"/>
      <c r="AT4" s="101"/>
      <c r="AU4" s="102" t="s">
        <v>350</v>
      </c>
      <c r="AW4" s="102" t="s">
        <v>351</v>
      </c>
      <c r="BA4" s="23" t="s">
        <v>352</v>
      </c>
      <c r="BB4" s="23"/>
      <c r="BC4" s="23" t="s">
        <v>353</v>
      </c>
      <c r="BD4" s="23" t="s">
        <v>354</v>
      </c>
      <c r="BE4" s="23"/>
      <c r="BF4" s="23"/>
      <c r="BG4" s="23"/>
      <c r="BH4" s="23" t="s">
        <v>355</v>
      </c>
      <c r="BI4" s="23"/>
      <c r="BJ4" s="23"/>
      <c r="BL4" s="100" t="s">
        <v>356</v>
      </c>
      <c r="BM4" s="100"/>
      <c r="BO4" s="100" t="s">
        <v>357</v>
      </c>
      <c r="BP4" s="100"/>
      <c r="BQ4" s="100"/>
      <c r="BR4" s="100"/>
      <c r="BS4" s="100"/>
      <c r="BU4" s="100" t="s">
        <v>358</v>
      </c>
      <c r="BV4" s="100"/>
      <c r="BW4" s="100"/>
      <c r="BX4" s="100"/>
      <c r="BY4" s="100"/>
      <c r="CA4" s="100" t="s">
        <v>303</v>
      </c>
      <c r="CB4" s="100"/>
      <c r="CC4" s="100"/>
      <c r="CD4" s="100"/>
      <c r="CE4" s="103"/>
      <c r="CF4" s="100"/>
      <c r="CG4" s="103"/>
      <c r="CI4" s="100" t="s">
        <v>340</v>
      </c>
      <c r="CJ4" s="100"/>
      <c r="CK4" s="100"/>
      <c r="CL4" s="100"/>
      <c r="CM4" s="103"/>
      <c r="CN4" s="100"/>
      <c r="CO4" s="103"/>
      <c r="CQ4" s="100" t="s">
        <v>359</v>
      </c>
      <c r="CR4" s="100"/>
      <c r="CS4" s="100"/>
      <c r="CT4" s="100"/>
      <c r="CU4" s="103"/>
      <c r="CV4" s="100"/>
      <c r="CW4" s="103"/>
      <c r="CY4" s="179" t="s">
        <v>360</v>
      </c>
      <c r="CZ4" s="179"/>
      <c r="DA4" s="179"/>
      <c r="DB4" s="179"/>
      <c r="DC4" s="179"/>
      <c r="DD4" s="179"/>
      <c r="DE4" s="179"/>
      <c r="DG4" s="100" t="s">
        <v>361</v>
      </c>
      <c r="DH4" s="100"/>
      <c r="DI4" s="100"/>
      <c r="DJ4" s="100"/>
      <c r="DK4" s="103"/>
      <c r="DL4" s="100"/>
      <c r="DM4" s="103"/>
      <c r="DO4" s="100" t="s">
        <v>362</v>
      </c>
      <c r="DP4" s="100"/>
      <c r="DQ4" s="100"/>
      <c r="DR4" s="100"/>
      <c r="DS4" s="103"/>
      <c r="DT4" s="100"/>
      <c r="DU4" s="103"/>
    </row>
    <row r="5" spans="1:125" ht="29.5" x14ac:dyDescent="0.75">
      <c r="A5" s="104" t="s">
        <v>0</v>
      </c>
      <c r="B5" s="11"/>
      <c r="C5" s="105" t="s">
        <v>338</v>
      </c>
      <c r="D5" s="98"/>
      <c r="E5" s="106">
        <f ca="1">TODAY()</f>
        <v>45178</v>
      </c>
      <c r="F5" s="98"/>
      <c r="G5" s="105" t="s">
        <v>363</v>
      </c>
      <c r="H5" s="98"/>
      <c r="I5" s="105" t="s">
        <v>364</v>
      </c>
      <c r="J5" s="98"/>
      <c r="K5" s="105" t="s">
        <v>227</v>
      </c>
      <c r="M5" s="105" t="s">
        <v>340</v>
      </c>
      <c r="N5" s="107"/>
      <c r="O5" s="105" t="s">
        <v>365</v>
      </c>
      <c r="P5" s="105"/>
      <c r="Q5" s="105" t="s">
        <v>366</v>
      </c>
      <c r="S5" s="105" t="s">
        <v>359</v>
      </c>
      <c r="T5" s="107"/>
      <c r="U5" s="105" t="s">
        <v>365</v>
      </c>
      <c r="V5" s="105"/>
      <c r="W5" s="105" t="s">
        <v>366</v>
      </c>
      <c r="Y5" s="108" t="s">
        <v>303</v>
      </c>
      <c r="Z5" s="108"/>
      <c r="AA5" s="108" t="s">
        <v>340</v>
      </c>
      <c r="AB5" s="108"/>
      <c r="AC5" s="108" t="s">
        <v>359</v>
      </c>
      <c r="AE5" s="109" t="s">
        <v>367</v>
      </c>
      <c r="AF5" s="108"/>
      <c r="AG5" s="109" t="s">
        <v>368</v>
      </c>
      <c r="AH5" s="109"/>
      <c r="AI5" s="109" t="s">
        <v>369</v>
      </c>
      <c r="AJ5" s="105"/>
      <c r="AK5" s="105" t="s">
        <v>73</v>
      </c>
      <c r="AL5" s="105" t="s">
        <v>74</v>
      </c>
      <c r="AM5" s="105" t="s">
        <v>73</v>
      </c>
      <c r="AN5" s="105" t="s">
        <v>74</v>
      </c>
      <c r="AO5" s="105" t="s">
        <v>73</v>
      </c>
      <c r="AP5" s="105" t="s">
        <v>74</v>
      </c>
      <c r="AQ5" s="105" t="s">
        <v>370</v>
      </c>
      <c r="AR5" s="105"/>
      <c r="AS5" s="105" t="s">
        <v>371</v>
      </c>
      <c r="AT5" s="105"/>
      <c r="AU5" s="105">
        <v>2023</v>
      </c>
      <c r="AW5" s="105" t="s">
        <v>340</v>
      </c>
      <c r="BA5" s="110" t="s">
        <v>372</v>
      </c>
      <c r="BB5" s="23"/>
      <c r="BC5" s="110" t="s">
        <v>373</v>
      </c>
      <c r="BD5" s="110" t="s">
        <v>373</v>
      </c>
      <c r="BE5" s="23"/>
      <c r="BF5" s="110" t="s">
        <v>374</v>
      </c>
      <c r="BG5" s="23"/>
      <c r="BH5" s="110" t="s">
        <v>375</v>
      </c>
      <c r="BI5" s="23"/>
      <c r="BJ5" s="110" t="s">
        <v>376</v>
      </c>
      <c r="BL5" s="111" t="s">
        <v>359</v>
      </c>
      <c r="BM5" s="112" t="s">
        <v>340</v>
      </c>
      <c r="BO5" s="113" t="s">
        <v>377</v>
      </c>
      <c r="BP5" s="113"/>
      <c r="BQ5" s="113" t="s">
        <v>378</v>
      </c>
      <c r="BR5" s="113"/>
      <c r="BS5" s="113" t="s">
        <v>379</v>
      </c>
      <c r="BU5" s="113" t="s">
        <v>377</v>
      </c>
      <c r="BV5" s="113"/>
      <c r="BW5" s="113" t="s">
        <v>378</v>
      </c>
      <c r="BX5" s="113"/>
      <c r="BY5" s="113" t="s">
        <v>379</v>
      </c>
      <c r="CA5" s="111">
        <v>2020</v>
      </c>
      <c r="CB5" s="113"/>
      <c r="CC5" s="112">
        <v>2021</v>
      </c>
      <c r="CD5" s="113"/>
      <c r="CE5" s="112">
        <v>2022</v>
      </c>
      <c r="CF5" s="113"/>
      <c r="CG5" s="112">
        <v>2023</v>
      </c>
      <c r="CI5" s="111">
        <v>2020</v>
      </c>
      <c r="CJ5" s="113"/>
      <c r="CK5" s="112">
        <v>2021</v>
      </c>
      <c r="CL5" s="113"/>
      <c r="CM5" s="112">
        <v>2022</v>
      </c>
      <c r="CN5" s="113"/>
      <c r="CO5" s="112">
        <v>2023</v>
      </c>
      <c r="CQ5" s="111">
        <v>2020</v>
      </c>
      <c r="CR5" s="113"/>
      <c r="CS5" s="112">
        <v>2021</v>
      </c>
      <c r="CT5" s="113"/>
      <c r="CU5" s="112">
        <v>2022</v>
      </c>
      <c r="CV5" s="113"/>
      <c r="CW5" s="112">
        <v>2023</v>
      </c>
      <c r="CY5" s="111">
        <v>2020</v>
      </c>
      <c r="CZ5" s="113"/>
      <c r="DA5" s="112">
        <v>2021</v>
      </c>
      <c r="DB5" s="113"/>
      <c r="DC5" s="112">
        <v>2022</v>
      </c>
      <c r="DD5" s="113"/>
      <c r="DE5" s="112">
        <v>2023</v>
      </c>
      <c r="DG5" s="111">
        <v>2020</v>
      </c>
      <c r="DH5" s="113"/>
      <c r="DI5" s="112">
        <v>2021</v>
      </c>
      <c r="DJ5" s="113"/>
      <c r="DK5" s="112">
        <v>2022</v>
      </c>
      <c r="DL5" s="113"/>
      <c r="DM5" s="112">
        <v>2023</v>
      </c>
      <c r="DO5" s="111">
        <v>2020</v>
      </c>
      <c r="DP5" s="113"/>
      <c r="DQ5" s="112">
        <v>2021</v>
      </c>
      <c r="DR5" s="113"/>
      <c r="DS5" s="112">
        <v>2022</v>
      </c>
      <c r="DT5" s="113"/>
      <c r="DU5" s="112">
        <v>2023</v>
      </c>
    </row>
    <row r="6" spans="1:125" ht="6" customHeight="1" x14ac:dyDescent="0.75"/>
    <row r="7" spans="1:125" x14ac:dyDescent="0.75">
      <c r="A7" t="s">
        <v>387</v>
      </c>
      <c r="C7" s="23" t="s">
        <v>386</v>
      </c>
      <c r="E7" s="57" t="str" cm="1">
        <f t="array" ref="E7">_xll.BDP($C7&amp;" Equity","PX_LAST")</f>
        <v>#N/A Connection</v>
      </c>
      <c r="G7" s="114" t="e">
        <f ca="1">E7/BA7</f>
        <v>#VALUE!</v>
      </c>
      <c r="I7" s="115" t="e">
        <f>+E7*BC7</f>
        <v>#VALUE!</v>
      </c>
      <c r="K7" s="115" t="e">
        <f>+I7+BF7+BH7-BJ7</f>
        <v>#VALUE!</v>
      </c>
      <c r="M7" s="116" t="e">
        <f>+K7/BM7</f>
        <v>#VALUE!</v>
      </c>
      <c r="N7" s="23"/>
      <c r="O7" s="114" t="e">
        <f>$M7/BO7-1</f>
        <v>#VALUE!</v>
      </c>
      <c r="P7" s="23"/>
      <c r="Q7" s="114" t="e">
        <f>$M7/BQ7-1</f>
        <v>#VALUE!</v>
      </c>
      <c r="R7" s="23"/>
      <c r="S7" s="116" t="e">
        <f>+E7/BL7</f>
        <v>#VALUE!</v>
      </c>
      <c r="T7" s="23"/>
      <c r="U7" s="114" t="e">
        <f>+$S7/BU7-1</f>
        <v>#VALUE!</v>
      </c>
      <c r="V7" s="23"/>
      <c r="W7" s="114" t="e">
        <f>+$S7/BW7-1</f>
        <v>#VALUE!</v>
      </c>
      <c r="X7" s="23"/>
      <c r="Y7" s="114" t="e">
        <f>(CG7/CC7)^(1/2)-1</f>
        <v>#VALUE!</v>
      </c>
      <c r="AA7" s="114" t="e">
        <f>(CO7/CK7)^(1/2)-1</f>
        <v>#VALUE!</v>
      </c>
      <c r="AC7" s="114" t="e">
        <f>(CW7/CS7)^(1/2)-1</f>
        <v>#VALUE!</v>
      </c>
      <c r="AD7" s="23"/>
      <c r="AE7" s="117" t="str">
        <f>IFERROR(DC7-CY7, "")</f>
        <v/>
      </c>
      <c r="AG7" s="114" t="e">
        <f>(DK7/DG7)^(1/2)-1</f>
        <v>#VALUE!</v>
      </c>
      <c r="AI7" s="114" t="str">
        <f>IFERROR((DS7/DO7)^(1/2)-1, "")</f>
        <v/>
      </c>
      <c r="AJ7" s="114"/>
      <c r="AK7" s="118" cm="1">
        <f t="array" ref="AK7">_xll.VAData("KDP_US", "3QFY-2023", "Volume growth", "Consensus", "CD", "IMPL","","")/100</f>
        <v>-6.5678105953296895E-3</v>
      </c>
      <c r="AL7" s="118" cm="1">
        <f t="array" ref="AL7">_xll.VAData("KDP_US", "3QFY-2023", "Price growth", "Consensus", "CD", "IMPL","","")/100</f>
        <v>4.2026535060526504E-2</v>
      </c>
      <c r="AM7" s="118" cm="1">
        <f t="array" ref="AM7">_xll.VAData("KDP_US", "FY-2023", "Volume growth", "Consensus", "CD", "IMPL","","")/100</f>
        <v>-7.3813096993728296E-3</v>
      </c>
      <c r="AN7" s="118" cm="1">
        <f t="array" ref="AN7">_xll.VAData("KDP_US", "FY-2023", "Price growth", "Consensus", "CD", "IMPL","","")/100</f>
        <v>6.3174881802421187E-2</v>
      </c>
      <c r="AO7" s="118" cm="1">
        <f t="array" ref="AO7">_xll.VAData("KDP_US", "FY-2024", "Volume growth", "Consensus", "CD", "IMPL","","")/100</f>
        <v>1.970822713211225E-2</v>
      </c>
      <c r="AP7" s="118" cm="1">
        <f t="array" ref="AP7">_xll.VAData("KDP_US", "FY-2024", "Price growth", "Consensus", "CD", "IMPL","","")/100</f>
        <v>2.7134823337329181E-2</v>
      </c>
      <c r="AQ7" s="114" t="s">
        <v>380</v>
      </c>
      <c r="AR7" s="114"/>
      <c r="AS7" s="119" t="str" cm="1">
        <f t="array" ref="AS7">_xll.BDP(C7&amp;" US Equity", "INVENT_TURN")</f>
        <v>#N/A Connection</v>
      </c>
      <c r="AT7" s="114"/>
      <c r="AU7" s="114" t="e">
        <f>+CO7/CG7</f>
        <v>#VALUE!</v>
      </c>
      <c r="AV7" s="23"/>
      <c r="AW7" s="116" t="e">
        <f>+(BF7-BJ7)/CK7</f>
        <v>#VALUE!</v>
      </c>
      <c r="BA7" s="120" t="str">
        <f ca="1">_xll.BDP($C7&amp;" Equity","INTERVAL_HIGH","CALC_INTERVAL=52W","END_DATE_OVERRIDE",TEXT($E$5,"YYYYMMDD"))</f>
        <v>#N/A Connection</v>
      </c>
      <c r="BB7" s="121"/>
      <c r="BC7" s="122" t="str">
        <f>_xll.BDP($C7&amp;" Equity","EQY_SH_OUT")</f>
        <v>#N/A Connection</v>
      </c>
      <c r="BD7" s="122" t="str">
        <f>_xll.BDP($C7&amp;" Equity","BS_SH_OUT")</f>
        <v>#N/A Connection</v>
      </c>
      <c r="BE7" s="121"/>
      <c r="BF7" s="123" t="str">
        <f>_xll.BDP($C7&amp;" Equity","SHORT_AND_LONG_TERM_DEBT", "FUND_PER=Q")</f>
        <v>#N/A Connection</v>
      </c>
      <c r="BG7" s="121"/>
      <c r="BH7" s="123" t="e">
        <f>(_xll.BDP($C7&amp;" Equity","BS_PFD_EQY", "FUND_PER=Q"))+(_xll.BDP($C7&amp;" Equity","MINORITY_NONCONTROLLING_INTEREST", "FUND_PER=Q"))</f>
        <v>#VALUE!</v>
      </c>
      <c r="BI7" s="121"/>
      <c r="BJ7" s="123" t="str">
        <f>_xll.BDP($C7&amp;" Equity","CASH_AND_MARKETABLE_SECURITIES", "FUND_PER=Q")</f>
        <v>#N/A Connection</v>
      </c>
      <c r="BK7" s="121"/>
      <c r="BL7" s="120" t="str">
        <f>_xll.BDP($C7&amp;" Equity","BEST_EPS", "BEST_FPERIOD_OVERRIDE=1TY")</f>
        <v>#N/A Connection</v>
      </c>
      <c r="BM7" s="123" t="str">
        <f>_xll.BDP($C7&amp;" Equity","BEST_EBITDA", "BEST_FPERIOD_OVERRIDE=1TY")</f>
        <v>#N/A Connection</v>
      </c>
      <c r="BN7" s="121"/>
      <c r="BO7" s="124" t="str">
        <f>_xll.BDP($C7&amp;" Equity","INTERVAL_AVG", "MARKET_DATA_OVERRIDE=BEST_CUR_EV_TO_EBITDA", "BEST_FPERIOD_OVERRIDE=1TY ", "CALC_INTERVAL=1Y ")</f>
        <v>#N/A Connection</v>
      </c>
      <c r="BP7" s="121"/>
      <c r="BQ7" s="124" t="str">
        <f>_xll.BDP($C7&amp;" Equity","INTERVAL_AVG", "MARKET_DATA_OVERRIDE=BEST_CUR_EV_TO_EBITDA", "BEST_FPERIOD_OVERRIDE=1TY ", "CALC_INTERVAL=2Y ")</f>
        <v>#N/A Connection</v>
      </c>
      <c r="BR7" s="121"/>
      <c r="BS7" s="124" t="str">
        <f>_xll.BDP($C7&amp;" Equity","INTERVAL_AVG", "MARKET_DATA_OVERRIDE=BEST_CUR_EV_TO_EBITDA", "BEST_FPERIOD_OVERRIDE=1TY ", "CALC_INTERVAL=5Y ")</f>
        <v>#N/A Connection</v>
      </c>
      <c r="BT7" s="121"/>
      <c r="BU7" s="124" t="str">
        <f>_xll.BDP($C7&amp;" Equity","INTERVAL_AVG", "MARKET_DATA_OVERRIDE=BEST_PE_RATIO", "BEST_FPERIOD_OVERRIDE=1TY ", "CALC_INTERVAL=1Y ")</f>
        <v>#N/A Connection</v>
      </c>
      <c r="BV7" s="121"/>
      <c r="BW7" s="124" t="str">
        <f>_xll.BDP($C7&amp;" Equity","INTERVAL_AVG", "MARKET_DATA_OVERRIDE=BEST_PE_RATIO", "BEST_FPERIOD_OVERRIDE=1TY ", "CALC_INTERVAL=2Y ")</f>
        <v>#N/A Connection</v>
      </c>
      <c r="BX7" s="121"/>
      <c r="BY7" s="124" t="str">
        <f>_xll.BDP($C7&amp;" Equity","INTERVAL_AVG", "MARKET_DATA_OVERRIDE=BEST_PE_RATIO", "BEST_FPERIOD_OVERRIDE=1TY ", "CALC_INTERVAL=5Y ")</f>
        <v>#N/A Connection</v>
      </c>
      <c r="BZ7" s="121"/>
      <c r="CA7" s="123" t="str">
        <f>_xll.BDP($C7&amp;" Equity","BEST_SALES", "BEST_FPERIOD_OVERRIDE=20BC")</f>
        <v>#N/A Connection</v>
      </c>
      <c r="CB7" s="121"/>
      <c r="CC7" s="123" t="str">
        <f>_xll.BDP($C7&amp;" Equity","BEST_SALES", "BEST_FPERIOD_OVERRIDE=21BC")</f>
        <v>#N/A Connection</v>
      </c>
      <c r="CD7" s="121"/>
      <c r="CE7" s="123" t="str">
        <f>_xll.BDP($C7&amp;" Equity","BEST_SALES", "BEST_FPERIOD_OVERRIDE=22BC")</f>
        <v>#N/A Connection</v>
      </c>
      <c r="CF7" s="121"/>
      <c r="CG7" s="123" t="str">
        <f>_xll.BDP($C7&amp;" Equity","BEST_SALES", "BEST_FPERIOD_OVERRIDE=23BC")</f>
        <v>#N/A Connection</v>
      </c>
      <c r="CH7" s="121"/>
      <c r="CI7" s="123" t="str">
        <f>_xll.BDP($C7&amp;" Equity","BEST_EBITDA", "BEST_FPERIOD_OVERRIDE=20BC")</f>
        <v>#N/A Connection</v>
      </c>
      <c r="CJ7" s="121"/>
      <c r="CK7" s="123" t="str">
        <f>_xll.BDP($C7&amp;" Equity","BEST_EBITDA", "BEST_FPERIOD_OVERRIDE=21BC")</f>
        <v>#N/A Connection</v>
      </c>
      <c r="CL7" s="121"/>
      <c r="CM7" s="123" t="str">
        <f>_xll.BDP($C7&amp;" Equity","BEST_EBITDA", "BEST_FPERIOD_OVERRIDE=22BC")</f>
        <v>#N/A Connection</v>
      </c>
      <c r="CN7" s="121"/>
      <c r="CO7" s="123" t="str">
        <f>_xll.BDP($C7&amp;" Equity","BEST_EBITDA", "BEST_FPERIOD_OVERRIDE=23BC")</f>
        <v>#N/A Connection</v>
      </c>
      <c r="CP7" s="121"/>
      <c r="CQ7" s="120" t="str">
        <f>_xll.BDP($C7&amp;" Equity","BEST_EPS", "BEST_FPERIOD_OVERRIDE=20BC")</f>
        <v>#N/A Connection</v>
      </c>
      <c r="CR7" s="121"/>
      <c r="CS7" s="120" t="str">
        <f>_xll.BDP($C7&amp;" Equity","BEST_EPS", "BEST_FPERIOD_OVERRIDE=21BC")</f>
        <v>#N/A Connection</v>
      </c>
      <c r="CT7" s="121"/>
      <c r="CU7" s="120" t="str">
        <f>_xll.BDP($C7&amp;" Equity","BEST_EPS", "BEST_FPERIOD_OVERRIDE=22BC")</f>
        <v>#N/A Connection</v>
      </c>
      <c r="CV7" s="121"/>
      <c r="CW7" s="120" t="str">
        <f>_xll.BDP($C7&amp;" Equity","BEST_EPS", "BEST_FPERIOD_OVERRIDE=23BC")</f>
        <v>#N/A Connection</v>
      </c>
      <c r="CY7" s="125" t="e">
        <f>(_xll.BDP($C7&amp;" Equity","ORGANIC_GROWTH", "EQY_FUND_YEAR=2020"))/100</f>
        <v>#VALUE!</v>
      </c>
      <c r="CZ7" s="125"/>
      <c r="DA7" s="125" t="e">
        <f>(_xll.BDP($C7&amp;" Equity","ORGANIC_GROWTH", "EQY_FUND_YEAR=2021"))/100</f>
        <v>#VALUE!</v>
      </c>
      <c r="DB7" s="125"/>
      <c r="DC7" s="125" t="e">
        <f>(_xll.BDP($C7&amp;" Equity","ORGANIC_GROWTH", "EQY_FUND_YEAR=2022"))/100</f>
        <v>#VALUE!</v>
      </c>
      <c r="DD7" s="125"/>
      <c r="DE7" s="125" t="e">
        <f>(_xll.BDP($C7&amp;" Equity","ORGANIC_GROWTH", "EQY_FUND_RELATIVE_PERIOD=-0FY"))/100</f>
        <v>#VALUE!</v>
      </c>
      <c r="DG7" s="120" t="str">
        <f>_xll.BDP($C7&amp;" Equity","IS_ADJ_EBIT_OP_INC_AS_REPORTED", "EQY_FUND_YEAR="&amp;DG$5)</f>
        <v>#N/A Connection</v>
      </c>
      <c r="DH7" s="121"/>
      <c r="DI7" s="120" t="str">
        <f>_xll.BDP($C7&amp;" Equity","IS_ADJ_EBIT_OP_INC_AS_REPORTED", "EQY_FUND_YEAR="&amp;DI$5)</f>
        <v>#N/A Connection</v>
      </c>
      <c r="DJ7" s="121"/>
      <c r="DK7" s="120" t="str">
        <f>_xll.BDP($C7&amp;" Equity","IS_ADJ_EBIT_OP_INC_AS_REPORTED", "EQY_FUND_YEAR="&amp;DK$5)</f>
        <v>#N/A Connection</v>
      </c>
      <c r="DL7" s="121"/>
      <c r="DM7" s="120" t="str">
        <f>_xll.BDP($C7&amp;" Equity","IS_ADJ_EBIT_OP_INC_AS_REPORTED", "EQY_FUND_YEAR=-0FY")</f>
        <v>#N/A Connection</v>
      </c>
      <c r="DO7" s="120" t="str">
        <f>_xll.BDP($C7&amp;" Equity","IS_ADJUSTED_EPS_AS_REPORTED", "EQY_FUND_YEAR="&amp;DO$5)</f>
        <v>#N/A Connection</v>
      </c>
      <c r="DP7" s="121"/>
      <c r="DQ7" s="120" t="str">
        <f>_xll.BDP($C7&amp;" Equity","IS_ADJUSTED_EPS_AS_REPORTED", "EQY_FUND_YEAR="&amp;DQ$5)</f>
        <v>#N/A Connection</v>
      </c>
      <c r="DR7" s="121"/>
      <c r="DS7" s="120" t="str">
        <f>_xll.BDP($C7&amp;" Equity","IS_ADJUSTED_EPS_AS_REPORTED", "EQY_FUND_YEAR="&amp;DS$5)</f>
        <v>#N/A Connection</v>
      </c>
      <c r="DT7" s="121"/>
      <c r="DU7" s="120" t="str">
        <f>_xll.BDP($C7&amp;" Equity","IS_ADJUSTED_EPS_AS_REPORTED", "EQY_FUND_YEAR=-0FY")</f>
        <v>#N/A Connection</v>
      </c>
    </row>
    <row r="8" spans="1:125" x14ac:dyDescent="0.75">
      <c r="C8" s="23"/>
      <c r="E8" s="57"/>
      <c r="G8" s="114"/>
      <c r="I8" s="115"/>
      <c r="K8" s="115"/>
      <c r="M8" s="116"/>
      <c r="N8" s="23"/>
      <c r="O8" s="114"/>
      <c r="P8" s="23"/>
      <c r="Q8" s="114"/>
      <c r="R8" s="23"/>
      <c r="S8" s="116"/>
      <c r="T8" s="23"/>
      <c r="U8" s="114"/>
      <c r="V8" s="23"/>
      <c r="W8" s="114"/>
      <c r="X8" s="23"/>
      <c r="AD8" s="23"/>
      <c r="AK8" s="118" cm="1">
        <f t="array" ref="AK8">_xll.VAData("KDP_US", "3QFY-2023", "Volume growth - US - Refreshment beverages", "Consensus", "CD", "IMPL","","")/100</f>
        <v>-2E-3</v>
      </c>
      <c r="AL8" s="118" cm="1">
        <f t="array" ref="AL8">_xll.VAData("KDP_US", "3QFY-2023", "Price growth - US - Refreshment beverages", "Consensus", "CD", "IMPL","","")/100</f>
        <v>5.4000000000000006E-2</v>
      </c>
      <c r="AM8" s="118" cm="1">
        <f t="array" ref="AM8">_xll.VAData("KDP_US", "FY-2023", "Volume growth - US - Refreshment beverages", "Consensus", "CD", "IMPL","","")/100</f>
        <v>2.7586572975158803E-3</v>
      </c>
      <c r="AN8" s="118" cm="1">
        <f t="array" ref="AN8">_xll.VAData("KDP_US", "FY-2023", "Price growth - US - Refreshment beverages", "Consensus", "CD", "IMPL","","")/100</f>
        <v>8.2084547572143923E-2</v>
      </c>
      <c r="AO8" s="118" cm="1">
        <f t="array" ref="AO8">_xll.VAData("KDP_US", "FY-2024", "Volume growth - US - Refreshment beverages", "Consensus", "CD", "IMPL","","")/100</f>
        <v>1.634802613463401E-2</v>
      </c>
      <c r="AP8" s="118" cm="1">
        <f t="array" ref="AP8">_xll.VAData("KDP_US", "FY-2024", "Price growth - US - Refreshment beverages", "Consensus", "CD", "IMPL","","")/100</f>
        <v>2.8145383139189791E-2</v>
      </c>
      <c r="AQ8" s="23" t="s">
        <v>396</v>
      </c>
      <c r="AS8" s="126"/>
      <c r="AV8" s="23"/>
      <c r="BA8" s="127"/>
      <c r="BC8" s="128"/>
      <c r="BD8" s="128"/>
      <c r="BF8" s="115"/>
      <c r="BH8" s="115"/>
      <c r="BJ8" s="115"/>
      <c r="BL8" s="127"/>
      <c r="BM8" s="115"/>
      <c r="BO8" s="116"/>
      <c r="BQ8" s="116"/>
      <c r="BS8" s="116"/>
      <c r="BU8" s="116"/>
      <c r="BW8" s="116"/>
      <c r="BY8" s="116"/>
      <c r="CA8" s="115"/>
      <c r="CC8" s="115"/>
      <c r="CE8" s="115"/>
      <c r="CG8" s="115"/>
      <c r="CI8" s="115"/>
      <c r="CK8" s="115"/>
      <c r="CM8" s="115"/>
      <c r="CO8" s="115"/>
      <c r="CQ8" s="127"/>
      <c r="CS8" s="127"/>
      <c r="CU8" s="127"/>
      <c r="CW8" s="127"/>
      <c r="CY8" s="125"/>
      <c r="CZ8" s="125"/>
      <c r="DA8" s="125"/>
      <c r="DB8" s="125"/>
      <c r="DC8" s="125"/>
      <c r="DD8" s="125"/>
      <c r="DE8" s="125"/>
      <c r="DG8" s="127"/>
      <c r="DI8" s="127"/>
      <c r="DK8" s="127"/>
      <c r="DM8" s="127"/>
      <c r="DO8" s="127"/>
      <c r="DQ8" s="127"/>
      <c r="DS8" s="127"/>
      <c r="DU8" s="127"/>
    </row>
    <row r="9" spans="1:125" x14ac:dyDescent="0.75">
      <c r="C9" s="23"/>
      <c r="E9" s="57"/>
      <c r="G9" s="114"/>
      <c r="I9" s="115"/>
      <c r="K9" s="115"/>
      <c r="M9" s="116"/>
      <c r="N9" s="23"/>
      <c r="O9" s="114"/>
      <c r="P9" s="23"/>
      <c r="Q9" s="114"/>
      <c r="R9" s="23"/>
      <c r="S9" s="116"/>
      <c r="T9" s="23"/>
      <c r="U9" s="114"/>
      <c r="V9" s="23"/>
      <c r="W9" s="114"/>
      <c r="X9" s="23"/>
      <c r="AD9" s="23"/>
      <c r="AK9" s="118" cm="1">
        <f t="array" ref="AK9">_xll.VAData("KDP_US", "3QFY-2023", "Volume growth - US - Coffee", "Consensus", "CD", "IMPL","","")/100</f>
        <v>-2.7244007030000003E-2</v>
      </c>
      <c r="AL9" s="118" cm="1">
        <f t="array" ref="AL9">_xll.VAData("KDP_US", "3QFY-2023", "Price growth - US - Coffee", "Consensus", "CD", "IMPL","","")/100</f>
        <v>1.95E-2</v>
      </c>
      <c r="AM9" s="118" cm="1">
        <f t="array" ref="AM9">_xll.VAData("KDP_US", "FY-2023", "Volume growth - US - Coffee", "Consensus", "CD", "IMPL","","")/100</f>
        <v>-4.1559451456864641E-2</v>
      </c>
      <c r="AN9" s="118" cm="1">
        <f t="array" ref="AN9">_xll.VAData("KDP_US", "FY-2023", "Price growth - US - Coffee", "Consensus", "CD", "IMPL","","")/100</f>
        <v>3.0677557630565268E-2</v>
      </c>
      <c r="AO9" s="118" cm="1">
        <f t="array" ref="AO9">_xll.VAData("KDP_US", "FY-2024", "Volume growth - US - Coffee", "Consensus", "CD", "IMPL","","")/100</f>
        <v>2.2269321571031543E-2</v>
      </c>
      <c r="AP9" s="118" cm="1">
        <f t="array" ref="AP9">_xll.VAData("KDP_US", "FY-2024", "Price growth - US - Coffee", "Consensus", "CD", "IMPL","","")/100</f>
        <v>1.9122737459580649E-2</v>
      </c>
      <c r="AQ9" s="23" t="s">
        <v>397</v>
      </c>
      <c r="AS9" s="126"/>
      <c r="AV9" s="23"/>
      <c r="BA9" s="127"/>
      <c r="BC9" s="128"/>
      <c r="BD9" s="128"/>
      <c r="BF9" s="115"/>
      <c r="BH9" s="115"/>
      <c r="BJ9" s="115"/>
      <c r="BL9" s="127"/>
      <c r="BM9" s="115"/>
      <c r="BO9" s="116"/>
      <c r="BQ9" s="116"/>
      <c r="BS9" s="116"/>
      <c r="BU9" s="116"/>
      <c r="BW9" s="116"/>
      <c r="BY9" s="116"/>
      <c r="CA9" s="115"/>
      <c r="CC9" s="115"/>
      <c r="CE9" s="115"/>
      <c r="CG9" s="115"/>
      <c r="CI9" s="115"/>
      <c r="CK9" s="115"/>
      <c r="CM9" s="115"/>
      <c r="CO9" s="115"/>
      <c r="CQ9" s="127"/>
      <c r="CS9" s="127"/>
      <c r="CU9" s="127"/>
      <c r="CW9" s="127"/>
      <c r="CY9" s="125"/>
      <c r="CZ9" s="125"/>
      <c r="DA9" s="125"/>
      <c r="DB9" s="125"/>
      <c r="DC9" s="125"/>
      <c r="DD9" s="125"/>
      <c r="DE9" s="125"/>
      <c r="DG9" s="127"/>
      <c r="DI9" s="127"/>
      <c r="DK9" s="127"/>
      <c r="DM9" s="127"/>
      <c r="DO9" s="127"/>
      <c r="DQ9" s="127"/>
      <c r="DS9" s="127"/>
      <c r="DU9" s="127"/>
    </row>
    <row r="10" spans="1:125" x14ac:dyDescent="0.75">
      <c r="C10" s="23"/>
      <c r="E10" s="57"/>
      <c r="G10" s="114"/>
      <c r="I10" s="115"/>
      <c r="K10" s="115"/>
      <c r="M10" s="116"/>
      <c r="N10" s="23"/>
      <c r="O10" s="114"/>
      <c r="P10" s="23"/>
      <c r="Q10" s="114"/>
      <c r="R10" s="23"/>
      <c r="S10" s="116"/>
      <c r="T10" s="23"/>
      <c r="U10" s="114"/>
      <c r="V10" s="23"/>
      <c r="W10" s="114"/>
      <c r="X10" s="23"/>
      <c r="AD10" s="23"/>
      <c r="AK10" s="118"/>
      <c r="AL10" s="118"/>
      <c r="AM10" s="118"/>
      <c r="AN10" s="118"/>
      <c r="AO10" s="118"/>
      <c r="AP10" s="118"/>
      <c r="AS10" s="126"/>
      <c r="AV10" s="23"/>
      <c r="BA10" s="127"/>
      <c r="BC10" s="128"/>
      <c r="BD10" s="128"/>
      <c r="BF10" s="115"/>
      <c r="BH10" s="115"/>
      <c r="BJ10" s="115"/>
      <c r="BL10" s="127"/>
      <c r="BM10" s="115"/>
      <c r="BO10" s="116"/>
      <c r="BQ10" s="116"/>
      <c r="BS10" s="116"/>
      <c r="BU10" s="116"/>
      <c r="BW10" s="116"/>
      <c r="BY10" s="116"/>
      <c r="CA10" s="115"/>
      <c r="CC10" s="115"/>
      <c r="CE10" s="115"/>
      <c r="CG10" s="115"/>
      <c r="CI10" s="115"/>
      <c r="CK10" s="115"/>
      <c r="CM10" s="115"/>
      <c r="CO10" s="115"/>
      <c r="CQ10" s="127"/>
      <c r="CS10" s="127"/>
      <c r="CU10" s="127"/>
      <c r="CW10" s="127"/>
      <c r="CY10" s="125"/>
      <c r="CZ10" s="125"/>
      <c r="DA10" s="125"/>
      <c r="DB10" s="125"/>
      <c r="DC10" s="125"/>
      <c r="DD10" s="125"/>
      <c r="DE10" s="125"/>
      <c r="DG10" s="127"/>
      <c r="DI10" s="127"/>
      <c r="DK10" s="127"/>
      <c r="DM10" s="127"/>
      <c r="DO10" s="127"/>
      <c r="DQ10" s="127"/>
      <c r="DS10" s="127"/>
      <c r="DU10" s="127"/>
    </row>
    <row r="11" spans="1:125" x14ac:dyDescent="0.75">
      <c r="A11" t="s">
        <v>388</v>
      </c>
      <c r="C11" s="23" t="s">
        <v>393</v>
      </c>
      <c r="E11" s="57" t="str" cm="1">
        <f t="array" ref="E11">_xll.BDP($C11&amp;" Equity","PX_LAST")</f>
        <v>#N/A Connection</v>
      </c>
      <c r="G11" s="114" t="e">
        <f ca="1">E11/BA11</f>
        <v>#VALUE!</v>
      </c>
      <c r="I11" s="115" t="e">
        <f>+E11*BC11</f>
        <v>#VALUE!</v>
      </c>
      <c r="K11" s="115" t="e">
        <f>+I11+BF11+BH11-BJ11</f>
        <v>#VALUE!</v>
      </c>
      <c r="M11" s="116" t="e">
        <f>+K11/BM11</f>
        <v>#VALUE!</v>
      </c>
      <c r="N11" s="23"/>
      <c r="O11" s="114" t="e">
        <f>$M11/BO11-1</f>
        <v>#VALUE!</v>
      </c>
      <c r="P11" s="23"/>
      <c r="Q11" s="114" t="e">
        <f>$M11/BQ11-1</f>
        <v>#VALUE!</v>
      </c>
      <c r="R11" s="23"/>
      <c r="S11" s="116" t="e">
        <f>+E11/BL11</f>
        <v>#VALUE!</v>
      </c>
      <c r="T11" s="23"/>
      <c r="U11" s="114" t="e">
        <f>+$S11/BU11-1</f>
        <v>#VALUE!</v>
      </c>
      <c r="V11" s="23"/>
      <c r="W11" s="114" t="e">
        <f>+$S11/BW11-1</f>
        <v>#VALUE!</v>
      </c>
      <c r="X11" s="23"/>
      <c r="Y11" s="114" t="e">
        <f>(CG11/CC11)^(1/2)-1</f>
        <v>#VALUE!</v>
      </c>
      <c r="AA11" s="114" t="e">
        <f>(CO11/CK11)^(1/2)-1</f>
        <v>#VALUE!</v>
      </c>
      <c r="AC11" s="114" t="e">
        <f>(CW11/CS11)^(1/2)-1</f>
        <v>#VALUE!</v>
      </c>
      <c r="AD11" s="23"/>
      <c r="AE11" s="117" t="str">
        <f t="shared" ref="AE11:AE15" si="0">IFERROR(DC11-CY11, "")</f>
        <v/>
      </c>
      <c r="AG11" s="114" t="e">
        <f t="shared" ref="AG11" si="1">(DK11/DG11)^(1/2)-1</f>
        <v>#VALUE!</v>
      </c>
      <c r="AI11" s="114" t="str">
        <f t="shared" ref="AI11:AI15" si="2">IFERROR((DS11/DO11)^(1/2)-1, "")</f>
        <v/>
      </c>
      <c r="AJ11" s="114"/>
      <c r="AK11" s="118" cm="1">
        <f t="array" ref="AK11">_xll.VAData("KO", "3QFY-2023", "Volume growth - North America", "Consensus", "CD", "IMPL","","")/100</f>
        <v>6.2655905508669195E-3</v>
      </c>
      <c r="AL11" s="118" cm="1">
        <f t="array" ref="AL11">_xll.VAData("KO", "3QFY-2023", "Price/mix - North America", "Consensus", "CD", "IMPL","","")/100</f>
        <v>4.7500000000000001E-2</v>
      </c>
      <c r="AM11" s="118" cm="1">
        <f t="array" ref="AM11">_xll.VAData("KO", "FY-2023", "Volume growth - North America", "Consensus", "CD", "IMPL","","")/100</f>
        <v>-9.6527027609306991E-4</v>
      </c>
      <c r="AN11" s="118" cm="1">
        <f t="array" ref="AN11">_xll.VAData("KO", "FY-2023", "Price/mix - North America", "Consensus", "CD", "IMPL","","")/100</f>
        <v>7.0596765179229845E-2</v>
      </c>
      <c r="AO11" s="118" cm="1">
        <f t="array" ref="AO11">_xll.VAData("KO", "FY-2024", "Volume growth - North America", "Consensus", "CD", "IMPL","","")/100</f>
        <v>1.580696483836223E-2</v>
      </c>
      <c r="AP11" s="118" cm="1">
        <f t="array" ref="AP11">_xll.VAData("KO", "FY-2024", "Price/mix - North America", "Consensus", "CD", "IMPL","","")/100</f>
        <v>2.5796344806891729E-2</v>
      </c>
      <c r="AQ11" s="114" t="s">
        <v>381</v>
      </c>
      <c r="AR11" s="114"/>
      <c r="AS11" s="119" t="str" cm="1">
        <f t="array" ref="AS11">_xll.BDP(C11&amp;" US Equity", "INVENT_TURN")</f>
        <v>#N/A Connection</v>
      </c>
      <c r="AT11" s="114"/>
      <c r="AU11" s="114" t="e">
        <f t="shared" ref="AU11" si="3">+CO11/CG11</f>
        <v>#VALUE!</v>
      </c>
      <c r="AV11" s="23"/>
      <c r="AW11" s="116" t="e">
        <f t="shared" ref="AW11:AW15" si="4">+(BF11-BJ11)/CK11</f>
        <v>#VALUE!</v>
      </c>
      <c r="BA11" s="120" t="str">
        <f ca="1">_xll.BDP($C11&amp;" Equity","INTERVAL_HIGH","CALC_INTERVAL=52W","END_DATE_OVERRIDE",TEXT($E$5,"YYYYMMDD"))</f>
        <v>#N/A Connection</v>
      </c>
      <c r="BB11" s="121"/>
      <c r="BC11" s="122" t="str">
        <f>_xll.BDP($C11&amp;" Equity","EQY_SH_OUT")</f>
        <v>#N/A Connection</v>
      </c>
      <c r="BD11" s="122" t="str">
        <f>_xll.BDP($C11&amp;" Equity","BS_SH_OUT")</f>
        <v>#N/A Connection</v>
      </c>
      <c r="BE11" s="121"/>
      <c r="BF11" s="123" t="str">
        <f>_xll.BDP($C11&amp;" Equity","SHORT_AND_LONG_TERM_DEBT", "FUND_PER=Q")</f>
        <v>#N/A Connection</v>
      </c>
      <c r="BG11" s="121"/>
      <c r="BH11" s="123" t="e">
        <f>(_xll.BDP($C11&amp;" Equity","BS_PFD_EQY", "FUND_PER=Q"))+(_xll.BDP($C11&amp;" Equity","MINORITY_NONCONTROLLING_INTEREST", "FUND_PER=Q"))</f>
        <v>#VALUE!</v>
      </c>
      <c r="BI11" s="121"/>
      <c r="BJ11" s="123" t="str">
        <f>_xll.BDP($C11&amp;" Equity","CASH_AND_MARKETABLE_SECURITIES", "FUND_PER=Q")</f>
        <v>#N/A Connection</v>
      </c>
      <c r="BK11" s="121"/>
      <c r="BL11" s="120" t="str">
        <f>_xll.BDP($C11&amp;" Equity","BEST_EPS", "BEST_FPERIOD_OVERRIDE=1TY")</f>
        <v>#N/A Connection</v>
      </c>
      <c r="BM11" s="123" t="str">
        <f>_xll.BDP($C11&amp;" Equity","BEST_EBITDA", "BEST_FPERIOD_OVERRIDE=1TY")</f>
        <v>#N/A Connection</v>
      </c>
      <c r="BN11" s="121"/>
      <c r="BO11" s="124" t="str">
        <f>_xll.BDP($C11&amp;" Equity","INTERVAL_AVG", "MARKET_DATA_OVERRIDE=BEST_CUR_EV_TO_EBITDA", "BEST_FPERIOD_OVERRIDE=1TY ", "CALC_INTERVAL=1Y ")</f>
        <v>#N/A Connection</v>
      </c>
      <c r="BP11" s="121"/>
      <c r="BQ11" s="124" t="str">
        <f>_xll.BDP($C11&amp;" Equity","INTERVAL_AVG", "MARKET_DATA_OVERRIDE=BEST_CUR_EV_TO_EBITDA", "BEST_FPERIOD_OVERRIDE=1TY ", "CALC_INTERVAL=2Y ")</f>
        <v>#N/A Connection</v>
      </c>
      <c r="BR11" s="121"/>
      <c r="BS11" s="124" t="str">
        <f>_xll.BDP($C11&amp;" Equity","INTERVAL_AVG", "MARKET_DATA_OVERRIDE=BEST_CUR_EV_TO_EBITDA", "BEST_FPERIOD_OVERRIDE=1TY ", "CALC_INTERVAL=5Y ")</f>
        <v>#N/A Connection</v>
      </c>
      <c r="BT11" s="121"/>
      <c r="BU11" s="124" t="str">
        <f>_xll.BDP($C11&amp;" Equity","INTERVAL_AVG", "MARKET_DATA_OVERRIDE=BEST_PE_RATIO", "BEST_FPERIOD_OVERRIDE=1TY ", "CALC_INTERVAL=1Y ")</f>
        <v>#N/A Connection</v>
      </c>
      <c r="BV11" s="121"/>
      <c r="BW11" s="124" t="str">
        <f>_xll.BDP($C11&amp;" Equity","INTERVAL_AVG", "MARKET_DATA_OVERRIDE=BEST_PE_RATIO", "BEST_FPERIOD_OVERRIDE=1TY ", "CALC_INTERVAL=2Y ")</f>
        <v>#N/A Connection</v>
      </c>
      <c r="BX11" s="121"/>
      <c r="BY11" s="124" t="str">
        <f>_xll.BDP($C11&amp;" Equity","INTERVAL_AVG", "MARKET_DATA_OVERRIDE=BEST_PE_RATIO", "BEST_FPERIOD_OVERRIDE=1TY ", "CALC_INTERVAL=5Y ")</f>
        <v>#N/A Connection</v>
      </c>
      <c r="BZ11" s="121"/>
      <c r="CA11" s="123" t="str">
        <f>_xll.BDP($C11&amp;" Equity","BEST_SALES", "BEST_FPERIOD_OVERRIDE=20BC")</f>
        <v>#N/A Connection</v>
      </c>
      <c r="CB11" s="121"/>
      <c r="CC11" s="123" t="str">
        <f>_xll.BDP($C11&amp;" Equity","BEST_SALES", "BEST_FPERIOD_OVERRIDE=21BC")</f>
        <v>#N/A Connection</v>
      </c>
      <c r="CD11" s="121"/>
      <c r="CE11" s="123" t="str">
        <f>_xll.BDP($C11&amp;" Equity","BEST_SALES", "BEST_FPERIOD_OVERRIDE=22BC")</f>
        <v>#N/A Connection</v>
      </c>
      <c r="CF11" s="121"/>
      <c r="CG11" s="123" t="str">
        <f>_xll.BDP($C11&amp;" Equity","BEST_SALES", "BEST_FPERIOD_OVERRIDE=23BC")</f>
        <v>#N/A Connection</v>
      </c>
      <c r="CH11" s="121"/>
      <c r="CI11" s="123" t="str">
        <f>_xll.BDP($C11&amp;" Equity","BEST_EBITDA", "BEST_FPERIOD_OVERRIDE=20BC")</f>
        <v>#N/A Connection</v>
      </c>
      <c r="CJ11" s="121"/>
      <c r="CK11" s="123" t="str">
        <f>_xll.BDP($C11&amp;" Equity","BEST_EBITDA", "BEST_FPERIOD_OVERRIDE=21BC")</f>
        <v>#N/A Connection</v>
      </c>
      <c r="CL11" s="121"/>
      <c r="CM11" s="123" t="str">
        <f>_xll.BDP($C11&amp;" Equity","BEST_EBITDA", "BEST_FPERIOD_OVERRIDE=22BC")</f>
        <v>#N/A Connection</v>
      </c>
      <c r="CN11" s="121"/>
      <c r="CO11" s="123" t="str">
        <f>_xll.BDP($C11&amp;" Equity","BEST_EBITDA", "BEST_FPERIOD_OVERRIDE=23BC")</f>
        <v>#N/A Connection</v>
      </c>
      <c r="CP11" s="121"/>
      <c r="CQ11" s="120" t="str">
        <f>_xll.BDP($C11&amp;" Equity","BEST_EPS", "BEST_FPERIOD_OVERRIDE=20BC")</f>
        <v>#N/A Connection</v>
      </c>
      <c r="CR11" s="121"/>
      <c r="CS11" s="120" t="str">
        <f>_xll.BDP($C11&amp;" Equity","BEST_EPS", "BEST_FPERIOD_OVERRIDE=21BC")</f>
        <v>#N/A Connection</v>
      </c>
      <c r="CT11" s="121"/>
      <c r="CU11" s="120" t="str">
        <f>_xll.BDP($C11&amp;" Equity","BEST_EPS", "BEST_FPERIOD_OVERRIDE=22BC")</f>
        <v>#N/A Connection</v>
      </c>
      <c r="CV11" s="121"/>
      <c r="CW11" s="120" t="str">
        <f>_xll.BDP($C11&amp;" Equity","BEST_EPS", "BEST_FPERIOD_OVERRIDE=23BC")</f>
        <v>#N/A Connection</v>
      </c>
      <c r="CY11" s="125" t="e">
        <f>(_xll.BDP($C11&amp;" Equity","ORGANIC_GROWTH", "EQY_FUND_YEAR=2020"))/100</f>
        <v>#VALUE!</v>
      </c>
      <c r="CZ11" s="125"/>
      <c r="DA11" s="125" t="e">
        <f>(_xll.BDP($C11&amp;" Equity","ORGANIC_GROWTH", "EQY_FUND_YEAR=2021"))/100</f>
        <v>#VALUE!</v>
      </c>
      <c r="DB11" s="125"/>
      <c r="DC11" s="125" t="e">
        <f>(_xll.BDP($C11&amp;" Equity","ORGANIC_GROWTH", "EQY_FUND_YEAR=2022"))/100</f>
        <v>#VALUE!</v>
      </c>
      <c r="DD11" s="125"/>
      <c r="DE11" s="125" t="e">
        <f>(_xll.BDP($C11&amp;" Equity","ORGANIC_GROWTH", "EQY_FUND_RELATIVE_PERIOD=-0FY"))/100</f>
        <v>#VALUE!</v>
      </c>
      <c r="DG11" s="120" t="str">
        <f>_xll.BDP($C11&amp;" Equity","IS_ADJ_EBIT_OP_INC_AS_REPORTED", "EQY_FUND_YEAR="&amp;DG$5)</f>
        <v>#N/A Connection</v>
      </c>
      <c r="DH11" s="121"/>
      <c r="DI11" s="120" t="str">
        <f>_xll.BDP($C11&amp;" Equity","IS_ADJ_EBIT_OP_INC_AS_REPORTED", "EQY_FUND_YEAR="&amp;DI$5)</f>
        <v>#N/A Connection</v>
      </c>
      <c r="DJ11" s="121"/>
      <c r="DK11" s="120" t="str">
        <f>_xll.BDP($C11&amp;" Equity","IS_ADJ_EBIT_OP_INC_AS_REPORTED", "EQY_FUND_YEAR="&amp;DK$5)</f>
        <v>#N/A Connection</v>
      </c>
      <c r="DL11" s="121"/>
      <c r="DM11" s="120" t="str">
        <f>_xll.BDP($C11&amp;" Equity","IS_ADJ_EBIT_OP_INC_AS_REPORTED", "EQY_FUND_YEAR=-0FY")</f>
        <v>#N/A Connection</v>
      </c>
      <c r="DO11" s="120" t="str">
        <f>_xll.BDP($C11&amp;" Equity","IS_ADJUSTED_EPS_AS_REPORTED", "EQY_FUND_YEAR="&amp;DO$5)</f>
        <v>#N/A Connection</v>
      </c>
      <c r="DP11" s="121"/>
      <c r="DQ11" s="120" t="str">
        <f>_xll.BDP($C11&amp;" Equity","IS_ADJUSTED_EPS_AS_REPORTED", "EQY_FUND_YEAR="&amp;DQ$5)</f>
        <v>#N/A Connection</v>
      </c>
      <c r="DR11" s="121"/>
      <c r="DS11" s="120" t="str">
        <f>_xll.BDP($C11&amp;" Equity","IS_ADJUSTED_EPS_AS_REPORTED", "EQY_FUND_YEAR="&amp;DS$5)</f>
        <v>#N/A Connection</v>
      </c>
      <c r="DT11" s="121"/>
      <c r="DU11" s="120" t="str">
        <f>_xll.BDP($C11&amp;" Equity","IS_ADJUSTED_EPS_AS_REPORTED", "EQY_FUND_YEAR=-0FY")</f>
        <v>#N/A Connection</v>
      </c>
    </row>
    <row r="12" spans="1:125" x14ac:dyDescent="0.75">
      <c r="A12" t="s">
        <v>389</v>
      </c>
      <c r="C12" s="23" t="s">
        <v>382</v>
      </c>
      <c r="E12" s="57" t="str" cm="1">
        <f t="array" ref="E12">_xll.BDP($C12&amp;" Equity","PX_LAST")</f>
        <v>#N/A Connection</v>
      </c>
      <c r="G12" s="114" t="e">
        <f ca="1">E12/BA12</f>
        <v>#VALUE!</v>
      </c>
      <c r="I12" s="115" t="e">
        <f>+E12*BC12</f>
        <v>#VALUE!</v>
      </c>
      <c r="K12" s="115" t="e">
        <f>+I12+BF12+BH12-BJ12</f>
        <v>#VALUE!</v>
      </c>
      <c r="M12" s="116" t="e">
        <f>+K12/BM12</f>
        <v>#VALUE!</v>
      </c>
      <c r="N12" s="23"/>
      <c r="O12" s="114" t="e">
        <f>$M12/BO12-1</f>
        <v>#VALUE!</v>
      </c>
      <c r="P12" s="23"/>
      <c r="Q12" s="114" t="e">
        <f>$M12/BQ12-1</f>
        <v>#VALUE!</v>
      </c>
      <c r="R12" s="23"/>
      <c r="S12" s="116" t="e">
        <f>+E12/BL12</f>
        <v>#VALUE!</v>
      </c>
      <c r="T12" s="23"/>
      <c r="U12" s="114" t="e">
        <f>+$S12/BU12-1</f>
        <v>#VALUE!</v>
      </c>
      <c r="V12" s="23"/>
      <c r="W12" s="114" t="e">
        <f>+$S12/BW12-1</f>
        <v>#VALUE!</v>
      </c>
      <c r="X12" s="23"/>
      <c r="Y12" s="114" t="e">
        <f>(CG12/CC12)^(1/2)-1</f>
        <v>#VALUE!</v>
      </c>
      <c r="AA12" s="114" t="e">
        <f>(CO12/CK12)^(1/2)-1</f>
        <v>#VALUE!</v>
      </c>
      <c r="AC12" s="114" t="e">
        <f>(CW12/CS12)^(1/2)-1</f>
        <v>#VALUE!</v>
      </c>
      <c r="AD12" s="23"/>
      <c r="AE12" s="117" t="str">
        <f t="shared" si="0"/>
        <v/>
      </c>
      <c r="AG12" s="114" t="e">
        <f>(DK12/DG12)^(1/2)-1</f>
        <v>#VALUE!</v>
      </c>
      <c r="AI12" s="114" t="str">
        <f t="shared" si="2"/>
        <v/>
      </c>
      <c r="AJ12" s="114"/>
      <c r="AK12" s="118" cm="1">
        <f t="array" ref="AK12">_xll.VAData("PEP", "3QFY-2023", "Volume impact - PBNA", "Consensus", "CD", "IMPL","","")/100</f>
        <v>-2.863636363636364E-2</v>
      </c>
      <c r="AL12" s="118" cm="1">
        <f t="array" ref="AL12">_xll.VAData("PEP", "3QFY-2023", "Price/mix impact - PBNA", "Consensus", "CD", "IMPL","","")/100</f>
        <v>9.1363636363636369E-2</v>
      </c>
      <c r="AM12" s="118" cm="1">
        <f t="array" ref="AM12">_xll.VAData("PEP", "FY-2023", "Volume impact - PBNA", "Consensus", "CD", "IMPL","","")/100</f>
        <v>-2.8908430427592169E-2</v>
      </c>
      <c r="AN12" s="118" cm="1">
        <f t="array" ref="AN12">_xll.VAData("PEP", "FY-2023", "Price/mix impact - PBNA", "Consensus", "CD", "IMPL","","")/100</f>
        <v>0.10265736177778673</v>
      </c>
      <c r="AO12" s="118" cm="1">
        <f t="array" ref="AO12">_xll.VAData("PEP", "FY-2024", "Volume impact - PBNA", "Consensus", "CD", "IMPL","","")/100</f>
        <v>1.0999089308568698E-2</v>
      </c>
      <c r="AP12" s="118" cm="1">
        <f t="array" ref="AP12">_xll.VAData("PEP", "FY-2024", "Price/mix impact - PBNA", "Consensus", "CD", "IMPL","","")/100</f>
        <v>2.9109952853566479E-2</v>
      </c>
      <c r="AQ12" s="114" t="s">
        <v>398</v>
      </c>
      <c r="AR12" s="114"/>
      <c r="AS12" s="119" t="str" cm="1">
        <f t="array" ref="AS12">_xll.BDP(C12&amp;" US Equity", "INVENT_TURN")</f>
        <v>#N/A Connection</v>
      </c>
      <c r="AT12" s="114"/>
      <c r="AU12" s="114" t="e">
        <f>+CO12/CG12</f>
        <v>#VALUE!</v>
      </c>
      <c r="AV12" s="23"/>
      <c r="AW12" s="116" t="e">
        <f t="shared" si="4"/>
        <v>#VALUE!</v>
      </c>
      <c r="BA12" s="120" t="str">
        <f ca="1">_xll.BDP($C12&amp;" Equity","INTERVAL_HIGH","CALC_INTERVAL=52W","END_DATE_OVERRIDE",TEXT($E$5,"YYYYMMDD"))</f>
        <v>#N/A Connection</v>
      </c>
      <c r="BB12" s="121"/>
      <c r="BC12" s="122" t="str">
        <f>_xll.BDP($C12&amp;" Equity","EQY_SH_OUT")</f>
        <v>#N/A Connection</v>
      </c>
      <c r="BD12" s="122" t="str">
        <f>_xll.BDP($C12&amp;" Equity","BS_SH_OUT")</f>
        <v>#N/A Connection</v>
      </c>
      <c r="BE12" s="121"/>
      <c r="BF12" s="123" t="str">
        <f>_xll.BDP($C12&amp;" Equity","SHORT_AND_LONG_TERM_DEBT", "FUND_PER=Q")</f>
        <v>#N/A Connection</v>
      </c>
      <c r="BG12" s="121"/>
      <c r="BH12" s="123" t="e">
        <f>(_xll.BDP($C12&amp;" Equity","BS_PFD_EQY", "FUND_PER=Q"))+(_xll.BDP($C12&amp;" Equity","MINORITY_NONCONTROLLING_INTEREST", "FUND_PER=Q"))</f>
        <v>#VALUE!</v>
      </c>
      <c r="BI12" s="121"/>
      <c r="BJ12" s="123" t="str">
        <f>_xll.BDP($C12&amp;" Equity","CASH_AND_MARKETABLE_SECURITIES", "FUND_PER=Q")</f>
        <v>#N/A Connection</v>
      </c>
      <c r="BK12" s="121"/>
      <c r="BL12" s="120" t="str">
        <f>_xll.BDP($C12&amp;" Equity","BEST_EPS", "BEST_FPERIOD_OVERRIDE=1TY")</f>
        <v>#N/A Connection</v>
      </c>
      <c r="BM12" s="123" t="str">
        <f>_xll.BDP($C12&amp;" Equity","BEST_EBITDA", "BEST_FPERIOD_OVERRIDE=1TY")</f>
        <v>#N/A Connection</v>
      </c>
      <c r="BN12" s="121"/>
      <c r="BO12" s="124" t="str">
        <f>_xll.BDP($C12&amp;" Equity","INTERVAL_AVG", "MARKET_DATA_OVERRIDE=BEST_CUR_EV_TO_EBITDA", "BEST_FPERIOD_OVERRIDE=1TY ", "CALC_INTERVAL=1Y ")</f>
        <v>#N/A Connection</v>
      </c>
      <c r="BP12" s="121"/>
      <c r="BQ12" s="124" t="str">
        <f>_xll.BDP($C12&amp;" Equity","INTERVAL_AVG", "MARKET_DATA_OVERRIDE=BEST_CUR_EV_TO_EBITDA", "BEST_FPERIOD_OVERRIDE=1TY ", "CALC_INTERVAL=2Y ")</f>
        <v>#N/A Connection</v>
      </c>
      <c r="BR12" s="121"/>
      <c r="BS12" s="124" t="str">
        <f>_xll.BDP($C12&amp;" Equity","INTERVAL_AVG", "MARKET_DATA_OVERRIDE=BEST_CUR_EV_TO_EBITDA", "BEST_FPERIOD_OVERRIDE=1TY ", "CALC_INTERVAL=5Y ")</f>
        <v>#N/A Connection</v>
      </c>
      <c r="BT12" s="121"/>
      <c r="BU12" s="124" t="str">
        <f>_xll.BDP($C12&amp;" Equity","INTERVAL_AVG", "MARKET_DATA_OVERRIDE=BEST_PE_RATIO", "BEST_FPERIOD_OVERRIDE=1TY ", "CALC_INTERVAL=1Y ")</f>
        <v>#N/A Connection</v>
      </c>
      <c r="BV12" s="121"/>
      <c r="BW12" s="124" t="str">
        <f>_xll.BDP($C12&amp;" Equity","INTERVAL_AVG", "MARKET_DATA_OVERRIDE=BEST_PE_RATIO", "BEST_FPERIOD_OVERRIDE=1TY ", "CALC_INTERVAL=2Y ")</f>
        <v>#N/A Connection</v>
      </c>
      <c r="BX12" s="121"/>
      <c r="BY12" s="124" t="str">
        <f>_xll.BDP($C12&amp;" Equity","INTERVAL_AVG", "MARKET_DATA_OVERRIDE=BEST_PE_RATIO", "BEST_FPERIOD_OVERRIDE=1TY ", "CALC_INTERVAL=5Y ")</f>
        <v>#N/A Connection</v>
      </c>
      <c r="BZ12" s="121"/>
      <c r="CA12" s="123" t="str">
        <f>_xll.BDP($C12&amp;" Equity","BEST_SALES", "BEST_FPERIOD_OVERRIDE=20BC")</f>
        <v>#N/A Connection</v>
      </c>
      <c r="CB12" s="121"/>
      <c r="CC12" s="123" t="str">
        <f>_xll.BDP($C12&amp;" Equity","BEST_SALES", "BEST_FPERIOD_OVERRIDE=21BC")</f>
        <v>#N/A Connection</v>
      </c>
      <c r="CD12" s="121"/>
      <c r="CE12" s="123" t="str">
        <f>_xll.BDP($C12&amp;" Equity","BEST_SALES", "BEST_FPERIOD_OVERRIDE=22BC")</f>
        <v>#N/A Connection</v>
      </c>
      <c r="CF12" s="121"/>
      <c r="CG12" s="123" t="str">
        <f>_xll.BDP($C12&amp;" Equity","BEST_SALES", "BEST_FPERIOD_OVERRIDE=23BC")</f>
        <v>#N/A Connection</v>
      </c>
      <c r="CH12" s="121"/>
      <c r="CI12" s="123" t="str">
        <f>_xll.BDP($C12&amp;" Equity","BEST_EBITDA", "BEST_FPERIOD_OVERRIDE=20BC")</f>
        <v>#N/A Connection</v>
      </c>
      <c r="CJ12" s="121"/>
      <c r="CK12" s="123" t="str">
        <f>_xll.BDP($C12&amp;" Equity","BEST_EBITDA", "BEST_FPERIOD_OVERRIDE=21BC")</f>
        <v>#N/A Connection</v>
      </c>
      <c r="CL12" s="121"/>
      <c r="CM12" s="123" t="str">
        <f>_xll.BDP($C12&amp;" Equity","BEST_EBITDA", "BEST_FPERIOD_OVERRIDE=22BC")</f>
        <v>#N/A Connection</v>
      </c>
      <c r="CN12" s="121"/>
      <c r="CO12" s="123" t="str">
        <f>_xll.BDP($C12&amp;" Equity","BEST_EBITDA", "BEST_FPERIOD_OVERRIDE=23BC")</f>
        <v>#N/A Connection</v>
      </c>
      <c r="CP12" s="121"/>
      <c r="CQ12" s="120" t="str">
        <f>_xll.BDP($C12&amp;" Equity","BEST_EPS", "BEST_FPERIOD_OVERRIDE=20BC")</f>
        <v>#N/A Connection</v>
      </c>
      <c r="CR12" s="121"/>
      <c r="CS12" s="120" t="str">
        <f>_xll.BDP($C12&amp;" Equity","BEST_EPS", "BEST_FPERIOD_OVERRIDE=21BC")</f>
        <v>#N/A Connection</v>
      </c>
      <c r="CT12" s="121"/>
      <c r="CU12" s="120" t="str">
        <f>_xll.BDP($C12&amp;" Equity","BEST_EPS", "BEST_FPERIOD_OVERRIDE=22BC")</f>
        <v>#N/A Connection</v>
      </c>
      <c r="CV12" s="121"/>
      <c r="CW12" s="120" t="str">
        <f>_xll.BDP($C12&amp;" Equity","BEST_EPS", "BEST_FPERIOD_OVERRIDE=23BC")</f>
        <v>#N/A Connection</v>
      </c>
      <c r="CY12" s="125" t="e">
        <f>(_xll.BDP($C12&amp;" Equity","ORGANIC_GROWTH", "EQY_FUND_YEAR=2020"))/100</f>
        <v>#VALUE!</v>
      </c>
      <c r="CZ12" s="125"/>
      <c r="DA12" s="125" t="e">
        <f>(_xll.BDP($C12&amp;" Equity","ORGANIC_GROWTH", "EQY_FUND_YEAR=2021"))/100</f>
        <v>#VALUE!</v>
      </c>
      <c r="DB12" s="125"/>
      <c r="DC12" s="125" t="e">
        <f>(_xll.BDP($C12&amp;" Equity","ORGANIC_GROWTH", "EQY_FUND_YEAR=2022"))/100</f>
        <v>#VALUE!</v>
      </c>
      <c r="DD12" s="125"/>
      <c r="DE12" s="125" t="e">
        <f>(_xll.BDP($C12&amp;" Equity","ORGANIC_GROWTH", "EQY_FUND_RELATIVE_PERIOD=-0FY"))/100</f>
        <v>#VALUE!</v>
      </c>
      <c r="DG12" s="120" t="str">
        <f>_xll.BDP($C12&amp;" Equity","IS_ADJ_EBIT_OP_INC_AS_REPORTED", "EQY_FUND_YEAR="&amp;DG$5)</f>
        <v>#N/A Connection</v>
      </c>
      <c r="DH12" s="121"/>
      <c r="DI12" s="120" t="str">
        <f>_xll.BDP($C12&amp;" Equity","IS_ADJ_EBIT_OP_INC_AS_REPORTED", "EQY_FUND_YEAR="&amp;DI$5)</f>
        <v>#N/A Connection</v>
      </c>
      <c r="DJ12" s="121"/>
      <c r="DK12" s="120" t="str">
        <f>_xll.BDP($C12&amp;" Equity","IS_ADJ_EBIT_OP_INC_AS_REPORTED", "EQY_FUND_YEAR="&amp;DK$5)</f>
        <v>#N/A Connection</v>
      </c>
      <c r="DL12" s="121"/>
      <c r="DM12" s="120" t="str">
        <f>_xll.BDP($C12&amp;" Equity","IS_ADJ_EBIT_OP_INC_AS_REPORTED", "EQY_FUND_YEAR=-0FY")</f>
        <v>#N/A Connection</v>
      </c>
      <c r="DO12" s="120" t="str">
        <f>_xll.BDP($C12&amp;" Equity","IS_ADJUSTED_EPS_AS_REPORTED", "EQY_FUND_YEAR="&amp;DO$5)</f>
        <v>#N/A Connection</v>
      </c>
      <c r="DP12" s="121"/>
      <c r="DQ12" s="120" t="str">
        <f>_xll.BDP($C12&amp;" Equity","IS_ADJUSTED_EPS_AS_REPORTED", "EQY_FUND_YEAR="&amp;DQ$5)</f>
        <v>#N/A Connection</v>
      </c>
      <c r="DR12" s="121"/>
      <c r="DS12" s="120" t="str">
        <f>_xll.BDP($C12&amp;" Equity","IS_ADJUSTED_EPS_AS_REPORTED", "EQY_FUND_YEAR="&amp;DS$5)</f>
        <v>#N/A Connection</v>
      </c>
      <c r="DT12" s="121"/>
      <c r="DU12" s="120" t="str">
        <f>_xll.BDP($C12&amp;" Equity","IS_ADJUSTED_EPS_AS_REPORTED", "EQY_FUND_YEAR=-0FY")</f>
        <v>#N/A Connection</v>
      </c>
    </row>
    <row r="13" spans="1:125" x14ac:dyDescent="0.75">
      <c r="A13" t="s">
        <v>390</v>
      </c>
      <c r="C13" s="23" t="s">
        <v>394</v>
      </c>
      <c r="E13" s="57" t="str" cm="1">
        <f t="array" ref="E13">_xll.BDP($C13&amp;" Equity","PX_LAST")</f>
        <v>#N/A Connection</v>
      </c>
      <c r="G13" s="114" t="e">
        <f ca="1">E13/BA13</f>
        <v>#VALUE!</v>
      </c>
      <c r="I13" s="115" t="e">
        <f>+E13*BC13</f>
        <v>#VALUE!</v>
      </c>
      <c r="K13" s="115" t="e">
        <f>+I13+BF13+BH13-BJ13</f>
        <v>#VALUE!</v>
      </c>
      <c r="M13" s="116" t="e">
        <f>+K13/BM13</f>
        <v>#VALUE!</v>
      </c>
      <c r="N13" s="23"/>
      <c r="O13" s="114" t="e">
        <f>$M13/BO13-1</f>
        <v>#VALUE!</v>
      </c>
      <c r="P13" s="23"/>
      <c r="Q13" s="114" t="e">
        <f>$M13/BQ13-1</f>
        <v>#VALUE!</v>
      </c>
      <c r="R13" s="23"/>
      <c r="S13" s="116" t="e">
        <f>+E13/BL13</f>
        <v>#VALUE!</v>
      </c>
      <c r="T13" s="23"/>
      <c r="U13" s="114" t="e">
        <f>+$S13/BU13-1</f>
        <v>#VALUE!</v>
      </c>
      <c r="V13" s="23"/>
      <c r="W13" s="114" t="e">
        <f>+$S13/BW13-1</f>
        <v>#VALUE!</v>
      </c>
      <c r="X13" s="23"/>
      <c r="Y13" s="114" t="e">
        <f>(CG13/CC13)^(1/2)-1</f>
        <v>#VALUE!</v>
      </c>
      <c r="AA13" s="114" t="e">
        <f>(CO13/CK13)^(1/2)-1</f>
        <v>#VALUE!</v>
      </c>
      <c r="AC13" s="114" t="e">
        <f>(CW13/CS13)^(1/2)-1</f>
        <v>#VALUE!</v>
      </c>
      <c r="AD13" s="23"/>
      <c r="AE13" s="117" t="str">
        <f t="shared" si="0"/>
        <v/>
      </c>
      <c r="AG13" s="114" t="e">
        <f t="shared" ref="AG13:AG15" si="5">(DK13/DG13)^(1/2)-1</f>
        <v>#VALUE!</v>
      </c>
      <c r="AI13" s="114" t="str">
        <f t="shared" si="2"/>
        <v/>
      </c>
      <c r="AJ13" s="114"/>
      <c r="AK13" s="118" cm="1">
        <f t="array" ref="AK13">_xll.VAData("SJM", "1QFY-2024", "Volume/Mix - US retail coffee", "Consensus", "CD", "IMPL","","")/100</f>
        <v>5.4642857142857146E-2</v>
      </c>
      <c r="AL13" s="118" cm="1">
        <f t="array" ref="AL13">_xll.VAData("SJM", "1QFY-2024", "Price - US retail coffee", "Consensus", "CD", "IMPL","","")/100</f>
        <v>3.7142857142857137E-2</v>
      </c>
      <c r="AM13" s="118" cm="1">
        <f t="array" ref="AM13">_xll.VAData("SJM", "FY-2024", "Volume/Mix - US retail coffee", "Consensus", "CD", "IMPL","","")/100</f>
        <v>2.6816397784833731E-2</v>
      </c>
      <c r="AN13" s="118" cm="1">
        <f t="array" ref="AN13">_xll.VAData("SJM", "FY-2024", "Price - US retail coffee", "Consensus", "CD", "IMPL","","")/100</f>
        <v>6.3103550909552894E-3</v>
      </c>
      <c r="AO13" s="118" cm="1">
        <f t="array" ref="AO13">_xll.VAData("SJM", "FY-2025", "Volume/Mix - US retail coffee", "Consensus", "CD", "IMPL","","")/100</f>
        <v>1.604026304285714E-2</v>
      </c>
      <c r="AP13" s="118" cm="1">
        <f t="array" ref="AP13">_xll.VAData("SJM", "FY-2025", "Price - US retail coffee", "Consensus", "CD", "IMPL","","")/100</f>
        <v>-3.8323838571428597E-3</v>
      </c>
      <c r="AQ13" s="114" t="s">
        <v>399</v>
      </c>
      <c r="AR13" s="114"/>
      <c r="AS13" s="119" t="str" cm="1">
        <f t="array" ref="AS13">_xll.BDP(C13&amp;" US Equity", "INVENT_TURN")</f>
        <v>#N/A Connection</v>
      </c>
      <c r="AT13" s="114"/>
      <c r="AU13" s="114" t="e">
        <f t="shared" ref="AU13:AU15" si="6">+CO13/CG13</f>
        <v>#VALUE!</v>
      </c>
      <c r="AV13" s="23"/>
      <c r="AW13" s="116" t="e">
        <f t="shared" si="4"/>
        <v>#VALUE!</v>
      </c>
      <c r="BA13" s="120" t="str">
        <f ca="1">_xll.BDP($C13&amp;" Equity","INTERVAL_HIGH","CALC_INTERVAL=52W","END_DATE_OVERRIDE",TEXT($E$5,"YYYYMMDD"))</f>
        <v>#N/A Connection</v>
      </c>
      <c r="BB13" s="121"/>
      <c r="BC13" s="122" t="str">
        <f>_xll.BDP($C13&amp;" Equity","EQY_SH_OUT")</f>
        <v>#N/A Connection</v>
      </c>
      <c r="BD13" s="122" t="str">
        <f>_xll.BDP($C13&amp;" Equity","BS_SH_OUT")</f>
        <v>#N/A Connection</v>
      </c>
      <c r="BE13" s="121"/>
      <c r="BF13" s="123" t="str">
        <f>_xll.BDP($C13&amp;" Equity","SHORT_AND_LONG_TERM_DEBT", "FUND_PER=Q")</f>
        <v>#N/A Connection</v>
      </c>
      <c r="BG13" s="121"/>
      <c r="BH13" s="123" t="e">
        <f>(_xll.BDP($C13&amp;" Equity","BS_PFD_EQY", "FUND_PER=Q"))+(_xll.BDP($C13&amp;" Equity","MINORITY_NONCONTROLLING_INTEREST", "FUND_PER=Q"))</f>
        <v>#VALUE!</v>
      </c>
      <c r="BI13" s="121"/>
      <c r="BJ13" s="123" t="str">
        <f>_xll.BDP($C13&amp;" Equity","CASH_AND_MARKETABLE_SECURITIES", "FUND_PER=Q")</f>
        <v>#N/A Connection</v>
      </c>
      <c r="BK13" s="121"/>
      <c r="BL13" s="120" t="str">
        <f>_xll.BDP($C13&amp;" Equity","BEST_EPS", "BEST_FPERIOD_OVERRIDE=1TY")</f>
        <v>#N/A Connection</v>
      </c>
      <c r="BM13" s="123" t="str">
        <f>_xll.BDP($C13&amp;" Equity","BEST_EBITDA", "BEST_FPERIOD_OVERRIDE=1TY")</f>
        <v>#N/A Connection</v>
      </c>
      <c r="BN13" s="121"/>
      <c r="BO13" s="124" t="str">
        <f>_xll.BDP($C13&amp;" Equity","INTERVAL_AVG", "MARKET_DATA_OVERRIDE=BEST_CUR_EV_TO_EBITDA", "BEST_FPERIOD_OVERRIDE=1TY ", "CALC_INTERVAL=1Y ")</f>
        <v>#N/A Connection</v>
      </c>
      <c r="BP13" s="121"/>
      <c r="BQ13" s="124" t="str">
        <f>_xll.BDP($C13&amp;" Equity","INTERVAL_AVG", "MARKET_DATA_OVERRIDE=BEST_CUR_EV_TO_EBITDA", "BEST_FPERIOD_OVERRIDE=1TY ", "CALC_INTERVAL=2Y ")</f>
        <v>#N/A Connection</v>
      </c>
      <c r="BR13" s="121"/>
      <c r="BS13" s="124" t="str">
        <f>_xll.BDP($C13&amp;" Equity","INTERVAL_AVG", "MARKET_DATA_OVERRIDE=BEST_CUR_EV_TO_EBITDA", "BEST_FPERIOD_OVERRIDE=1TY ", "CALC_INTERVAL=5Y ")</f>
        <v>#N/A Connection</v>
      </c>
      <c r="BT13" s="121"/>
      <c r="BU13" s="124" t="str">
        <f>_xll.BDP($C13&amp;" Equity","INTERVAL_AVG", "MARKET_DATA_OVERRIDE=BEST_PE_RATIO", "BEST_FPERIOD_OVERRIDE=1TY ", "CALC_INTERVAL=1Y ")</f>
        <v>#N/A Connection</v>
      </c>
      <c r="BV13" s="121"/>
      <c r="BW13" s="124" t="str">
        <f>_xll.BDP($C13&amp;" Equity","INTERVAL_AVG", "MARKET_DATA_OVERRIDE=BEST_PE_RATIO", "BEST_FPERIOD_OVERRIDE=1TY ", "CALC_INTERVAL=2Y ")</f>
        <v>#N/A Connection</v>
      </c>
      <c r="BX13" s="121"/>
      <c r="BY13" s="124" t="str">
        <f>_xll.BDP($C13&amp;" Equity","INTERVAL_AVG", "MARKET_DATA_OVERRIDE=BEST_PE_RATIO", "BEST_FPERIOD_OVERRIDE=1TY ", "CALC_INTERVAL=5Y ")</f>
        <v>#N/A Connection</v>
      </c>
      <c r="BZ13" s="121"/>
      <c r="CA13" s="123" t="str">
        <f>_xll.BDP($C13&amp;" Equity","BEST_SALES", "BEST_FPERIOD_OVERRIDE=20BC")</f>
        <v>#N/A Connection</v>
      </c>
      <c r="CB13" s="121"/>
      <c r="CC13" s="123" t="str">
        <f>_xll.BDP($C13&amp;" Equity","BEST_SALES", "BEST_FPERIOD_OVERRIDE=21BC")</f>
        <v>#N/A Connection</v>
      </c>
      <c r="CD13" s="121"/>
      <c r="CE13" s="123" t="str">
        <f>_xll.BDP($C13&amp;" Equity","BEST_SALES", "BEST_FPERIOD_OVERRIDE=22BC")</f>
        <v>#N/A Connection</v>
      </c>
      <c r="CF13" s="121"/>
      <c r="CG13" s="123" t="str">
        <f>_xll.BDP($C13&amp;" Equity","BEST_SALES", "BEST_FPERIOD_OVERRIDE=23BC")</f>
        <v>#N/A Connection</v>
      </c>
      <c r="CH13" s="121"/>
      <c r="CI13" s="123" t="str">
        <f>_xll.BDP($C13&amp;" Equity","BEST_EBITDA", "BEST_FPERIOD_OVERRIDE=20BC")</f>
        <v>#N/A Connection</v>
      </c>
      <c r="CJ13" s="121"/>
      <c r="CK13" s="123" t="str">
        <f>_xll.BDP($C13&amp;" Equity","BEST_EBITDA", "BEST_FPERIOD_OVERRIDE=21BC")</f>
        <v>#N/A Connection</v>
      </c>
      <c r="CL13" s="121"/>
      <c r="CM13" s="123" t="str">
        <f>_xll.BDP($C13&amp;" Equity","BEST_EBITDA", "BEST_FPERIOD_OVERRIDE=22BC")</f>
        <v>#N/A Connection</v>
      </c>
      <c r="CN13" s="121"/>
      <c r="CO13" s="123" t="str">
        <f>_xll.BDP($C13&amp;" Equity","BEST_EBITDA", "BEST_FPERIOD_OVERRIDE=23BC")</f>
        <v>#N/A Connection</v>
      </c>
      <c r="CP13" s="121"/>
      <c r="CQ13" s="120" t="str">
        <f>_xll.BDP($C13&amp;" Equity","BEST_EPS", "BEST_FPERIOD_OVERRIDE=20BC")</f>
        <v>#N/A Connection</v>
      </c>
      <c r="CR13" s="121"/>
      <c r="CS13" s="120" t="str">
        <f>_xll.BDP($C13&amp;" Equity","BEST_EPS", "BEST_FPERIOD_OVERRIDE=21BC")</f>
        <v>#N/A Connection</v>
      </c>
      <c r="CT13" s="121"/>
      <c r="CU13" s="120" t="str">
        <f>_xll.BDP($C13&amp;" Equity","BEST_EPS", "BEST_FPERIOD_OVERRIDE=22BC")</f>
        <v>#N/A Connection</v>
      </c>
      <c r="CV13" s="121"/>
      <c r="CW13" s="120" t="str">
        <f>_xll.BDP($C13&amp;" Equity","BEST_EPS", "BEST_FPERIOD_OVERRIDE=23BC")</f>
        <v>#N/A Connection</v>
      </c>
      <c r="CY13" s="125" t="e">
        <f>(_xll.BDP($C13&amp;" Equity","ORGANIC_GROWTH", "EQY_FUND_YEAR=2020"))/100</f>
        <v>#VALUE!</v>
      </c>
      <c r="CZ13" s="125"/>
      <c r="DA13" s="125" t="e">
        <f>(_xll.BDP($C13&amp;" Equity","ORGANIC_GROWTH", "EQY_FUND_YEAR=2021"))/100</f>
        <v>#VALUE!</v>
      </c>
      <c r="DB13" s="125"/>
      <c r="DC13" s="125" t="e">
        <f>(_xll.BDP($C13&amp;" Equity","ORGANIC_GROWTH", "EQY_FUND_YEAR=2022"))/100</f>
        <v>#VALUE!</v>
      </c>
      <c r="DD13" s="125"/>
      <c r="DE13" s="125" t="e">
        <f>(_xll.BDP($C13&amp;" Equity","ORGANIC_GROWTH", "EQY_FUND_RELATIVE_PERIOD=-0FY"))/100</f>
        <v>#VALUE!</v>
      </c>
      <c r="DG13" s="120" t="str">
        <f>_xll.BDP($C13&amp;" Equity","IS_ADJ_EBIT_OP_INC_AS_REPORTED", "EQY_FUND_YEAR="&amp;DG$5)</f>
        <v>#N/A Connection</v>
      </c>
      <c r="DH13" s="121"/>
      <c r="DI13" s="120" t="str">
        <f>_xll.BDP($C13&amp;" Equity","IS_ADJ_EBIT_OP_INC_AS_REPORTED", "EQY_FUND_YEAR="&amp;DI$5)</f>
        <v>#N/A Connection</v>
      </c>
      <c r="DJ13" s="121"/>
      <c r="DK13" s="120" t="str">
        <f>_xll.BDP($C13&amp;" Equity","IS_ADJ_EBIT_OP_INC_AS_REPORTED", "EQY_FUND_YEAR="&amp;DK$5)</f>
        <v>#N/A Connection</v>
      </c>
      <c r="DL13" s="121"/>
      <c r="DM13" s="120" t="str">
        <f>_xll.BDP($C13&amp;" Equity","IS_ADJ_EBIT_OP_INC_AS_REPORTED", "EQY_FUND_YEAR=-0FY")</f>
        <v>#N/A Connection</v>
      </c>
      <c r="DO13" s="120" t="str">
        <f>_xll.BDP($C13&amp;" Equity","IS_ADJUSTED_EPS_AS_REPORTED", "EQY_FUND_YEAR="&amp;DO$5)</f>
        <v>#N/A Connection</v>
      </c>
      <c r="DP13" s="121"/>
      <c r="DQ13" s="120" t="str">
        <f>_xll.BDP($C13&amp;" Equity","IS_ADJUSTED_EPS_AS_REPORTED", "EQY_FUND_YEAR="&amp;DQ$5)</f>
        <v>#N/A Connection</v>
      </c>
      <c r="DR13" s="121"/>
      <c r="DS13" s="120" t="str">
        <f>_xll.BDP($C13&amp;" Equity","IS_ADJUSTED_EPS_AS_REPORTED", "EQY_FUND_YEAR="&amp;DS$5)</f>
        <v>#N/A Connection</v>
      </c>
      <c r="DT13" s="121"/>
      <c r="DU13" s="120" t="str">
        <f>_xll.BDP($C13&amp;" Equity","IS_ADJUSTED_EPS_AS_REPORTED", "EQY_FUND_YEAR=-0FY")</f>
        <v>#N/A Connection</v>
      </c>
    </row>
    <row r="14" spans="1:125" x14ac:dyDescent="0.75">
      <c r="A14" t="s">
        <v>391</v>
      </c>
      <c r="C14" s="23" t="s">
        <v>395</v>
      </c>
      <c r="E14" s="57" t="str" cm="1">
        <f t="array" ref="E14">_xll.BDP($C14&amp;" Equity","PX_LAST")</f>
        <v>#N/A Connection</v>
      </c>
      <c r="G14" s="114" t="e">
        <f ca="1">E14/BA14</f>
        <v>#VALUE!</v>
      </c>
      <c r="I14" s="115" t="e">
        <f>+E14*BC14</f>
        <v>#VALUE!</v>
      </c>
      <c r="K14" s="115" t="e">
        <f>+I14+BF14+BH14-BJ14</f>
        <v>#VALUE!</v>
      </c>
      <c r="M14" s="116" t="e">
        <f>+K14/BM14</f>
        <v>#VALUE!</v>
      </c>
      <c r="N14" s="23"/>
      <c r="O14" s="114" t="e">
        <f>$M14/BO14-1</f>
        <v>#VALUE!</v>
      </c>
      <c r="P14" s="23"/>
      <c r="Q14" s="114" t="e">
        <f>$M14/BQ14-1</f>
        <v>#VALUE!</v>
      </c>
      <c r="R14" s="23"/>
      <c r="S14" s="116" t="e">
        <f>+E14/BL14</f>
        <v>#VALUE!</v>
      </c>
      <c r="T14" s="23"/>
      <c r="U14" s="114" t="e">
        <f>+$S14/BU14-1</f>
        <v>#VALUE!</v>
      </c>
      <c r="V14" s="23"/>
      <c r="W14" s="114" t="e">
        <f>+$S14/BW14-1</f>
        <v>#VALUE!</v>
      </c>
      <c r="X14" s="23"/>
      <c r="Y14" s="114" t="e">
        <f>(CG14/CC14)^(1/2)-1</f>
        <v>#VALUE!</v>
      </c>
      <c r="AA14" s="114" t="e">
        <f>(CO14/CK14)^(1/2)-1</f>
        <v>#VALUE!</v>
      </c>
      <c r="AC14" s="114" t="e">
        <f>(CW14/CS14)^(1/2)-1</f>
        <v>#VALUE!</v>
      </c>
      <c r="AD14" s="23"/>
      <c r="AE14" s="117" t="str">
        <f t="shared" si="0"/>
        <v/>
      </c>
      <c r="AG14" s="114" t="e">
        <f t="shared" si="5"/>
        <v>#VALUE!</v>
      </c>
      <c r="AI14" s="114" t="str">
        <f t="shared" si="2"/>
        <v/>
      </c>
      <c r="AJ14" s="114"/>
      <c r="AK14" s="118" cm="1">
        <f t="array" ref="AK14">_xll.VAData("SBUX", "4QFY-2023", "SSS - North Americas - Transaction", "Consensus", "CD", "IMPL","","")/100</f>
        <v>1.4750000000000001E-2</v>
      </c>
      <c r="AL14" s="118" cm="1">
        <f t="array" ref="AL14">_xll.VAData("SBUX", "4QFY-2023", "SSS - North Americas - Ticket", "Consensus", "CD", "IMPL","","")/100</f>
        <v>4.0999999999999995E-2</v>
      </c>
      <c r="AM14" s="118" cm="1">
        <f t="array" ref="AM14">_xll.VAData("SBUX", "FY-2023", "SSS - North Americas - Transaction", "Consensus", "CD", "IMPL","","")/100</f>
        <v>2.3958322628328893E-2</v>
      </c>
      <c r="AN14" s="118" cm="1">
        <f t="array" ref="AN14">_xll.VAData("SBUX", "FY-2023", "SSS - North Americas - Ticket", "Consensus", "CD", "IMPL","","")/100</f>
        <v>5.9716953535953375E-2</v>
      </c>
      <c r="AO14" s="118" cm="1">
        <f t="array" ref="AO14">_xll.VAData("SBUX", "FY-2024", "SSS - North Americas - Transaction", "Consensus", "CD", "IMPL","","")/100</f>
        <v>1.9817328077777779E-2</v>
      </c>
      <c r="AP14" s="118" cm="1">
        <f t="array" ref="AP14">_xll.VAData("SBUX", "FY-2024", "SSS - North Americas - Ticket", "Consensus", "CD", "IMPL","","")/100</f>
        <v>3.3871249366666668E-2</v>
      </c>
      <c r="AQ14" s="114" t="s">
        <v>402</v>
      </c>
      <c r="AR14" s="114"/>
      <c r="AS14" s="119" t="str" cm="1">
        <f t="array" ref="AS14">_xll.BDP(C14&amp;" US Equity", "INVENT_TURN")</f>
        <v>#N/A Connection</v>
      </c>
      <c r="AT14" s="114"/>
      <c r="AU14" s="114" t="e">
        <f t="shared" si="6"/>
        <v>#VALUE!</v>
      </c>
      <c r="AV14" s="23"/>
      <c r="AW14" s="116" t="e">
        <f t="shared" si="4"/>
        <v>#VALUE!</v>
      </c>
      <c r="BA14" s="120" t="str">
        <f ca="1">_xll.BDP($C14&amp;" Equity","INTERVAL_HIGH","CALC_INTERVAL=52W","END_DATE_OVERRIDE",TEXT($E$5,"YYYYMMDD"))</f>
        <v>#N/A Connection</v>
      </c>
      <c r="BB14" s="121"/>
      <c r="BC14" s="122" t="str">
        <f>_xll.BDP($C14&amp;" Equity","EQY_SH_OUT")</f>
        <v>#N/A Connection</v>
      </c>
      <c r="BD14" s="122" t="str">
        <f>_xll.BDP($C14&amp;" Equity","BS_SH_OUT")</f>
        <v>#N/A Connection</v>
      </c>
      <c r="BE14" s="121"/>
      <c r="BF14" s="123" t="str">
        <f>_xll.BDP($C14&amp;" Equity","SHORT_AND_LONG_TERM_DEBT", "FUND_PER=Q")</f>
        <v>#N/A Connection</v>
      </c>
      <c r="BG14" s="121"/>
      <c r="BH14" s="123" t="e">
        <f>(_xll.BDP($C14&amp;" Equity","BS_PFD_EQY", "FUND_PER=Q"))+(_xll.BDP($C14&amp;" Equity","MINORITY_NONCONTROLLING_INTEREST", "FUND_PER=Q"))</f>
        <v>#VALUE!</v>
      </c>
      <c r="BI14" s="121"/>
      <c r="BJ14" s="123" t="str">
        <f>_xll.BDP($C14&amp;" Equity","CASH_AND_MARKETABLE_SECURITIES", "FUND_PER=Q")</f>
        <v>#N/A Connection</v>
      </c>
      <c r="BK14" s="121"/>
      <c r="BL14" s="120" t="str">
        <f>_xll.BDP($C14&amp;" Equity","BEST_EPS", "BEST_FPERIOD_OVERRIDE=1TY")</f>
        <v>#N/A Connection</v>
      </c>
      <c r="BM14" s="123" t="str">
        <f>_xll.BDP($C14&amp;" Equity","BEST_EBITDA", "BEST_FPERIOD_OVERRIDE=1TY")</f>
        <v>#N/A Connection</v>
      </c>
      <c r="BN14" s="121"/>
      <c r="BO14" s="124" t="str">
        <f>_xll.BDP($C14&amp;" Equity","INTERVAL_AVG", "MARKET_DATA_OVERRIDE=BEST_CUR_EV_TO_EBITDA", "BEST_FPERIOD_OVERRIDE=1TY ", "CALC_INTERVAL=1Y ")</f>
        <v>#N/A Connection</v>
      </c>
      <c r="BP14" s="121"/>
      <c r="BQ14" s="124" t="str">
        <f>_xll.BDP($C14&amp;" Equity","INTERVAL_AVG", "MARKET_DATA_OVERRIDE=BEST_CUR_EV_TO_EBITDA", "BEST_FPERIOD_OVERRIDE=1TY ", "CALC_INTERVAL=2Y ")</f>
        <v>#N/A Connection</v>
      </c>
      <c r="BR14" s="121"/>
      <c r="BS14" s="124" t="str">
        <f>_xll.BDP($C14&amp;" Equity","INTERVAL_AVG", "MARKET_DATA_OVERRIDE=BEST_CUR_EV_TO_EBITDA", "BEST_FPERIOD_OVERRIDE=1TY ", "CALC_INTERVAL=5Y ")</f>
        <v>#N/A Connection</v>
      </c>
      <c r="BT14" s="121"/>
      <c r="BU14" s="124" t="str">
        <f>_xll.BDP($C14&amp;" Equity","INTERVAL_AVG", "MARKET_DATA_OVERRIDE=BEST_PE_RATIO", "BEST_FPERIOD_OVERRIDE=1TY ", "CALC_INTERVAL=1Y ")</f>
        <v>#N/A Connection</v>
      </c>
      <c r="BV14" s="121"/>
      <c r="BW14" s="124" t="str">
        <f>_xll.BDP($C14&amp;" Equity","INTERVAL_AVG", "MARKET_DATA_OVERRIDE=BEST_PE_RATIO", "BEST_FPERIOD_OVERRIDE=1TY ", "CALC_INTERVAL=2Y ")</f>
        <v>#N/A Connection</v>
      </c>
      <c r="BX14" s="121"/>
      <c r="BY14" s="124" t="str">
        <f>_xll.BDP($C14&amp;" Equity","INTERVAL_AVG", "MARKET_DATA_OVERRIDE=BEST_PE_RATIO", "BEST_FPERIOD_OVERRIDE=1TY ", "CALC_INTERVAL=5Y ")</f>
        <v>#N/A Connection</v>
      </c>
      <c r="BZ14" s="121"/>
      <c r="CA14" s="123" t="str">
        <f>_xll.BDP($C14&amp;" Equity","BEST_SALES", "BEST_FPERIOD_OVERRIDE=20BC")</f>
        <v>#N/A Connection</v>
      </c>
      <c r="CB14" s="121"/>
      <c r="CC14" s="123" t="str">
        <f>_xll.BDP($C14&amp;" Equity","BEST_SALES", "BEST_FPERIOD_OVERRIDE=21BC")</f>
        <v>#N/A Connection</v>
      </c>
      <c r="CD14" s="121"/>
      <c r="CE14" s="123" t="str">
        <f>_xll.BDP($C14&amp;" Equity","BEST_SALES", "BEST_FPERIOD_OVERRIDE=22BC")</f>
        <v>#N/A Connection</v>
      </c>
      <c r="CF14" s="121"/>
      <c r="CG14" s="123" t="str">
        <f>_xll.BDP($C14&amp;" Equity","BEST_SALES", "BEST_FPERIOD_OVERRIDE=23BC")</f>
        <v>#N/A Connection</v>
      </c>
      <c r="CH14" s="121"/>
      <c r="CI14" s="123" t="str">
        <f>_xll.BDP($C14&amp;" Equity","BEST_EBITDA", "BEST_FPERIOD_OVERRIDE=20BC")</f>
        <v>#N/A Connection</v>
      </c>
      <c r="CJ14" s="121"/>
      <c r="CK14" s="123" t="str">
        <f>_xll.BDP($C14&amp;" Equity","BEST_EBITDA", "BEST_FPERIOD_OVERRIDE=21BC")</f>
        <v>#N/A Connection</v>
      </c>
      <c r="CL14" s="121"/>
      <c r="CM14" s="123" t="str">
        <f>_xll.BDP($C14&amp;" Equity","BEST_EBITDA", "BEST_FPERIOD_OVERRIDE=22BC")</f>
        <v>#N/A Connection</v>
      </c>
      <c r="CN14" s="121"/>
      <c r="CO14" s="123" t="str">
        <f>_xll.BDP($C14&amp;" Equity","BEST_EBITDA", "BEST_FPERIOD_OVERRIDE=23BC")</f>
        <v>#N/A Connection</v>
      </c>
      <c r="CP14" s="121"/>
      <c r="CQ14" s="120" t="str">
        <f>_xll.BDP($C14&amp;" Equity","BEST_EPS", "BEST_FPERIOD_OVERRIDE=20BC")</f>
        <v>#N/A Connection</v>
      </c>
      <c r="CR14" s="121"/>
      <c r="CS14" s="120" t="str">
        <f>_xll.BDP($C14&amp;" Equity","BEST_EPS", "BEST_FPERIOD_OVERRIDE=21BC")</f>
        <v>#N/A Connection</v>
      </c>
      <c r="CT14" s="121"/>
      <c r="CU14" s="120" t="str">
        <f>_xll.BDP($C14&amp;" Equity","BEST_EPS", "BEST_FPERIOD_OVERRIDE=22BC")</f>
        <v>#N/A Connection</v>
      </c>
      <c r="CV14" s="121"/>
      <c r="CW14" s="120" t="str">
        <f>_xll.BDP($C14&amp;" Equity","BEST_EPS", "BEST_FPERIOD_OVERRIDE=23BC")</f>
        <v>#N/A Connection</v>
      </c>
      <c r="CY14" s="125" t="e">
        <f>(_xll.BDP($C14&amp;" Equity","ORGANIC_GROWTH", "EQY_FUND_YEAR=2020"))/100</f>
        <v>#VALUE!</v>
      </c>
      <c r="CZ14" s="125"/>
      <c r="DA14" s="125" t="e">
        <f>(_xll.BDP($C14&amp;" Equity","ORGANIC_GROWTH", "EQY_FUND_YEAR=2021"))/100</f>
        <v>#VALUE!</v>
      </c>
      <c r="DB14" s="125"/>
      <c r="DC14" s="125" t="e">
        <f>(_xll.BDP($C14&amp;" Equity","ORGANIC_GROWTH", "EQY_FUND_YEAR=2022"))/100</f>
        <v>#VALUE!</v>
      </c>
      <c r="DD14" s="125"/>
      <c r="DE14" s="125" t="e">
        <f>(_xll.BDP($C14&amp;" Equity","ORGANIC_GROWTH", "EQY_FUND_RELATIVE_PERIOD=-0FY"))/100</f>
        <v>#VALUE!</v>
      </c>
      <c r="DG14" s="120" t="str">
        <f>_xll.BDP($C14&amp;" Equity","IS_ADJ_EBIT_OP_INC_AS_REPORTED", "EQY_FUND_YEAR="&amp;DG$5)</f>
        <v>#N/A Connection</v>
      </c>
      <c r="DH14" s="121"/>
      <c r="DI14" s="120" t="str">
        <f>_xll.BDP($C14&amp;" Equity","IS_ADJ_EBIT_OP_INC_AS_REPORTED", "EQY_FUND_YEAR="&amp;DI$5)</f>
        <v>#N/A Connection</v>
      </c>
      <c r="DJ14" s="121"/>
      <c r="DK14" s="120" t="str">
        <f>_xll.BDP($C14&amp;" Equity","IS_ADJ_EBIT_OP_INC_AS_REPORTED", "EQY_FUND_YEAR="&amp;DK$5)</f>
        <v>#N/A Connection</v>
      </c>
      <c r="DL14" s="121"/>
      <c r="DM14" s="120" t="str">
        <f>_xll.BDP($C14&amp;" Equity","IS_ADJ_EBIT_OP_INC_AS_REPORTED", "EQY_FUND_YEAR=-0FY")</f>
        <v>#N/A Connection</v>
      </c>
      <c r="DO14" s="120" t="str">
        <f>_xll.BDP($C14&amp;" Equity","IS_ADJUSTED_EPS_AS_REPORTED", "EQY_FUND_YEAR="&amp;DO$5)</f>
        <v>#N/A Connection</v>
      </c>
      <c r="DP14" s="121"/>
      <c r="DQ14" s="120" t="str">
        <f>_xll.BDP($C14&amp;" Equity","IS_ADJUSTED_EPS_AS_REPORTED", "EQY_FUND_YEAR="&amp;DQ$5)</f>
        <v>#N/A Connection</v>
      </c>
      <c r="DR14" s="121"/>
      <c r="DS14" s="120" t="str">
        <f>_xll.BDP($C14&amp;" Equity","IS_ADJUSTED_EPS_AS_REPORTED", "EQY_FUND_YEAR="&amp;DS$5)</f>
        <v>#N/A Connection</v>
      </c>
      <c r="DT14" s="121"/>
      <c r="DU14" s="120" t="str">
        <f>_xll.BDP($C14&amp;" Equity","IS_ADJUSTED_EPS_AS_REPORTED", "EQY_FUND_YEAR=-0FY")</f>
        <v>#N/A Connection</v>
      </c>
    </row>
    <row r="15" spans="1:125" x14ac:dyDescent="0.75">
      <c r="A15" t="s">
        <v>392</v>
      </c>
      <c r="C15" s="23" t="s">
        <v>419</v>
      </c>
      <c r="E15" s="57" t="str" cm="1">
        <f t="array" ref="E15">_xll.BDP($C15&amp;" Equity","PX_LAST")</f>
        <v>#N/A Connection</v>
      </c>
      <c r="G15" s="114" t="e">
        <f ca="1">E15/BA15</f>
        <v>#VALUE!</v>
      </c>
      <c r="I15" s="115" t="e">
        <f>+E15*BC15</f>
        <v>#VALUE!</v>
      </c>
      <c r="K15" s="115" t="e">
        <f>+I15+BF15+BH15-BJ15</f>
        <v>#VALUE!</v>
      </c>
      <c r="M15" s="116" t="e">
        <f>+K15/BM15</f>
        <v>#VALUE!</v>
      </c>
      <c r="N15" s="23"/>
      <c r="O15" s="114" t="e">
        <f>$M15/BO15-1</f>
        <v>#VALUE!</v>
      </c>
      <c r="P15" s="23"/>
      <c r="Q15" s="114" t="e">
        <f>$M15/BQ15-1</f>
        <v>#VALUE!</v>
      </c>
      <c r="R15" s="23"/>
      <c r="S15" s="116" t="e">
        <f>+E15/BL15</f>
        <v>#VALUE!</v>
      </c>
      <c r="T15" s="23"/>
      <c r="U15" s="114" t="e">
        <f>+$S15/BU15-1</f>
        <v>#VALUE!</v>
      </c>
      <c r="V15" s="23"/>
      <c r="W15" s="114" t="e">
        <f>+$S15/BW15-1</f>
        <v>#VALUE!</v>
      </c>
      <c r="X15" s="23"/>
      <c r="Y15" s="114" t="e">
        <f>(CG15/CC15)^(1/2)-1</f>
        <v>#VALUE!</v>
      </c>
      <c r="AA15" s="114" t="e">
        <f>(CO15/CK15)^(1/2)-1</f>
        <v>#VALUE!</v>
      </c>
      <c r="AC15" s="114" t="e">
        <f>(CW15/CS15)^(1/2)-1</f>
        <v>#VALUE!</v>
      </c>
      <c r="AD15" s="23"/>
      <c r="AE15" s="117" t="str">
        <f t="shared" si="0"/>
        <v/>
      </c>
      <c r="AG15" s="114" t="e">
        <f t="shared" si="5"/>
        <v>#VALUE!</v>
      </c>
      <c r="AI15" s="114" t="str">
        <f t="shared" si="2"/>
        <v/>
      </c>
      <c r="AJ15" s="114"/>
      <c r="AK15" s="118" cm="1">
        <f t="array" ref="AK15">_xll.VAData("NESN_CH", "3QFY-2023", "Volume (Real time internal growth) - Powdered and Liquid Beverages", "Consensus", "CD", "IMPL","","")/100</f>
        <v>1E-3</v>
      </c>
      <c r="AL15" s="118" cm="1">
        <f t="array" ref="AL15">_xll.VAData("NESN_CH", "3QFY-2023", "Price impact - Powdered and Liquid Beverages", "Consensus", "CD", "IMPL","","")/100</f>
        <v>5.309400127716235E-2</v>
      </c>
      <c r="AM15" s="118" cm="1">
        <f t="array" ref="AM15">_xll.VAData("NESN_CH", "FY-2023", "Volume (Real time internal growth) - Powdered and Liquid Beverages", "Consensus", "CD", "IMPL","","")/100</f>
        <v>1.06163358099772E-3</v>
      </c>
      <c r="AN15" s="118" cm="1">
        <f t="array" ref="AN15">_xll.VAData("NESN_CH", "FY-2023", "Price impact - Powdered and Liquid Beverages", "Consensus", "CD", "IMPL","","")/100</f>
        <v>5.1530287865919018E-2</v>
      </c>
      <c r="AO15" s="118" cm="1">
        <f t="array" ref="AO15">_xll.VAData("NESN_CH", "FY-2024", "Volume (Real time internal growth) - Powdered and Liquid Beverages", "Consensus", "CD", "IMPL","","")/100</f>
        <v>2.6200000000000001E-2</v>
      </c>
      <c r="AP15" s="118" cm="1">
        <f t="array" ref="AP15">_xll.VAData("NESN_CH", "FY-2024", "Price impact - Powdered and Liquid Beverages", "Consensus", "CD", "IMPL","","")/100</f>
        <v>1.9372507899999999E-2</v>
      </c>
      <c r="AQ15" s="114" t="s">
        <v>403</v>
      </c>
      <c r="AR15" s="114"/>
      <c r="AS15" s="119" t="str" cm="1">
        <f t="array" ref="AS15">_xll.BDP(C15&amp;" US Equity", "INVENT_TURN")</f>
        <v>#N/A Connection</v>
      </c>
      <c r="AT15" s="114"/>
      <c r="AU15" s="114" t="e">
        <f t="shared" si="6"/>
        <v>#VALUE!</v>
      </c>
      <c r="AV15" s="23"/>
      <c r="AW15" s="116" t="e">
        <f t="shared" si="4"/>
        <v>#VALUE!</v>
      </c>
      <c r="BA15" s="120" t="str">
        <f ca="1">_xll.BDP($C15&amp;" Equity","INTERVAL_HIGH","CALC_INTERVAL=52W","END_DATE_OVERRIDE",TEXT($E$5,"YYYYMMDD"))</f>
        <v>#N/A Connection</v>
      </c>
      <c r="BB15" s="121"/>
      <c r="BC15" s="122" t="str">
        <f>_xll.BDP($C15&amp;" Equity","EQY_SH_OUT")</f>
        <v>#N/A Connection</v>
      </c>
      <c r="BD15" s="122" t="str">
        <f>_xll.BDP($C15&amp;" Equity","BS_SH_OUT")</f>
        <v>#N/A Connection</v>
      </c>
      <c r="BE15" s="121"/>
      <c r="BF15" s="123" t="str">
        <f>_xll.BDP($C15&amp;" Equity","SHORT_AND_LONG_TERM_DEBT", "FUND_PER=Q")</f>
        <v>#N/A Connection</v>
      </c>
      <c r="BG15" s="121"/>
      <c r="BH15" s="123" t="e">
        <f>(_xll.BDP($C15&amp;" Equity","BS_PFD_EQY", "FUND_PER=Q"))+(_xll.BDP($C15&amp;" Equity","MINORITY_NONCONTROLLING_INTEREST", "FUND_PER=Q"))</f>
        <v>#VALUE!</v>
      </c>
      <c r="BI15" s="121"/>
      <c r="BJ15" s="123" t="str">
        <f>_xll.BDP($C15&amp;" Equity","CASH_AND_MARKETABLE_SECURITIES", "FUND_PER=Q")</f>
        <v>#N/A Connection</v>
      </c>
      <c r="BK15" s="121"/>
      <c r="BL15" s="120" t="str">
        <f>_xll.BDP($C15&amp;" Equity","BEST_EPS", "BEST_FPERIOD_OVERRIDE=1TY")</f>
        <v>#N/A Connection</v>
      </c>
      <c r="BM15" s="123" t="str">
        <f>_xll.BDP($C15&amp;" Equity","BEST_EBITDA", "BEST_FPERIOD_OVERRIDE=1TY")</f>
        <v>#N/A Connection</v>
      </c>
      <c r="BN15" s="121"/>
      <c r="BO15" s="124" t="str">
        <f>_xll.BDP($C15&amp;" Equity","INTERVAL_AVG", "MARKET_DATA_OVERRIDE=BEST_CUR_EV_TO_EBITDA", "BEST_FPERIOD_OVERRIDE=1TY ", "CALC_INTERVAL=1Y ")</f>
        <v>#N/A Connection</v>
      </c>
      <c r="BP15" s="121"/>
      <c r="BQ15" s="124" t="str">
        <f>_xll.BDP($C15&amp;" Equity","INTERVAL_AVG", "MARKET_DATA_OVERRIDE=BEST_CUR_EV_TO_EBITDA", "BEST_FPERIOD_OVERRIDE=1TY ", "CALC_INTERVAL=2Y ")</f>
        <v>#N/A Connection</v>
      </c>
      <c r="BR15" s="121"/>
      <c r="BS15" s="124" t="str">
        <f>_xll.BDP($C15&amp;" Equity","INTERVAL_AVG", "MARKET_DATA_OVERRIDE=BEST_CUR_EV_TO_EBITDA", "BEST_FPERIOD_OVERRIDE=1TY ", "CALC_INTERVAL=5Y ")</f>
        <v>#N/A Connection</v>
      </c>
      <c r="BT15" s="121"/>
      <c r="BU15" s="124" t="str">
        <f>_xll.BDP($C15&amp;" Equity","INTERVAL_AVG", "MARKET_DATA_OVERRIDE=BEST_PE_RATIO", "BEST_FPERIOD_OVERRIDE=1TY ", "CALC_INTERVAL=1Y ")</f>
        <v>#N/A Connection</v>
      </c>
      <c r="BV15" s="121"/>
      <c r="BW15" s="124" t="str">
        <f>_xll.BDP($C15&amp;" Equity","INTERVAL_AVG", "MARKET_DATA_OVERRIDE=BEST_PE_RATIO", "BEST_FPERIOD_OVERRIDE=1TY ", "CALC_INTERVAL=2Y ")</f>
        <v>#N/A Connection</v>
      </c>
      <c r="BX15" s="121"/>
      <c r="BY15" s="124" t="str">
        <f>_xll.BDP($C15&amp;" Equity","INTERVAL_AVG", "MARKET_DATA_OVERRIDE=BEST_PE_RATIO", "BEST_FPERIOD_OVERRIDE=1TY ", "CALC_INTERVAL=5Y ")</f>
        <v>#N/A Connection</v>
      </c>
      <c r="BZ15" s="121"/>
      <c r="CA15" s="123" t="str">
        <f>_xll.BDP($C15&amp;" Equity","BEST_SALES", "BEST_FPERIOD_OVERRIDE=20BC")</f>
        <v>#N/A Connection</v>
      </c>
      <c r="CB15" s="121"/>
      <c r="CC15" s="123" t="str">
        <f>_xll.BDP($C15&amp;" Equity","BEST_SALES", "BEST_FPERIOD_OVERRIDE=21BC")</f>
        <v>#N/A Connection</v>
      </c>
      <c r="CD15" s="121"/>
      <c r="CE15" s="123" t="str">
        <f>_xll.BDP($C15&amp;" Equity","BEST_SALES", "BEST_FPERIOD_OVERRIDE=22BC")</f>
        <v>#N/A Connection</v>
      </c>
      <c r="CF15" s="121"/>
      <c r="CG15" s="123" t="str">
        <f>_xll.BDP($C15&amp;" Equity","BEST_SALES", "BEST_FPERIOD_OVERRIDE=23BC")</f>
        <v>#N/A Connection</v>
      </c>
      <c r="CH15" s="121"/>
      <c r="CI15" s="123" t="str">
        <f>_xll.BDP($C15&amp;" Equity","BEST_EBITDA", "BEST_FPERIOD_OVERRIDE=20BC")</f>
        <v>#N/A Connection</v>
      </c>
      <c r="CJ15" s="121"/>
      <c r="CK15" s="123" t="str">
        <f>_xll.BDP($C15&amp;" Equity","BEST_EBITDA", "BEST_FPERIOD_OVERRIDE=21BC")</f>
        <v>#N/A Connection</v>
      </c>
      <c r="CL15" s="121"/>
      <c r="CM15" s="123" t="str">
        <f>_xll.BDP($C15&amp;" Equity","BEST_EBITDA", "BEST_FPERIOD_OVERRIDE=22BC")</f>
        <v>#N/A Connection</v>
      </c>
      <c r="CN15" s="121"/>
      <c r="CO15" s="123" t="str">
        <f>_xll.BDP($C15&amp;" Equity","BEST_EBITDA", "BEST_FPERIOD_OVERRIDE=23BC")</f>
        <v>#N/A Connection</v>
      </c>
      <c r="CP15" s="121"/>
      <c r="CQ15" s="120" t="str">
        <f>_xll.BDP($C15&amp;" Equity","BEST_EPS", "BEST_FPERIOD_OVERRIDE=20BC")</f>
        <v>#N/A Connection</v>
      </c>
      <c r="CR15" s="121"/>
      <c r="CS15" s="120" t="str">
        <f>_xll.BDP($C15&amp;" Equity","BEST_EPS", "BEST_FPERIOD_OVERRIDE=21BC")</f>
        <v>#N/A Connection</v>
      </c>
      <c r="CT15" s="121"/>
      <c r="CU15" s="120" t="str">
        <f>_xll.BDP($C15&amp;" Equity","BEST_EPS", "BEST_FPERIOD_OVERRIDE=22BC")</f>
        <v>#N/A Connection</v>
      </c>
      <c r="CV15" s="121"/>
      <c r="CW15" s="120" t="str">
        <f>_xll.BDP($C15&amp;" Equity","BEST_EPS", "BEST_FPERIOD_OVERRIDE=23BC")</f>
        <v>#N/A Connection</v>
      </c>
      <c r="CY15" s="125" t="e">
        <f>(_xll.BDP($C15&amp;" Equity","ORGANIC_GROWTH", "EQY_FUND_YEAR=2020"))/100</f>
        <v>#VALUE!</v>
      </c>
      <c r="CZ15" s="125"/>
      <c r="DA15" s="125" t="e">
        <f>(_xll.BDP($C15&amp;" Equity","ORGANIC_GROWTH", "EQY_FUND_YEAR=2021"))/100</f>
        <v>#VALUE!</v>
      </c>
      <c r="DB15" s="125"/>
      <c r="DC15" s="125" t="e">
        <f>(_xll.BDP($C15&amp;" Equity","ORGANIC_GROWTH", "EQY_FUND_YEAR=2022"))/100</f>
        <v>#VALUE!</v>
      </c>
      <c r="DD15" s="125"/>
      <c r="DE15" s="125" t="e">
        <f>(_xll.BDP($C15&amp;" Equity","ORGANIC_GROWTH", "EQY_FUND_RELATIVE_PERIOD=-0FY"))/100</f>
        <v>#VALUE!</v>
      </c>
      <c r="DG15" s="120" t="str">
        <f>_xll.BDP($C15&amp;" Equity","IS_ADJ_EBIT_OP_INC_AS_REPORTED", "EQY_FUND_YEAR="&amp;DG$5)</f>
        <v>#N/A Connection</v>
      </c>
      <c r="DH15" s="121"/>
      <c r="DI15" s="120" t="str">
        <f>_xll.BDP($C15&amp;" Equity","IS_ADJ_EBIT_OP_INC_AS_REPORTED", "EQY_FUND_YEAR="&amp;DI$5)</f>
        <v>#N/A Connection</v>
      </c>
      <c r="DJ15" s="121"/>
      <c r="DK15" s="120" t="str">
        <f>_xll.BDP($C15&amp;" Equity","IS_ADJ_EBIT_OP_INC_AS_REPORTED", "EQY_FUND_YEAR="&amp;DK$5)</f>
        <v>#N/A Connection</v>
      </c>
      <c r="DL15" s="121"/>
      <c r="DM15" s="120" t="str">
        <f>_xll.BDP($C15&amp;" Equity","IS_ADJ_EBIT_OP_INC_AS_REPORTED", "EQY_FUND_YEAR=-0FY")</f>
        <v>#N/A Connection</v>
      </c>
      <c r="DO15" s="120" t="str">
        <f>_xll.BDP($C15&amp;" Equity","IS_ADJUSTED_EPS_AS_REPORTED", "EQY_FUND_YEAR="&amp;DO$5)</f>
        <v>#N/A Connection</v>
      </c>
      <c r="DP15" s="121"/>
      <c r="DQ15" s="120" t="str">
        <f>_xll.BDP($C15&amp;" Equity","IS_ADJUSTED_EPS_AS_REPORTED", "EQY_FUND_YEAR="&amp;DQ$5)</f>
        <v>#N/A Connection</v>
      </c>
      <c r="DR15" s="121"/>
      <c r="DS15" s="120" t="str">
        <f>_xll.BDP($C15&amp;" Equity","IS_ADJUSTED_EPS_AS_REPORTED", "EQY_FUND_YEAR="&amp;DS$5)</f>
        <v>#N/A Connection</v>
      </c>
      <c r="DT15" s="121"/>
      <c r="DU15" s="120" t="str">
        <f>_xll.BDP($C15&amp;" Equity","IS_ADJUSTED_EPS_AS_REPORTED", "EQY_FUND_YEAR=-0FY")</f>
        <v>#N/A Connection</v>
      </c>
    </row>
    <row r="16" spans="1:125" x14ac:dyDescent="0.75">
      <c r="C16" s="23"/>
      <c r="E16" s="57"/>
      <c r="G16" s="114"/>
      <c r="I16" s="115"/>
      <c r="K16" s="115"/>
      <c r="M16" s="116"/>
      <c r="N16" s="23"/>
      <c r="O16" s="114"/>
      <c r="P16" s="23"/>
      <c r="Q16" s="114"/>
      <c r="R16" s="23"/>
      <c r="S16" s="116"/>
      <c r="T16" s="23"/>
      <c r="U16" s="114"/>
      <c r="V16" s="23"/>
      <c r="W16" s="114"/>
      <c r="X16" s="23"/>
      <c r="Y16" s="114"/>
      <c r="AA16" s="114"/>
      <c r="AC16" s="114"/>
      <c r="AD16" s="23"/>
      <c r="AE16" s="117"/>
      <c r="AG16" s="114"/>
      <c r="AI16" s="114"/>
      <c r="AJ16" s="114"/>
      <c r="AK16" s="118"/>
      <c r="AL16" s="118"/>
      <c r="AM16" s="118"/>
      <c r="AN16" s="118"/>
      <c r="AO16" s="118"/>
      <c r="AP16" s="118"/>
      <c r="AQ16" s="114"/>
      <c r="AR16" s="114"/>
      <c r="AS16" s="119"/>
      <c r="AT16" s="114"/>
      <c r="AU16" s="114"/>
      <c r="AV16" s="23"/>
      <c r="AW16" s="116"/>
      <c r="BA16" s="120"/>
      <c r="BB16" s="121"/>
      <c r="BC16" s="122"/>
      <c r="BD16" s="122"/>
      <c r="BE16" s="121"/>
      <c r="BF16" s="123"/>
      <c r="BG16" s="121"/>
      <c r="BH16" s="123"/>
      <c r="BI16" s="121"/>
      <c r="BJ16" s="123"/>
      <c r="BK16" s="121"/>
      <c r="BL16" s="120"/>
      <c r="BM16" s="123"/>
      <c r="BN16" s="121"/>
      <c r="BO16" s="124"/>
      <c r="BP16" s="121"/>
      <c r="BQ16" s="124"/>
      <c r="BR16" s="121"/>
      <c r="BS16" s="124"/>
      <c r="BT16" s="121"/>
      <c r="BU16" s="124"/>
      <c r="BV16" s="121"/>
      <c r="BW16" s="124"/>
      <c r="BX16" s="121"/>
      <c r="BY16" s="124"/>
      <c r="BZ16" s="121"/>
      <c r="CA16" s="123"/>
      <c r="CB16" s="121"/>
      <c r="CC16" s="123"/>
      <c r="CD16" s="121"/>
      <c r="CE16" s="123"/>
      <c r="CF16" s="121"/>
      <c r="CG16" s="123"/>
      <c r="CH16" s="121"/>
      <c r="CI16" s="123"/>
      <c r="CJ16" s="121"/>
      <c r="CK16" s="123"/>
      <c r="CL16" s="121"/>
      <c r="CM16" s="123"/>
      <c r="CN16" s="121"/>
      <c r="CO16" s="123"/>
      <c r="CP16" s="121"/>
      <c r="CQ16" s="120"/>
      <c r="CR16" s="121"/>
      <c r="CS16" s="120"/>
      <c r="CT16" s="121"/>
      <c r="CU16" s="120"/>
      <c r="CV16" s="121"/>
      <c r="CW16" s="120"/>
      <c r="CY16" s="125"/>
      <c r="CZ16" s="125"/>
      <c r="DA16" s="125"/>
      <c r="DB16" s="125"/>
      <c r="DC16" s="125"/>
      <c r="DD16" s="125"/>
      <c r="DE16" s="125"/>
      <c r="DG16" s="120"/>
      <c r="DH16" s="121"/>
      <c r="DI16" s="120"/>
      <c r="DJ16" s="121"/>
      <c r="DK16" s="120"/>
      <c r="DL16" s="121"/>
      <c r="DM16" s="120"/>
      <c r="DO16" s="120"/>
      <c r="DP16" s="121"/>
      <c r="DQ16" s="120"/>
      <c r="DR16" s="121"/>
      <c r="DS16" s="120"/>
      <c r="DT16" s="121"/>
      <c r="DU16" s="120"/>
    </row>
    <row r="17" spans="3:125" x14ac:dyDescent="0.75">
      <c r="C17" s="23"/>
      <c r="E17" s="57"/>
      <c r="G17" s="114"/>
      <c r="I17" s="115"/>
      <c r="K17" s="115"/>
      <c r="M17" s="116"/>
      <c r="N17" s="23"/>
      <c r="O17" s="114"/>
      <c r="P17" s="23"/>
      <c r="Q17" s="114"/>
      <c r="R17" s="23"/>
      <c r="S17" s="116"/>
      <c r="T17" s="23"/>
      <c r="U17" s="114"/>
      <c r="V17" s="23"/>
      <c r="W17" s="114"/>
      <c r="X17" s="23"/>
      <c r="Y17" s="114"/>
      <c r="AA17" s="114"/>
      <c r="AC17" s="114"/>
      <c r="AD17" s="23"/>
      <c r="AE17" s="117"/>
      <c r="AG17" s="114"/>
      <c r="AI17" s="114"/>
      <c r="AJ17" s="114"/>
      <c r="AK17" s="118"/>
      <c r="AL17" s="118"/>
      <c r="AM17" s="118"/>
      <c r="AN17" s="118"/>
      <c r="AO17" s="118"/>
      <c r="AP17" s="118"/>
      <c r="AQ17" s="114"/>
      <c r="AR17" s="114"/>
      <c r="AS17" s="119"/>
      <c r="AT17" s="114"/>
      <c r="AU17" s="114"/>
      <c r="AV17" s="23"/>
      <c r="AW17" s="116"/>
      <c r="BA17" s="120"/>
      <c r="BB17" s="121"/>
      <c r="BC17" s="122"/>
      <c r="BD17" s="122"/>
      <c r="BE17" s="121"/>
      <c r="BF17" s="123"/>
      <c r="BG17" s="121"/>
      <c r="BH17" s="123"/>
      <c r="BI17" s="121"/>
      <c r="BJ17" s="123"/>
      <c r="BK17" s="121"/>
      <c r="BL17" s="120"/>
      <c r="BM17" s="123"/>
      <c r="BN17" s="121"/>
      <c r="BO17" s="124"/>
      <c r="BP17" s="121"/>
      <c r="BQ17" s="124"/>
      <c r="BR17" s="121"/>
      <c r="BS17" s="124"/>
      <c r="BT17" s="121"/>
      <c r="BU17" s="124"/>
      <c r="BV17" s="121"/>
      <c r="BW17" s="124"/>
      <c r="BX17" s="121"/>
      <c r="BY17" s="124"/>
      <c r="BZ17" s="121"/>
      <c r="CA17" s="123"/>
      <c r="CB17" s="121"/>
      <c r="CC17" s="123"/>
      <c r="CD17" s="121"/>
      <c r="CE17" s="123"/>
      <c r="CF17" s="121"/>
      <c r="CG17" s="123"/>
      <c r="CH17" s="121"/>
      <c r="CI17" s="123"/>
      <c r="CJ17" s="121"/>
      <c r="CK17" s="123"/>
      <c r="CL17" s="121"/>
      <c r="CM17" s="123"/>
      <c r="CN17" s="121"/>
      <c r="CO17" s="123"/>
      <c r="CP17" s="121"/>
      <c r="CQ17" s="120"/>
      <c r="CR17" s="121"/>
      <c r="CS17" s="120"/>
      <c r="CT17" s="121"/>
      <c r="CU17" s="120"/>
      <c r="CV17" s="121"/>
      <c r="CW17" s="120"/>
      <c r="CY17" s="125"/>
      <c r="CZ17" s="125"/>
      <c r="DA17" s="125"/>
      <c r="DB17" s="125"/>
      <c r="DC17" s="125"/>
      <c r="DD17" s="125"/>
      <c r="DE17" s="125"/>
      <c r="DG17" s="120"/>
      <c r="DH17" s="121"/>
      <c r="DI17" s="120"/>
      <c r="DJ17" s="121"/>
      <c r="DK17" s="120"/>
      <c r="DL17" s="121"/>
      <c r="DM17" s="120"/>
      <c r="DO17" s="120"/>
      <c r="DP17" s="121"/>
      <c r="DQ17" s="120"/>
      <c r="DR17" s="121"/>
      <c r="DS17" s="120"/>
      <c r="DT17" s="121"/>
      <c r="DU17" s="120"/>
    </row>
    <row r="18" spans="3:125" x14ac:dyDescent="0.75">
      <c r="C18" s="23"/>
      <c r="E18" s="57"/>
      <c r="G18" s="114"/>
      <c r="I18" s="115"/>
      <c r="K18" s="115"/>
      <c r="M18" s="116"/>
      <c r="N18" s="23"/>
      <c r="O18" s="114"/>
      <c r="P18" s="23"/>
      <c r="Q18" s="114"/>
      <c r="R18" s="23"/>
      <c r="S18" s="116"/>
      <c r="T18" s="23"/>
      <c r="U18" s="114"/>
      <c r="V18" s="23"/>
      <c r="W18" s="114"/>
      <c r="X18" s="23"/>
      <c r="Y18" s="114"/>
      <c r="AA18" s="114"/>
      <c r="AC18" s="114"/>
      <c r="AD18" s="23"/>
      <c r="AE18" s="117"/>
      <c r="AG18" s="114"/>
      <c r="AI18" s="114"/>
      <c r="AJ18" s="114"/>
      <c r="AK18" s="118"/>
      <c r="AL18" s="118"/>
      <c r="AM18" s="118"/>
      <c r="AN18" s="118"/>
      <c r="AO18" s="118"/>
      <c r="AP18" s="118"/>
      <c r="AQ18" s="114"/>
      <c r="AR18" s="114"/>
      <c r="AS18" s="119"/>
      <c r="AT18" s="114"/>
      <c r="AU18" s="114"/>
      <c r="AV18" s="23"/>
      <c r="AW18" s="116"/>
      <c r="BA18" s="120"/>
      <c r="BB18" s="121"/>
      <c r="BC18" s="122"/>
      <c r="BD18" s="122"/>
      <c r="BE18" s="121"/>
      <c r="BF18" s="123"/>
      <c r="BG18" s="121"/>
      <c r="BH18" s="123"/>
      <c r="BI18" s="121"/>
      <c r="BJ18" s="123"/>
      <c r="BK18" s="121"/>
      <c r="BL18" s="120"/>
      <c r="BM18" s="123"/>
      <c r="BN18" s="121"/>
      <c r="BO18" s="124"/>
      <c r="BP18" s="121"/>
      <c r="BQ18" s="124"/>
      <c r="BR18" s="121"/>
      <c r="BS18" s="124"/>
      <c r="BT18" s="121"/>
      <c r="BU18" s="124"/>
      <c r="BV18" s="121"/>
      <c r="BW18" s="124"/>
      <c r="BX18" s="121"/>
      <c r="BY18" s="124"/>
      <c r="BZ18" s="121"/>
      <c r="CA18" s="123"/>
      <c r="CB18" s="121"/>
      <c r="CC18" s="123"/>
      <c r="CD18" s="121"/>
      <c r="CE18" s="123"/>
      <c r="CF18" s="121"/>
      <c r="CG18" s="123"/>
      <c r="CH18" s="121"/>
      <c r="CI18" s="123"/>
      <c r="CJ18" s="121"/>
      <c r="CK18" s="123"/>
      <c r="CL18" s="121"/>
      <c r="CM18" s="123"/>
      <c r="CN18" s="121"/>
      <c r="CO18" s="123"/>
      <c r="CP18" s="121"/>
      <c r="CQ18" s="120"/>
      <c r="CR18" s="121"/>
      <c r="CS18" s="120"/>
      <c r="CT18" s="121"/>
      <c r="CU18" s="120"/>
      <c r="CV18" s="121"/>
      <c r="CW18" s="120"/>
      <c r="CY18" s="125"/>
      <c r="CZ18" s="125"/>
      <c r="DA18" s="125"/>
      <c r="DB18" s="125"/>
      <c r="DC18" s="125"/>
      <c r="DD18" s="125"/>
      <c r="DE18" s="125"/>
      <c r="DG18" s="120"/>
      <c r="DH18" s="121"/>
      <c r="DI18" s="120"/>
      <c r="DJ18" s="121"/>
      <c r="DK18" s="120"/>
      <c r="DL18" s="121"/>
      <c r="DM18" s="120"/>
      <c r="DO18" s="120"/>
      <c r="DP18" s="121"/>
      <c r="DQ18" s="120"/>
      <c r="DR18" s="121"/>
      <c r="DS18" s="120"/>
      <c r="DT18" s="121"/>
      <c r="DU18" s="120"/>
    </row>
    <row r="19" spans="3:125" ht="15.5" thickBot="1" x14ac:dyDescent="0.9">
      <c r="C19" s="23"/>
      <c r="E19" s="59"/>
      <c r="G19" s="114"/>
      <c r="I19" s="115"/>
      <c r="K19" s="115"/>
      <c r="M19" s="116"/>
      <c r="N19" s="23"/>
      <c r="O19" s="114"/>
      <c r="P19" s="23"/>
      <c r="Q19" s="114"/>
      <c r="R19" s="23"/>
      <c r="S19" s="116"/>
      <c r="T19" s="23"/>
      <c r="U19" s="114"/>
      <c r="V19" s="23"/>
      <c r="W19" s="114"/>
      <c r="X19" s="23"/>
      <c r="AD19" s="23"/>
      <c r="AV19" s="23"/>
      <c r="BA19" s="127"/>
      <c r="BC19" s="128"/>
      <c r="BD19" s="128"/>
      <c r="BF19" s="115"/>
      <c r="BH19" s="115"/>
      <c r="BJ19" s="115"/>
      <c r="BL19" s="127"/>
      <c r="BM19" s="115"/>
      <c r="BO19" s="116"/>
      <c r="BQ19" s="116"/>
      <c r="BS19" s="116"/>
      <c r="BU19" s="116"/>
      <c r="BW19" s="116"/>
      <c r="BY19" s="116"/>
      <c r="CA19" s="115"/>
      <c r="CC19" s="115"/>
      <c r="CE19" s="115"/>
      <c r="CG19" s="115"/>
      <c r="CI19" s="115"/>
      <c r="CK19" s="115"/>
      <c r="CM19" s="115"/>
      <c r="CO19" s="115"/>
      <c r="CQ19" s="127"/>
      <c r="CS19" s="127"/>
      <c r="CU19" s="127"/>
      <c r="CW19" s="127"/>
    </row>
    <row r="20" spans="3:125" x14ac:dyDescent="0.75">
      <c r="C20" s="23"/>
      <c r="E20" s="59"/>
      <c r="G20" s="114"/>
      <c r="I20" s="115"/>
      <c r="K20" s="141" t="s">
        <v>383</v>
      </c>
      <c r="L20" s="142"/>
      <c r="M20" s="143" t="e">
        <f>AVERAGE(M11:M18)</f>
        <v>#VALUE!</v>
      </c>
      <c r="N20" s="144"/>
      <c r="O20" s="145" t="e">
        <f>AVERAGE(O11:O18)</f>
        <v>#VALUE!</v>
      </c>
      <c r="P20" s="144"/>
      <c r="Q20" s="145" t="e">
        <f>AVERAGE(Q11:Q18)</f>
        <v>#VALUE!</v>
      </c>
      <c r="R20" s="144"/>
      <c r="S20" s="143" t="e">
        <f>AVERAGE(S11:S18)</f>
        <v>#VALUE!</v>
      </c>
      <c r="T20" s="144"/>
      <c r="U20" s="145" t="e">
        <f>AVERAGE(U11:U18)</f>
        <v>#VALUE!</v>
      </c>
      <c r="V20" s="144"/>
      <c r="W20" s="145" t="e">
        <f>AVERAGE(W11:W18)</f>
        <v>#VALUE!</v>
      </c>
      <c r="X20" s="144"/>
      <c r="Y20" s="145" t="e">
        <f>AVERAGE(Y11:Y18)</f>
        <v>#VALUE!</v>
      </c>
      <c r="Z20" s="142"/>
      <c r="AA20" s="145" t="e">
        <f>AVERAGE(AA11:AA18)</f>
        <v>#VALUE!</v>
      </c>
      <c r="AB20" s="142"/>
      <c r="AC20" s="145" t="e">
        <f>AVERAGE(AC11:AC18)</f>
        <v>#VALUE!</v>
      </c>
      <c r="AD20" s="144"/>
      <c r="AE20" s="145" t="e">
        <f>AVERAGE(AE11:AE18)</f>
        <v>#DIV/0!</v>
      </c>
      <c r="AF20" s="142"/>
      <c r="AG20" s="145" t="e">
        <f>AVERAGE(AG11:AG18)</f>
        <v>#VALUE!</v>
      </c>
      <c r="AH20" s="142"/>
      <c r="AI20" s="145" t="e">
        <f>AVERAGE(AI11:AI18)</f>
        <v>#DIV/0!</v>
      </c>
      <c r="AJ20" s="145"/>
      <c r="AK20" s="145">
        <f t="shared" ref="AK20:AO20" si="7">AVERAGE(AK11:AK18)</f>
        <v>9.604416811472085E-3</v>
      </c>
      <c r="AL20" s="145">
        <f t="shared" si="7"/>
        <v>5.4020098956731169E-2</v>
      </c>
      <c r="AM20" s="145">
        <f t="shared" si="7"/>
        <v>4.3925306580950216E-3</v>
      </c>
      <c r="AN20" s="145">
        <f t="shared" si="7"/>
        <v>5.8162344689968858E-2</v>
      </c>
      <c r="AO20" s="145">
        <f t="shared" si="7"/>
        <v>1.7772729053513171E-2</v>
      </c>
      <c r="AP20" s="145">
        <f>AVERAGE(AP11:AP18)</f>
        <v>2.0863534213996403E-2</v>
      </c>
      <c r="AQ20" s="145"/>
      <c r="AR20" s="145"/>
      <c r="AS20" s="146" t="e">
        <f>AVERAGE(AS11:AS18)</f>
        <v>#DIV/0!</v>
      </c>
      <c r="AT20" s="145"/>
      <c r="AU20" s="145" t="e">
        <f>AVERAGE(AU11:AU18)</f>
        <v>#VALUE!</v>
      </c>
      <c r="AV20" s="144"/>
      <c r="AW20" s="147" t="e">
        <f>AVERAGE(AW11:AW18)</f>
        <v>#VALUE!</v>
      </c>
      <c r="BA20" s="127"/>
      <c r="BC20" s="128"/>
      <c r="BD20" s="128"/>
      <c r="BF20" s="115"/>
      <c r="BH20" s="115"/>
      <c r="BJ20" s="115"/>
      <c r="BL20" s="127"/>
      <c r="BM20" s="115"/>
      <c r="BO20" s="116"/>
      <c r="BQ20" s="116"/>
      <c r="BS20" s="116"/>
      <c r="BU20" s="116"/>
      <c r="BW20" s="116"/>
      <c r="BY20" s="116"/>
      <c r="CA20" s="115"/>
      <c r="CC20" s="115"/>
      <c r="CE20" s="115"/>
      <c r="CG20" s="115"/>
      <c r="CI20" s="115"/>
      <c r="CK20" s="115"/>
      <c r="CM20" s="115"/>
      <c r="CO20" s="115"/>
      <c r="CQ20" s="127"/>
      <c r="CS20" s="127"/>
      <c r="CU20" s="127"/>
      <c r="CW20" s="127"/>
    </row>
    <row r="21" spans="3:125" ht="15.5" thickBot="1" x14ac:dyDescent="0.9">
      <c r="K21" s="148" t="s">
        <v>384</v>
      </c>
      <c r="L21" s="149"/>
      <c r="M21" s="150" t="e">
        <f>MEDIAN(M11:M18)</f>
        <v>#VALUE!</v>
      </c>
      <c r="N21" s="151"/>
      <c r="O21" s="152" t="e">
        <f>MEDIAN(O11:O18)</f>
        <v>#VALUE!</v>
      </c>
      <c r="P21" s="151"/>
      <c r="Q21" s="152" t="e">
        <f>MEDIAN(Q11:Q18)</f>
        <v>#VALUE!</v>
      </c>
      <c r="R21" s="151"/>
      <c r="S21" s="150" t="e">
        <f>MEDIAN(S11:S18)</f>
        <v>#VALUE!</v>
      </c>
      <c r="T21" s="151"/>
      <c r="U21" s="152" t="e">
        <f>MEDIAN(U11:U18)</f>
        <v>#VALUE!</v>
      </c>
      <c r="V21" s="151"/>
      <c r="W21" s="152" t="e">
        <f>MEDIAN(W11:W18)</f>
        <v>#VALUE!</v>
      </c>
      <c r="X21" s="151"/>
      <c r="Y21" s="152" t="e">
        <f>MEDIAN(Y11:Y18)</f>
        <v>#VALUE!</v>
      </c>
      <c r="Z21" s="149"/>
      <c r="AA21" s="152" t="e">
        <f>MEDIAN(AA11:AA18)</f>
        <v>#VALUE!</v>
      </c>
      <c r="AB21" s="149"/>
      <c r="AC21" s="152" t="e">
        <f>MEDIAN(AC11:AC18)</f>
        <v>#VALUE!</v>
      </c>
      <c r="AD21" s="151"/>
      <c r="AE21" s="152" t="e">
        <f>MEDIAN(AE11:AE18)</f>
        <v>#NUM!</v>
      </c>
      <c r="AF21" s="149"/>
      <c r="AG21" s="152" t="e">
        <f>MEDIAN(AG11:AG18)</f>
        <v>#VALUE!</v>
      </c>
      <c r="AH21" s="149"/>
      <c r="AI21" s="152" t="e">
        <f>MEDIAN(AI11:AI18)</f>
        <v>#NUM!</v>
      </c>
      <c r="AJ21" s="152"/>
      <c r="AK21" s="152">
        <f t="shared" ref="AK21:AP21" si="8">MEDIAN(AK11:AK18)</f>
        <v>6.2655905508669195E-3</v>
      </c>
      <c r="AL21" s="152">
        <f t="shared" si="8"/>
        <v>4.7500000000000001E-2</v>
      </c>
      <c r="AM21" s="152">
        <f t="shared" si="8"/>
        <v>1.06163358099772E-3</v>
      </c>
      <c r="AN21" s="152">
        <f t="shared" si="8"/>
        <v>5.9716953535953375E-2</v>
      </c>
      <c r="AO21" s="152">
        <f t="shared" si="8"/>
        <v>1.604026304285714E-2</v>
      </c>
      <c r="AP21" s="152">
        <f t="shared" si="8"/>
        <v>2.5796344806891729E-2</v>
      </c>
      <c r="AQ21" s="152"/>
      <c r="AR21" s="152"/>
      <c r="AS21" s="153" t="e">
        <f>MEDIAN(AS11:AS18)</f>
        <v>#NUM!</v>
      </c>
      <c r="AT21" s="152"/>
      <c r="AU21" s="152" t="e">
        <f>MEDIAN(AU11:AU18)</f>
        <v>#VALUE!</v>
      </c>
      <c r="AV21" s="151"/>
      <c r="AW21" s="154" t="e">
        <f>MEDIAN(AW11:AW18)</f>
        <v>#VALUE!</v>
      </c>
    </row>
    <row r="22" spans="3:125" ht="15.5" thickBot="1" x14ac:dyDescent="0.9"/>
    <row r="23" spans="3:125" x14ac:dyDescent="0.75">
      <c r="K23" s="129" t="s">
        <v>404</v>
      </c>
      <c r="L23" s="130"/>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1">
        <f t="shared" ref="AK23:AP23" si="9">AK7-AK$20</f>
        <v>-1.6172227406801774E-2</v>
      </c>
      <c r="AL23" s="131">
        <f t="shared" si="9"/>
        <v>-1.1993563896204665E-2</v>
      </c>
      <c r="AM23" s="131">
        <f t="shared" si="9"/>
        <v>-1.1773840357467851E-2</v>
      </c>
      <c r="AN23" s="131">
        <f t="shared" si="9"/>
        <v>5.0125371124523296E-3</v>
      </c>
      <c r="AO23" s="131">
        <f t="shared" si="9"/>
        <v>1.9354980785990794E-3</v>
      </c>
      <c r="AP23" s="132">
        <f t="shared" si="9"/>
        <v>6.2712891233327774E-3</v>
      </c>
    </row>
    <row r="24" spans="3:125" x14ac:dyDescent="0.75">
      <c r="K24" s="133" t="s">
        <v>405</v>
      </c>
      <c r="L24" s="134"/>
      <c r="M24" s="134"/>
      <c r="N24" s="134"/>
      <c r="O24" s="134"/>
      <c r="P24" s="134"/>
      <c r="Q24" s="134"/>
      <c r="R24" s="134"/>
      <c r="S24" s="134"/>
      <c r="T24" s="134"/>
      <c r="U24" s="134"/>
      <c r="V24" s="134"/>
      <c r="W24" s="134"/>
      <c r="X24" s="134"/>
      <c r="Y24" s="134"/>
      <c r="Z24" s="134"/>
      <c r="AA24" s="134"/>
      <c r="AB24" s="134"/>
      <c r="AC24" s="134"/>
      <c r="AD24" s="134"/>
      <c r="AE24" s="134"/>
      <c r="AF24" s="134"/>
      <c r="AG24" s="134"/>
      <c r="AH24" s="134"/>
      <c r="AI24" s="134"/>
      <c r="AJ24" s="134"/>
      <c r="AK24" s="135">
        <f t="shared" ref="AK24:AP25" si="10">AK8-AK$20</f>
        <v>-1.1604416811472085E-2</v>
      </c>
      <c r="AL24" s="135">
        <f t="shared" si="10"/>
        <v>-2.0098956731162687E-5</v>
      </c>
      <c r="AM24" s="135">
        <f t="shared" si="10"/>
        <v>-1.6338733605791413E-3</v>
      </c>
      <c r="AN24" s="135">
        <f t="shared" si="10"/>
        <v>2.3922202882175066E-2</v>
      </c>
      <c r="AO24" s="135">
        <f t="shared" si="10"/>
        <v>-1.4247029188791602E-3</v>
      </c>
      <c r="AP24" s="136">
        <f t="shared" si="10"/>
        <v>7.2818489251933877E-3</v>
      </c>
    </row>
    <row r="25" spans="3:125" ht="15.5" thickBot="1" x14ac:dyDescent="0.9">
      <c r="K25" s="137" t="s">
        <v>406</v>
      </c>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9">
        <f t="shared" si="10"/>
        <v>-3.6848423841472092E-2</v>
      </c>
      <c r="AL25" s="139">
        <f t="shared" si="10"/>
        <v>-3.4520098956731166E-2</v>
      </c>
      <c r="AM25" s="139">
        <f t="shared" si="10"/>
        <v>-4.5951982114959662E-2</v>
      </c>
      <c r="AN25" s="139">
        <f t="shared" si="10"/>
        <v>-2.748478705940359E-2</v>
      </c>
      <c r="AO25" s="139">
        <f t="shared" si="10"/>
        <v>4.4965925175183726E-3</v>
      </c>
      <c r="AP25" s="140">
        <f t="shared" si="10"/>
        <v>-1.7407967544157549E-3</v>
      </c>
    </row>
  </sheetData>
  <mergeCells count="6">
    <mergeCell ref="CY4:DE4"/>
    <mergeCell ref="AK3:AQ3"/>
    <mergeCell ref="AE4:AI4"/>
    <mergeCell ref="AK4:AL4"/>
    <mergeCell ref="AM4:AN4"/>
    <mergeCell ref="AO4:AP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4EAF3-6645-4F92-84DF-CF8F66647E5B}">
  <dimension ref="B1:Y11"/>
  <sheetViews>
    <sheetView zoomScale="70" zoomScaleNormal="70" workbookViewId="0">
      <selection activeCell="M36" sqref="M36"/>
    </sheetView>
  </sheetViews>
  <sheetFormatPr defaultRowHeight="14.75" x14ac:dyDescent="0.75"/>
  <cols>
    <col min="2" max="2" width="6.6328125" customWidth="1"/>
    <col min="3" max="3" width="41.6328125" customWidth="1"/>
    <col min="4" max="25" width="10.1796875" customWidth="1"/>
  </cols>
  <sheetData>
    <row r="1" spans="2:25" x14ac:dyDescent="0.75">
      <c r="B1" t="s">
        <v>298</v>
      </c>
    </row>
    <row r="3" spans="2:25" x14ac:dyDescent="0.75">
      <c r="B3" t="s">
        <v>294</v>
      </c>
      <c r="D3" t="s">
        <v>55</v>
      </c>
      <c r="E3" t="s">
        <v>54</v>
      </c>
      <c r="F3" t="s">
        <v>53</v>
      </c>
      <c r="G3" t="s">
        <v>52</v>
      </c>
      <c r="H3" t="s">
        <v>50</v>
      </c>
      <c r="I3" t="s">
        <v>49</v>
      </c>
      <c r="J3" t="s">
        <v>48</v>
      </c>
      <c r="K3" t="s">
        <v>47</v>
      </c>
      <c r="L3" t="s">
        <v>45</v>
      </c>
      <c r="M3" t="s">
        <v>44</v>
      </c>
      <c r="N3" t="s">
        <v>43</v>
      </c>
      <c r="O3" t="s">
        <v>42</v>
      </c>
      <c r="P3" t="s">
        <v>35</v>
      </c>
      <c r="Q3" t="s">
        <v>34</v>
      </c>
      <c r="R3" t="s">
        <v>33</v>
      </c>
      <c r="S3" t="s">
        <v>32</v>
      </c>
      <c r="T3" t="s">
        <v>36</v>
      </c>
      <c r="U3" t="s">
        <v>37</v>
      </c>
      <c r="V3" t="s">
        <v>38</v>
      </c>
      <c r="W3" t="s">
        <v>39</v>
      </c>
      <c r="X3" t="s">
        <v>40</v>
      </c>
      <c r="Y3" t="s">
        <v>41</v>
      </c>
    </row>
    <row r="4" spans="2:25" x14ac:dyDescent="0.75">
      <c r="B4" t="s">
        <v>295</v>
      </c>
    </row>
    <row r="5" spans="2:25" x14ac:dyDescent="0.75">
      <c r="C5" t="str">
        <f>Tower!C26</f>
        <v>K-Cup Pods, Revenue</v>
      </c>
      <c r="D5" s="15" cm="1">
        <f t="array" ref="D5">INDEX(Tower!$D$8:$AL$164, _xlfn.XMATCH($C5,Tower!$C$8:$C$164), _xlfn.XMATCH(Figures!D$3,Tower!$D$3:$AL$3))</f>
        <v>794</v>
      </c>
      <c r="E5" s="15" cm="1">
        <f t="array" ref="E5">INDEX(Tower!$D$8:$AL$164, _xlfn.XMATCH($C5,Tower!$C$8:$C$164), _xlfn.XMATCH(Figures!E$3,Tower!$D$3:$AL$3))</f>
        <v>763</v>
      </c>
      <c r="F5" s="15" cm="1">
        <f t="array" ref="F5">INDEX(Tower!$D$8:$AL$164, _xlfn.XMATCH($C5,Tower!$C$8:$C$164), _xlfn.XMATCH(Figures!F$3,Tower!$D$3:$AL$3))</f>
        <v>831</v>
      </c>
      <c r="G5" s="15" cm="1">
        <f t="array" ref="G5">INDEX(Tower!$D$8:$AL$164, _xlfn.XMATCH($C5,Tower!$C$8:$C$164), _xlfn.XMATCH(Figures!G$3,Tower!$D$3:$AL$3))</f>
        <v>861</v>
      </c>
      <c r="H5" s="15" cm="1">
        <f t="array" ref="H5">INDEX(Tower!$D$8:$AL$164, _xlfn.XMATCH($C5,Tower!$C$8:$C$164), _xlfn.XMATCH(Figures!H$3,Tower!$D$3:$AL$3))</f>
        <v>793</v>
      </c>
      <c r="I5" s="15" cm="1">
        <f t="array" ref="I5">INDEX(Tower!$D$8:$AL$164, _xlfn.XMATCH($C5,Tower!$C$8:$C$164), _xlfn.XMATCH(Figures!I$3,Tower!$D$3:$AL$3))</f>
        <v>783</v>
      </c>
      <c r="J5" s="15" cm="1">
        <f t="array" ref="J5">INDEX(Tower!$D$8:$AL$164, _xlfn.XMATCH($C5,Tower!$C$8:$C$164), _xlfn.XMATCH(Figures!J$3,Tower!$D$3:$AL$3))</f>
        <v>824</v>
      </c>
      <c r="K5" s="15" cm="1">
        <f t="array" ref="K5">INDEX(Tower!$D$8:$AL$164, _xlfn.XMATCH($C5,Tower!$C$8:$C$164), _xlfn.XMATCH(Figures!K$3,Tower!$D$3:$AL$3))</f>
        <v>893</v>
      </c>
      <c r="L5" s="15" cm="1">
        <f t="array" ref="L5">INDEX(Tower!$D$8:$AL$164, _xlfn.XMATCH($C5,Tower!$C$8:$C$164), _xlfn.XMATCH(Figures!L$3,Tower!$D$3:$AL$3))</f>
        <v>791</v>
      </c>
      <c r="M5" s="15" cm="1">
        <f t="array" ref="M5">INDEX(Tower!$D$8:$AL$164, _xlfn.XMATCH($C5,Tower!$C$8:$C$164), _xlfn.XMATCH(Figures!M$3,Tower!$D$3:$AL$3))</f>
        <v>830</v>
      </c>
      <c r="N5" s="15" cm="1">
        <f t="array" ref="N5">INDEX(Tower!$D$8:$AL$164, _xlfn.XMATCH($C5,Tower!$C$8:$C$164), _xlfn.XMATCH(Figures!N$3,Tower!$D$3:$AL$3))</f>
        <v>812</v>
      </c>
      <c r="O5" s="15" cm="1">
        <f t="array" ref="O5">INDEX(Tower!$D$8:$AL$164, _xlfn.XMATCH($C5,Tower!$C$8:$C$164), _xlfn.XMATCH(Figures!O$3,Tower!$D$3:$AL$3))</f>
        <v>936</v>
      </c>
      <c r="P5" s="15" cm="1">
        <f t="array" ref="P5">INDEX(Tower!$D$8:$AL$164, _xlfn.XMATCH($C5,Tower!$C$8:$C$164), _xlfn.XMATCH(Figures!P$3,Tower!$D$3:$AL$3))</f>
        <v>903</v>
      </c>
      <c r="Q5" s="15" cm="1">
        <f t="array" ref="Q5">INDEX(Tower!$D$8:$AL$164, _xlfn.XMATCH($C5,Tower!$C$8:$C$164), _xlfn.XMATCH(Figures!Q$3,Tower!$D$3:$AL$3))</f>
        <v>831</v>
      </c>
      <c r="R5" s="15" cm="1">
        <f t="array" ref="R5">INDEX(Tower!$D$8:$AL$164, _xlfn.XMATCH($C5,Tower!$C$8:$C$164), _xlfn.XMATCH(Figures!R$3,Tower!$D$3:$AL$3))</f>
        <v>848</v>
      </c>
      <c r="S5" s="15" cm="1">
        <f t="array" ref="S5">INDEX(Tower!$D$8:$AL$164, _xlfn.XMATCH($C5,Tower!$C$8:$C$164), _xlfn.XMATCH(Figures!S$3,Tower!$D$3:$AL$3))</f>
        <v>964</v>
      </c>
      <c r="T5" s="15" cm="1">
        <f t="array" ref="T5">INDEX(Tower!$D$8:$AL$164, _xlfn.XMATCH($C5,Tower!$C$8:$C$164), _xlfn.XMATCH(Figures!T$3,Tower!$D$3:$AL$3))</f>
        <v>749</v>
      </c>
      <c r="U5" s="15" cm="1">
        <f t="array" ref="U5">INDEX(Tower!$D$8:$AL$164, _xlfn.XMATCH($C5,Tower!$C$8:$C$164), _xlfn.XMATCH(Figures!U$3,Tower!$D$3:$AL$3))</f>
        <v>798</v>
      </c>
      <c r="V5" s="15" cm="1">
        <f t="array" ref="V5">INDEX(Tower!$D$8:$AL$164, _xlfn.XMATCH($C5,Tower!$C$8:$C$164), _xlfn.XMATCH(Figures!V$3,Tower!$D$3:$AL$3))</f>
        <v>913</v>
      </c>
      <c r="W5" s="15" cm="1">
        <f t="array" ref="W5">INDEX(Tower!$D$8:$AL$164, _xlfn.XMATCH($C5,Tower!$C$8:$C$164), _xlfn.XMATCH(Figures!W$3,Tower!$D$3:$AL$3))</f>
        <v>1097</v>
      </c>
      <c r="X5" s="15" cm="1">
        <f t="array" ref="X5">INDEX(Tower!$D$8:$AL$164, _xlfn.XMATCH($C5,Tower!$C$8:$C$164), _xlfn.XMATCH(Figures!X$3,Tower!$D$3:$AL$3))</f>
        <v>771</v>
      </c>
      <c r="Y5" s="15" cm="1">
        <f t="array" ref="Y5">INDEX(Tower!$D$8:$AL$164, _xlfn.XMATCH($C5,Tower!$C$8:$C$164), _xlfn.XMATCH(Figures!Y$3,Tower!$D$3:$AL$3))</f>
        <v>761</v>
      </c>
    </row>
    <row r="6" spans="2:25" x14ac:dyDescent="0.75">
      <c r="C6" s="59" t="str">
        <f>Tower!C55</f>
        <v>K-Cup Pods, Volume</v>
      </c>
      <c r="D6" s="15" cm="1">
        <f t="array" ref="D6">INDEX(Tower!$D$8:$AL$164, _xlfn.XMATCH($C6,Tower!$C$8:$C$164), _xlfn.XMATCH(Figures!D$3,Tower!$D$3:$AL$3))</f>
        <v>1231.0077519379845</v>
      </c>
      <c r="E6" s="15" cm="1">
        <f t="array" ref="E6">INDEX(Tower!$D$8:$AL$164, _xlfn.XMATCH($C6,Tower!$C$8:$C$164), _xlfn.XMATCH(Figures!E$3,Tower!$D$3:$AL$3))</f>
        <v>1192.1875</v>
      </c>
      <c r="F6" s="15" cm="1">
        <f t="array" ref="F6">INDEX(Tower!$D$8:$AL$164, _xlfn.XMATCH($C6,Tower!$C$8:$C$164), _xlfn.XMATCH(Figures!F$3,Tower!$D$3:$AL$3))</f>
        <v>1308.6614173228347</v>
      </c>
      <c r="G6" s="15" cm="1">
        <f t="array" ref="G6">INDEX(Tower!$D$8:$AL$164, _xlfn.XMATCH($C6,Tower!$C$8:$C$164), _xlfn.XMATCH(Figures!G$3,Tower!$D$3:$AL$3))</f>
        <v>1366.6666666666667</v>
      </c>
      <c r="H6" s="15" cm="1">
        <f t="array" ref="H6">INDEX(Tower!$D$8:$AL$164, _xlfn.XMATCH($C6,Tower!$C$8:$C$164), _xlfn.XMATCH(Figures!H$3,Tower!$D$3:$AL$3))</f>
        <v>1289.4308943089432</v>
      </c>
      <c r="I6" s="15" cm="1">
        <f t="array" ref="I6">INDEX(Tower!$D$8:$AL$164, _xlfn.XMATCH($C6,Tower!$C$8:$C$164), _xlfn.XMATCH(Figures!I$3,Tower!$D$3:$AL$3))</f>
        <v>1283.6065573770493</v>
      </c>
      <c r="J6" s="15" cm="1">
        <f t="array" ref="J6">INDEX(Tower!$D$8:$AL$164, _xlfn.XMATCH($C6,Tower!$C$8:$C$164), _xlfn.XMATCH(Figures!J$3,Tower!$D$3:$AL$3))</f>
        <v>1361.9834710743803</v>
      </c>
      <c r="K6" s="15" cm="1">
        <f t="array" ref="K6">INDEX(Tower!$D$8:$AL$164, _xlfn.XMATCH($C6,Tower!$C$8:$C$164), _xlfn.XMATCH(Figures!K$3,Tower!$D$3:$AL$3))</f>
        <v>1488.3333333333335</v>
      </c>
      <c r="L6" s="15" cm="1">
        <f t="array" ref="L6">INDEX(Tower!$D$8:$AL$164, _xlfn.XMATCH($C6,Tower!$C$8:$C$164), _xlfn.XMATCH(Figures!L$3,Tower!$D$3:$AL$3))</f>
        <v>1329.4117647058824</v>
      </c>
      <c r="M6" s="15" cm="1">
        <f t="array" ref="M6">INDEX(Tower!$D$8:$AL$164, _xlfn.XMATCH($C6,Tower!$C$8:$C$164), _xlfn.XMATCH(Figures!M$3,Tower!$D$3:$AL$3))</f>
        <v>1406.7796610169491</v>
      </c>
      <c r="N6" s="15" cm="1">
        <f t="array" ref="N6">INDEX(Tower!$D$8:$AL$164, _xlfn.XMATCH($C6,Tower!$C$8:$C$164), _xlfn.XMATCH(Figures!N$3,Tower!$D$3:$AL$3))</f>
        <v>1388.0341880341882</v>
      </c>
      <c r="O6" s="15" cm="1">
        <f t="array" ref="O6">INDEX(Tower!$D$8:$AL$164, _xlfn.XMATCH($C6,Tower!$C$8:$C$164), _xlfn.XMATCH(Figures!O$3,Tower!$D$3:$AL$3))</f>
        <v>1613.793103448276</v>
      </c>
      <c r="P6" s="15" cm="1">
        <f t="array" ref="P6">INDEX(Tower!$D$8:$AL$164, _xlfn.XMATCH($C6,Tower!$C$8:$C$164), _xlfn.XMATCH(Figures!P$3,Tower!$D$3:$AL$3))</f>
        <v>1570.4347826086957</v>
      </c>
      <c r="Q6" s="15" cm="1">
        <f t="array" ref="Q6">INDEX(Tower!$D$8:$AL$164, _xlfn.XMATCH($C6,Tower!$C$8:$C$164), _xlfn.XMATCH(Figures!Q$3,Tower!$D$3:$AL$3))</f>
        <v>1457.8947368421054</v>
      </c>
      <c r="R6" s="15" cm="1">
        <f t="array" ref="R6">INDEX(Tower!$D$8:$AL$164, _xlfn.XMATCH($C6,Tower!$C$8:$C$164), _xlfn.XMATCH(Figures!R$3,Tower!$D$3:$AL$3))</f>
        <v>1500.8849557522126</v>
      </c>
      <c r="S6" s="15" cm="1">
        <f t="array" ref="S6">INDEX(Tower!$D$8:$AL$164, _xlfn.XMATCH($C6,Tower!$C$8:$C$164), _xlfn.XMATCH(Figures!S$3,Tower!$D$3:$AL$3))</f>
        <v>1721.4285714285713</v>
      </c>
      <c r="T6" s="15" cm="1">
        <f t="array" ref="T6">INDEX(Tower!$D$8:$AL$164, _xlfn.XMATCH($C6,Tower!$C$8:$C$164), _xlfn.XMATCH(Figures!T$3,Tower!$D$3:$AL$3))</f>
        <v>1349.5495495495495</v>
      </c>
      <c r="U6" s="15" cm="1">
        <f t="array" ref="U6">INDEX(Tower!$D$8:$AL$164, _xlfn.XMATCH($C6,Tower!$C$8:$C$164), _xlfn.XMATCH(Figures!U$3,Tower!$D$3:$AL$3))</f>
        <v>1450.9090909090908</v>
      </c>
      <c r="V6" s="15" cm="1">
        <f t="array" ref="V6">INDEX(Tower!$D$8:$AL$164, _xlfn.XMATCH($C6,Tower!$C$8:$C$164), _xlfn.XMATCH(Figures!V$3,Tower!$D$3:$AL$3))</f>
        <v>1675.229357798165</v>
      </c>
      <c r="W6" s="15" cm="1">
        <f t="array" ref="W6">INDEX(Tower!$D$8:$AL$164, _xlfn.XMATCH($C6,Tower!$C$8:$C$164), _xlfn.XMATCH(Figures!W$3,Tower!$D$3:$AL$3))</f>
        <v>2031.4814814814813</v>
      </c>
      <c r="X6" s="15" cm="1">
        <f t="array" ref="X6">INDEX(Tower!$D$8:$AL$164, _xlfn.XMATCH($C6,Tower!$C$8:$C$164), _xlfn.XMATCH(Figures!X$3,Tower!$D$3:$AL$3))</f>
        <v>1441.1214953271028</v>
      </c>
      <c r="Y6" s="15" cm="1">
        <f t="array" ref="Y6">INDEX(Tower!$D$8:$AL$164, _xlfn.XMATCH($C6,Tower!$C$8:$C$164), _xlfn.XMATCH(Figures!Y$3,Tower!$D$3:$AL$3))</f>
        <v>1435.8490566037735</v>
      </c>
    </row>
    <row r="8" spans="2:25" x14ac:dyDescent="0.75">
      <c r="C8" s="15" t="str">
        <f>Tower!C46</f>
        <v>K-Cup Pods, 1yr, revenue growth</v>
      </c>
      <c r="D8" s="19"/>
      <c r="E8" s="19"/>
      <c r="F8" s="19"/>
      <c r="G8" s="19"/>
      <c r="H8" s="19"/>
      <c r="I8" s="19"/>
      <c r="J8" s="19"/>
      <c r="K8" s="19"/>
      <c r="L8" s="19" cm="1">
        <f t="array" ref="L8">INDEX(Tower!$D$8:$AL$164, _xlfn.XMATCH($C8,Tower!$C$8:$C$164), _xlfn.XMATCH(Figures!L$3,Tower!$D$3:$AL$3))</f>
        <v>-2.5220680958385477E-3</v>
      </c>
      <c r="M8" s="19" cm="1">
        <f t="array" ref="M8">INDEX(Tower!$D$8:$AL$164, _xlfn.XMATCH($C8,Tower!$C$8:$C$164), _xlfn.XMATCH(Figures!M$3,Tower!$D$3:$AL$3))</f>
        <v>6.0025542784163388E-2</v>
      </c>
      <c r="N8" s="19" cm="1">
        <f t="array" ref="N8">INDEX(Tower!$D$8:$AL$164, _xlfn.XMATCH($C8,Tower!$C$8:$C$164), _xlfn.XMATCH(Figures!N$3,Tower!$D$3:$AL$3))</f>
        <v>-1.4563106796116498E-2</v>
      </c>
      <c r="O8" s="19" cm="1">
        <f t="array" ref="O8">INDEX(Tower!$D$8:$AL$164, _xlfn.XMATCH($C8,Tower!$C$8:$C$164), _xlfn.XMATCH(Figures!O$3,Tower!$D$3:$AL$3))</f>
        <v>4.8152295632698738E-2</v>
      </c>
      <c r="P8" s="19" cm="1">
        <f t="array" ref="P8">INDEX(Tower!$D$8:$AL$164, _xlfn.XMATCH($C8,Tower!$C$8:$C$164), _xlfn.XMATCH(Figures!P$3,Tower!$D$3:$AL$3))</f>
        <v>0.1415929203539823</v>
      </c>
      <c r="Q8" s="19" cm="1">
        <f t="array" ref="Q8">INDEX(Tower!$D$8:$AL$164, _xlfn.XMATCH($C8,Tower!$C$8:$C$164), _xlfn.XMATCH(Figures!Q$3,Tower!$D$3:$AL$3))</f>
        <v>1.2048192771083599E-3</v>
      </c>
      <c r="R8" s="19" cm="1">
        <f t="array" ref="R8">INDEX(Tower!$D$8:$AL$164, _xlfn.XMATCH($C8,Tower!$C$8:$C$164), _xlfn.XMATCH(Figures!R$3,Tower!$D$3:$AL$3))</f>
        <v>4.4334975369458185E-2</v>
      </c>
      <c r="S8" s="19" cm="1">
        <f t="array" ref="S8">INDEX(Tower!$D$8:$AL$164, _xlfn.XMATCH($C8,Tower!$C$8:$C$164), _xlfn.XMATCH(Figures!S$3,Tower!$D$3:$AL$3))</f>
        <v>2.9914529914529808E-2</v>
      </c>
      <c r="T8" s="19" cm="1">
        <f t="array" ref="T8">INDEX(Tower!$D$8:$AL$164, _xlfn.XMATCH($C8,Tower!$C$8:$C$164), _xlfn.XMATCH(Figures!T$3,Tower!$D$3:$AL$3))</f>
        <v>-5.3156146179402008E-2</v>
      </c>
      <c r="U8" s="19" cm="1">
        <f t="array" ref="U8">INDEX(Tower!$D$8:$AL$164, _xlfn.XMATCH($C8,Tower!$C$8:$C$164), _xlfn.XMATCH(Figures!U$3,Tower!$D$3:$AL$3))</f>
        <v>9.1456077015643844E-2</v>
      </c>
      <c r="V8" s="19" cm="1">
        <f t="array" ref="V8">INDEX(Tower!$D$8:$AL$164, _xlfn.XMATCH($C8,Tower!$C$8:$C$164), _xlfn.XMATCH(Figures!V$3,Tower!$D$3:$AL$3))</f>
        <v>7.6650943396226356E-2</v>
      </c>
      <c r="W8" s="19" cm="1">
        <f t="array" ref="W8">INDEX(Tower!$D$8:$AL$164, _xlfn.XMATCH($C8,Tower!$C$8:$C$164), _xlfn.XMATCH(Figures!W$3,Tower!$D$3:$AL$3))</f>
        <v>0.13796680497925307</v>
      </c>
      <c r="X8" s="19" cm="1">
        <f t="array" ref="X8">INDEX(Tower!$D$8:$AL$164, _xlfn.XMATCH($C8,Tower!$C$8:$C$164), _xlfn.XMATCH(Figures!X$3,Tower!$D$3:$AL$3))</f>
        <v>3.8596491228070073E-2</v>
      </c>
      <c r="Y8" s="19" cm="1">
        <f t="array" ref="Y8">INDEX(Tower!$D$8:$AL$164, _xlfn.XMATCH($C8,Tower!$C$8:$C$164), _xlfn.XMATCH(Figures!Y$3,Tower!$D$3:$AL$3))</f>
        <v>-4.1896361631753032E-2</v>
      </c>
    </row>
    <row r="9" spans="2:25" x14ac:dyDescent="0.75">
      <c r="C9" s="15" t="str">
        <f>Tower!C47</f>
        <v>Appliances, 1yr, revenue growth</v>
      </c>
      <c r="D9" s="19"/>
      <c r="E9" s="19"/>
      <c r="F9" s="19"/>
      <c r="G9" s="19"/>
      <c r="H9" s="19"/>
      <c r="I9" s="19"/>
      <c r="J9" s="19"/>
      <c r="K9" s="19"/>
      <c r="L9" s="19" cm="1">
        <f t="array" ref="L9">INDEX(Tower!$D$8:$AL$164, _xlfn.XMATCH($C9,Tower!$C$8:$C$164), _xlfn.XMATCH(Figures!L$3,Tower!$D$3:$AL$3))</f>
        <v>3.2520325203251987E-2</v>
      </c>
      <c r="M9" s="19" cm="1">
        <f t="array" ref="M9">INDEX(Tower!$D$8:$AL$164, _xlfn.XMATCH($C9,Tower!$C$8:$C$164), _xlfn.XMATCH(Figures!M$3,Tower!$D$3:$AL$3))</f>
        <v>0.12337662337662336</v>
      </c>
      <c r="N9" s="19" cm="1">
        <f t="array" ref="N9">INDEX(Tower!$D$8:$AL$164, _xlfn.XMATCH($C9,Tower!$C$8:$C$164), _xlfn.XMATCH(Figures!N$3,Tower!$D$3:$AL$3))</f>
        <v>0.22994652406417115</v>
      </c>
      <c r="O9" s="19" cm="1">
        <f t="array" ref="O9">INDEX(Tower!$D$8:$AL$164, _xlfn.XMATCH($C9,Tower!$C$8:$C$164), _xlfn.XMATCH(Figures!O$3,Tower!$D$3:$AL$3))</f>
        <v>0.23552123552123549</v>
      </c>
      <c r="P9" s="19" cm="1">
        <f t="array" ref="P9">INDEX(Tower!$D$8:$AL$164, _xlfn.XMATCH($C9,Tower!$C$8:$C$164), _xlfn.XMATCH(Figures!P$3,Tower!$D$3:$AL$3))</f>
        <v>0.37007874015748032</v>
      </c>
      <c r="Q9" s="19" cm="1">
        <f t="array" ref="Q9">INDEX(Tower!$D$8:$AL$164, _xlfn.XMATCH($C9,Tower!$C$8:$C$164), _xlfn.XMATCH(Figures!Q$3,Tower!$D$3:$AL$3))</f>
        <v>0.21387283236994215</v>
      </c>
      <c r="R9" s="19" cm="1">
        <f t="array" ref="R9">INDEX(Tower!$D$8:$AL$164, _xlfn.XMATCH($C9,Tower!$C$8:$C$164), _xlfn.XMATCH(Figures!R$3,Tower!$D$3:$AL$3))</f>
        <v>5.6521739130434678E-2</v>
      </c>
      <c r="S9" s="19" cm="1">
        <f t="array" ref="S9">INDEX(Tower!$D$8:$AL$164, _xlfn.XMATCH($C9,Tower!$C$8:$C$164), _xlfn.XMATCH(Figures!S$3,Tower!$D$3:$AL$3))</f>
        <v>-0.125</v>
      </c>
      <c r="T9" s="19" cm="1">
        <f t="array" ref="T9">INDEX(Tower!$D$8:$AL$164, _xlfn.XMATCH($C9,Tower!$C$8:$C$164), _xlfn.XMATCH(Figures!T$3,Tower!$D$3:$AL$3))</f>
        <v>2.2988505747126409E-2</v>
      </c>
      <c r="U9" s="19" cm="1">
        <f t="array" ref="U9">INDEX(Tower!$D$8:$AL$164, _xlfn.XMATCH($C9,Tower!$C$8:$C$164), _xlfn.XMATCH(Figures!U$3,Tower!$D$3:$AL$3))</f>
        <v>3.3333333333333437E-2</v>
      </c>
      <c r="V9" s="19" cm="1">
        <f t="array" ref="V9">INDEX(Tower!$D$8:$AL$164, _xlfn.XMATCH($C9,Tower!$C$8:$C$164), _xlfn.XMATCH(Figures!V$3,Tower!$D$3:$AL$3))</f>
        <v>-7.407407407407407E-2</v>
      </c>
      <c r="W9" s="19" cm="1">
        <f t="array" ref="W9">INDEX(Tower!$D$8:$AL$164, _xlfn.XMATCH($C9,Tower!$C$8:$C$164), _xlfn.XMATCH(Figures!W$3,Tower!$D$3:$AL$3))</f>
        <v>0.19999999999999996</v>
      </c>
      <c r="X9" s="19" cm="1">
        <f t="array" ref="X9">INDEX(Tower!$D$8:$AL$164, _xlfn.XMATCH($C9,Tower!$C$8:$C$164), _xlfn.XMATCH(Figures!X$3,Tower!$D$3:$AL$3))</f>
        <v>-0.2303370786516854</v>
      </c>
      <c r="Y9" s="19" cm="1">
        <f t="array" ref="Y9">INDEX(Tower!$D$8:$AL$164, _xlfn.XMATCH($C9,Tower!$C$8:$C$164), _xlfn.XMATCH(Figures!Y$3,Tower!$D$3:$AL$3))</f>
        <v>-0.12442396313364057</v>
      </c>
    </row>
    <row r="11" spans="2:25" x14ac:dyDescent="0.75">
      <c r="C11" s="15" t="str">
        <f>Tower!C49</f>
        <v>Appliance Rev over Coffee Rev</v>
      </c>
      <c r="G11" s="19"/>
      <c r="H11" s="19" cm="1">
        <f t="array" ref="H11">INDEX(Tower!$D$8:$AL$164, _xlfn.XMATCH($C11,Tower!$C$8:$C$164), _xlfn.XMATCH(Figures!H$3,Tower!$D$3:$AL$3))</f>
        <v>0.13427947598253276</v>
      </c>
      <c r="I11" s="19" cm="1">
        <f t="array" ref="I11">INDEX(Tower!$D$8:$AL$164, _xlfn.XMATCH($C11,Tower!$C$8:$C$164), _xlfn.XMATCH(Figures!I$3,Tower!$D$3:$AL$3))</f>
        <v>0.16435432230522945</v>
      </c>
      <c r="J11" s="19" cm="1">
        <f t="array" ref="J11">INDEX(Tower!$D$8:$AL$164, _xlfn.XMATCH($C11,Tower!$C$8:$C$164), _xlfn.XMATCH(Figures!J$3,Tower!$D$3:$AL$3))</f>
        <v>0.18496538081107813</v>
      </c>
      <c r="K11" s="19" cm="1">
        <f t="array" ref="K11">INDEX(Tower!$D$8:$AL$164, _xlfn.XMATCH($C11,Tower!$C$8:$C$164), _xlfn.XMATCH(Figures!K$3,Tower!$D$3:$AL$3))</f>
        <v>0.2248263888888889</v>
      </c>
      <c r="L11" s="19" cm="1">
        <f t="array" ref="L11">INDEX(Tower!$D$8:$AL$164, _xlfn.XMATCH($C11,Tower!$C$8:$C$164), _xlfn.XMATCH(Figures!L$3,Tower!$D$3:$AL$3))</f>
        <v>0.1383442265795207</v>
      </c>
      <c r="M11" s="19" cm="1">
        <f t="array" ref="M11">INDEX(Tower!$D$8:$AL$164, _xlfn.XMATCH($C11,Tower!$C$8:$C$164), _xlfn.XMATCH(Figures!M$3,Tower!$D$3:$AL$3))</f>
        <v>0.17248255234297108</v>
      </c>
      <c r="N11" s="19" cm="1">
        <f t="array" ref="N11">INDEX(Tower!$D$8:$AL$164, _xlfn.XMATCH($C11,Tower!$C$8:$C$164), _xlfn.XMATCH(Figures!N$3,Tower!$D$3:$AL$3))</f>
        <v>0.22072936660268713</v>
      </c>
      <c r="O11" s="19" cm="1">
        <f t="array" ref="O11">INDEX(Tower!$D$8:$AL$164, _xlfn.XMATCH($C11,Tower!$C$8:$C$164), _xlfn.XMATCH(Figures!O$3,Tower!$D$3:$AL$3))</f>
        <v>0.25477707006369427</v>
      </c>
      <c r="P11" s="19" cm="1">
        <f t="array" ref="P11">INDEX(Tower!$D$8:$AL$164, _xlfn.XMATCH($C11,Tower!$C$8:$C$164), _xlfn.XMATCH(Figures!P$3,Tower!$D$3:$AL$3))</f>
        <v>0.16155988857938719</v>
      </c>
      <c r="Q11" s="19" cm="1">
        <f t="array" ref="Q11">INDEX(Tower!$D$8:$AL$164, _xlfn.XMATCH($C11,Tower!$C$8:$C$164), _xlfn.XMATCH(Figures!Q$3,Tower!$D$3:$AL$3))</f>
        <v>0.20172910662824209</v>
      </c>
      <c r="R11" s="19" cm="1">
        <f t="array" ref="R11">INDEX(Tower!$D$8:$AL$164, _xlfn.XMATCH($C11,Tower!$C$8:$C$164), _xlfn.XMATCH(Figures!R$3,Tower!$D$3:$AL$3))</f>
        <v>0.22273143904674611</v>
      </c>
      <c r="S11" s="19" cm="1">
        <f t="array" ref="S11">INDEX(Tower!$D$8:$AL$164, _xlfn.XMATCH($C11,Tower!$C$8:$C$164), _xlfn.XMATCH(Figures!S$3,Tower!$D$3:$AL$3))</f>
        <v>0.22508038585209003</v>
      </c>
      <c r="T11" s="19" cm="1">
        <f t="array" ref="T11">INDEX(Tower!$D$8:$AL$164, _xlfn.XMATCH($C11,Tower!$C$8:$C$164), _xlfn.XMATCH(Figures!T$3,Tower!$D$3:$AL$3))</f>
        <v>0.17231364956437561</v>
      </c>
      <c r="U11" s="19" cm="1">
        <f t="array" ref="U11">INDEX(Tower!$D$8:$AL$164, _xlfn.XMATCH($C11,Tower!$C$8:$C$164), _xlfn.XMATCH(Figures!U$3,Tower!$D$3:$AL$3))</f>
        <v>0.19306049822064056</v>
      </c>
      <c r="V11" s="19" cm="1">
        <f t="array" ref="V11">INDEX(Tower!$D$8:$AL$164, _xlfn.XMATCH($C11,Tower!$C$8:$C$164), _xlfn.XMATCH(Figures!V$3,Tower!$D$3:$AL$3))</f>
        <v>0.1977152899824253</v>
      </c>
      <c r="W11" s="19" cm="1">
        <f t="array" ref="W11">INDEX(Tower!$D$8:$AL$164, _xlfn.XMATCH($C11,Tower!$C$8:$C$164), _xlfn.XMATCH(Figures!W$3,Tower!$D$3:$AL$3))</f>
        <v>0.23447313328681088</v>
      </c>
      <c r="X11" s="19" cm="1">
        <f t="array" ref="X11">INDEX(Tower!$D$8:$AL$164, _xlfn.XMATCH($C11,Tower!$C$8:$C$164), _xlfn.XMATCH(Figures!X$3,Tower!$D$3:$AL$3))</f>
        <v>0.13365853658536586</v>
      </c>
      <c r="Y11" s="19" cm="1">
        <f t="array" ref="Y11">INDEX(Tower!$D$8:$AL$164, _xlfn.XMATCH($C11,Tower!$C$8:$C$164), _xlfn.XMATCH(Figures!Y$3,Tower!$D$3:$AL$3))</f>
        <v>0.17941454202077431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A445-A5BF-488F-9A5F-840109EEA449}">
  <dimension ref="B3:W129"/>
  <sheetViews>
    <sheetView tabSelected="1" zoomScale="50" zoomScaleNormal="50" workbookViewId="0">
      <selection activeCell="J116" sqref="J116"/>
    </sheetView>
  </sheetViews>
  <sheetFormatPr defaultRowHeight="14.75" x14ac:dyDescent="0.75"/>
  <cols>
    <col min="2" max="2" width="15.7265625" customWidth="1"/>
    <col min="3" max="3" width="57.1796875" customWidth="1"/>
    <col min="4" max="6" width="17.5" customWidth="1"/>
    <col min="7" max="7" width="12.7265625" customWidth="1"/>
    <col min="8" max="8" width="2.81640625" customWidth="1"/>
    <col min="9" max="9" width="25.1796875" customWidth="1"/>
    <col min="10" max="10" width="179.90625" customWidth="1"/>
    <col min="13" max="16" width="8.81640625" bestFit="1" customWidth="1"/>
    <col min="17" max="23" width="9.36328125" bestFit="1" customWidth="1"/>
  </cols>
  <sheetData>
    <row r="3" spans="2:23" x14ac:dyDescent="0.75">
      <c r="B3" s="24" t="s">
        <v>191</v>
      </c>
      <c r="C3" s="24"/>
      <c r="D3" s="24" t="s">
        <v>409</v>
      </c>
      <c r="E3" s="24" t="s">
        <v>407</v>
      </c>
      <c r="F3" s="24" t="s">
        <v>408</v>
      </c>
      <c r="G3" s="24" t="s">
        <v>228</v>
      </c>
      <c r="H3" s="24"/>
      <c r="I3" s="24" t="s">
        <v>413</v>
      </c>
      <c r="J3" s="24" t="s">
        <v>229</v>
      </c>
      <c r="M3" s="185" t="s">
        <v>434</v>
      </c>
      <c r="N3" s="185"/>
      <c r="O3" s="185"/>
      <c r="P3" s="185"/>
      <c r="Q3" s="185"/>
      <c r="R3" s="185"/>
      <c r="S3" s="185"/>
      <c r="T3" s="185"/>
      <c r="U3" s="185"/>
      <c r="V3" s="185"/>
      <c r="W3" s="185"/>
    </row>
    <row r="4" spans="2:23" s="87" customFormat="1" x14ac:dyDescent="0.75">
      <c r="B4" s="86"/>
      <c r="C4" s="86"/>
      <c r="D4" s="86"/>
      <c r="E4" s="86"/>
      <c r="F4" s="86"/>
      <c r="G4" s="86"/>
    </row>
    <row r="5" spans="2:23" x14ac:dyDescent="0.75">
      <c r="C5" s="183" t="s">
        <v>192</v>
      </c>
      <c r="D5" s="183"/>
      <c r="E5" s="183"/>
      <c r="F5" s="183"/>
      <c r="G5" s="183"/>
      <c r="H5" s="27"/>
      <c r="I5" s="27"/>
      <c r="J5" s="27"/>
      <c r="M5" s="184" t="s">
        <v>436</v>
      </c>
      <c r="N5" s="184"/>
      <c r="O5" s="184"/>
      <c r="P5" s="184"/>
      <c r="Q5" s="184"/>
      <c r="R5" s="184"/>
      <c r="S5" s="184"/>
      <c r="T5" s="184"/>
      <c r="U5" s="184"/>
      <c r="V5" s="184"/>
      <c r="W5" s="184"/>
    </row>
    <row r="6" spans="2:23" x14ac:dyDescent="0.75">
      <c r="C6" t="s">
        <v>410</v>
      </c>
      <c r="D6">
        <v>128</v>
      </c>
      <c r="E6">
        <v>128</v>
      </c>
      <c r="F6">
        <v>128</v>
      </c>
      <c r="G6" t="s">
        <v>210</v>
      </c>
      <c r="I6" t="s">
        <v>414</v>
      </c>
      <c r="J6" t="s">
        <v>238</v>
      </c>
      <c r="L6" s="175">
        <f>E23</f>
        <v>1165.2479999999998</v>
      </c>
      <c r="M6" s="21">
        <v>3</v>
      </c>
      <c r="N6" s="21">
        <v>3.2</v>
      </c>
      <c r="O6" s="21">
        <f>N6+0.2</f>
        <v>3.4000000000000004</v>
      </c>
      <c r="P6" s="21">
        <f t="shared" ref="P6:W6" si="0">O6+0.2</f>
        <v>3.6000000000000005</v>
      </c>
      <c r="Q6" s="21">
        <f t="shared" si="0"/>
        <v>3.8000000000000007</v>
      </c>
      <c r="R6" s="21">
        <f t="shared" si="0"/>
        <v>4.0000000000000009</v>
      </c>
      <c r="S6" s="21">
        <f t="shared" si="0"/>
        <v>4.2000000000000011</v>
      </c>
      <c r="T6" s="21">
        <f t="shared" si="0"/>
        <v>4.4000000000000012</v>
      </c>
      <c r="U6" s="21">
        <f t="shared" si="0"/>
        <v>4.6000000000000014</v>
      </c>
      <c r="V6" s="21">
        <f t="shared" si="0"/>
        <v>4.8000000000000016</v>
      </c>
      <c r="W6" s="21">
        <f t="shared" si="0"/>
        <v>5.0000000000000018</v>
      </c>
    </row>
    <row r="7" spans="2:23" ht="15.5" thickBot="1" x14ac:dyDescent="0.9">
      <c r="C7" s="156" t="s">
        <v>264</v>
      </c>
      <c r="D7" s="172">
        <v>-2</v>
      </c>
      <c r="E7" s="156">
        <v>0</v>
      </c>
      <c r="F7" s="156">
        <v>2</v>
      </c>
      <c r="G7" t="s">
        <v>201</v>
      </c>
      <c r="I7" t="s">
        <v>414</v>
      </c>
      <c r="J7" t="s">
        <v>273</v>
      </c>
      <c r="K7" s="182" t="s">
        <v>308</v>
      </c>
      <c r="L7">
        <v>54</v>
      </c>
      <c r="M7" s="15">
        <f t="dataTable" ref="M7:W16" dt2D="1" dtr="1" r1="E11" r2="E20"/>
        <v>1620.8640000000003</v>
      </c>
      <c r="N7" s="15">
        <v>1524.096</v>
      </c>
      <c r="O7" s="15">
        <v>1438.712470588235</v>
      </c>
      <c r="P7" s="15">
        <v>1362.816</v>
      </c>
      <c r="Q7" s="15">
        <v>1294.9086315789471</v>
      </c>
      <c r="R7" s="15">
        <v>1233.7919999999997</v>
      </c>
      <c r="S7" s="15">
        <v>1178.4959999999996</v>
      </c>
      <c r="T7" s="15">
        <v>1128.2269090909087</v>
      </c>
      <c r="U7" s="15">
        <v>1082.3290434782605</v>
      </c>
      <c r="V7" s="15">
        <v>1040.2559999999999</v>
      </c>
      <c r="W7" s="15">
        <v>1001.5487999999997</v>
      </c>
    </row>
    <row r="8" spans="2:23" x14ac:dyDescent="0.75">
      <c r="C8" t="s">
        <v>272</v>
      </c>
      <c r="D8" s="15">
        <f>D6*D7/100</f>
        <v>-2.56</v>
      </c>
      <c r="E8">
        <f>E6*E7/100</f>
        <v>0</v>
      </c>
      <c r="F8" s="2">
        <f>F6*F7/100</f>
        <v>2.56</v>
      </c>
      <c r="G8" t="s">
        <v>210</v>
      </c>
      <c r="J8" t="s">
        <v>224</v>
      </c>
      <c r="K8" s="182"/>
      <c r="L8">
        <v>53</v>
      </c>
      <c r="M8" s="15">
        <v>1590.8479999999997</v>
      </c>
      <c r="N8" s="15">
        <v>1495.8720000000003</v>
      </c>
      <c r="O8" s="15">
        <v>1412.0696470588236</v>
      </c>
      <c r="P8" s="15">
        <v>1337.5786666666665</v>
      </c>
      <c r="Q8" s="15">
        <v>1270.9288421052629</v>
      </c>
      <c r="R8" s="15">
        <v>1210.9439999999997</v>
      </c>
      <c r="S8" s="15">
        <v>1156.6719999999998</v>
      </c>
      <c r="T8" s="15">
        <v>1107.3338181818181</v>
      </c>
      <c r="U8" s="15">
        <v>1062.2859130434781</v>
      </c>
      <c r="V8" s="15">
        <v>1020.9919999999997</v>
      </c>
      <c r="W8" s="15">
        <v>983.0015999999996</v>
      </c>
    </row>
    <row r="9" spans="2:23" x14ac:dyDescent="0.75">
      <c r="J9" t="s">
        <v>277</v>
      </c>
      <c r="K9" s="182"/>
      <c r="L9">
        <v>52</v>
      </c>
      <c r="M9" s="15">
        <v>1560.8320000000001</v>
      </c>
      <c r="N9" s="15">
        <v>1467.6480000000001</v>
      </c>
      <c r="O9" s="15">
        <v>1385.4268235294119</v>
      </c>
      <c r="P9" s="15">
        <v>1312.3413333333333</v>
      </c>
      <c r="Q9" s="15">
        <v>1246.9490526315788</v>
      </c>
      <c r="R9" s="15">
        <v>1188.0959999999998</v>
      </c>
      <c r="S9" s="15">
        <v>1134.848</v>
      </c>
      <c r="T9" s="15">
        <v>1086.4407272727269</v>
      </c>
      <c r="U9" s="15">
        <v>1042.2427826086955</v>
      </c>
      <c r="V9" s="15">
        <v>1001.7279999999997</v>
      </c>
      <c r="W9" s="15">
        <v>964.45439999999974</v>
      </c>
    </row>
    <row r="10" spans="2:23" x14ac:dyDescent="0.75">
      <c r="C10" t="s">
        <v>259</v>
      </c>
      <c r="D10">
        <v>80</v>
      </c>
      <c r="E10">
        <v>80</v>
      </c>
      <c r="F10">
        <v>80</v>
      </c>
      <c r="G10" t="s">
        <v>201</v>
      </c>
      <c r="I10" t="s">
        <v>414</v>
      </c>
      <c r="K10" s="182"/>
      <c r="L10">
        <v>51</v>
      </c>
      <c r="M10" s="15">
        <v>1530.816</v>
      </c>
      <c r="N10" s="15">
        <v>1439.424</v>
      </c>
      <c r="O10" s="15">
        <v>1358.7840000000001</v>
      </c>
      <c r="P10" s="15">
        <v>1287.104</v>
      </c>
      <c r="Q10" s="15">
        <v>1222.9692631578944</v>
      </c>
      <c r="R10" s="15">
        <v>1165.2479999999998</v>
      </c>
      <c r="S10" s="15">
        <v>1113.0239999999997</v>
      </c>
      <c r="T10" s="15">
        <v>1065.547636363636</v>
      </c>
      <c r="U10" s="15">
        <v>1022.1996521739129</v>
      </c>
      <c r="V10" s="15">
        <v>982.46399999999994</v>
      </c>
      <c r="W10" s="15">
        <v>945.90719999999965</v>
      </c>
    </row>
    <row r="11" spans="2:23" ht="15.5" thickBot="1" x14ac:dyDescent="0.9">
      <c r="C11" s="156" t="s">
        <v>260</v>
      </c>
      <c r="D11" s="169">
        <v>4.5</v>
      </c>
      <c r="E11" s="169">
        <v>4</v>
      </c>
      <c r="F11" s="169">
        <v>3.5</v>
      </c>
      <c r="G11" t="s">
        <v>262</v>
      </c>
      <c r="I11" s="11" t="s">
        <v>415</v>
      </c>
      <c r="J11" t="s">
        <v>412</v>
      </c>
      <c r="K11" s="182"/>
      <c r="L11">
        <v>50</v>
      </c>
      <c r="M11" s="15">
        <v>1500.8</v>
      </c>
      <c r="N11" s="15">
        <v>1411.1999999999998</v>
      </c>
      <c r="O11" s="15">
        <v>1332.1411764705881</v>
      </c>
      <c r="P11" s="15">
        <v>1261.8666666666666</v>
      </c>
      <c r="Q11" s="15">
        <v>1198.9894736842102</v>
      </c>
      <c r="R11" s="15">
        <v>1142.3999999999999</v>
      </c>
      <c r="S11" s="15">
        <v>1091.1999999999998</v>
      </c>
      <c r="T11" s="15">
        <v>1044.6545454545451</v>
      </c>
      <c r="U11" s="15">
        <v>1002.1565217391302</v>
      </c>
      <c r="V11" s="15">
        <v>963.19999999999982</v>
      </c>
      <c r="W11" s="15">
        <v>927.35999999999979</v>
      </c>
    </row>
    <row r="12" spans="2:23" x14ac:dyDescent="0.75">
      <c r="C12" t="s">
        <v>278</v>
      </c>
      <c r="D12" s="2">
        <f>D6*D10/100/D11</f>
        <v>22.755555555555556</v>
      </c>
      <c r="E12" s="2">
        <f>E6*E10/100/E11</f>
        <v>25.6</v>
      </c>
      <c r="F12" s="2">
        <f>F6*F10/100/F11</f>
        <v>29.25714285714286</v>
      </c>
      <c r="G12" t="s">
        <v>210</v>
      </c>
      <c r="J12" t="s">
        <v>224</v>
      </c>
      <c r="K12" s="182"/>
      <c r="L12">
        <v>49</v>
      </c>
      <c r="M12" s="15">
        <v>1470.7839999999999</v>
      </c>
      <c r="N12" s="15">
        <v>1382.9760000000001</v>
      </c>
      <c r="O12" s="15">
        <v>1305.4983529411763</v>
      </c>
      <c r="P12" s="15">
        <v>1236.6293333333331</v>
      </c>
      <c r="Q12" s="15">
        <v>1175.0096842105261</v>
      </c>
      <c r="R12" s="15">
        <v>1119.5519999999997</v>
      </c>
      <c r="S12" s="15">
        <v>1069.3759999999997</v>
      </c>
      <c r="T12" s="15">
        <v>1023.7614545454543</v>
      </c>
      <c r="U12" s="15">
        <v>982.11339130434772</v>
      </c>
      <c r="V12" s="15">
        <v>943.93599999999981</v>
      </c>
      <c r="W12" s="15">
        <v>908.81279999999981</v>
      </c>
    </row>
    <row r="13" spans="2:23" x14ac:dyDescent="0.75">
      <c r="K13" s="182"/>
      <c r="L13">
        <v>48</v>
      </c>
      <c r="M13" s="15">
        <v>1440.768</v>
      </c>
      <c r="N13" s="15">
        <v>1354.752</v>
      </c>
      <c r="O13" s="15">
        <v>1278.8555294117646</v>
      </c>
      <c r="P13" s="15">
        <v>1211.3919999999998</v>
      </c>
      <c r="Q13" s="15">
        <v>1151.0298947368419</v>
      </c>
      <c r="R13" s="15">
        <v>1096.7039999999997</v>
      </c>
      <c r="S13" s="15">
        <v>1047.5519999999999</v>
      </c>
      <c r="T13" s="15">
        <v>1002.8683636363633</v>
      </c>
      <c r="U13" s="15">
        <v>962.07026086956512</v>
      </c>
      <c r="V13" s="15">
        <v>924.67199999999968</v>
      </c>
      <c r="W13" s="15">
        <v>890.26559999999961</v>
      </c>
    </row>
    <row r="14" spans="2:23" x14ac:dyDescent="0.75">
      <c r="C14" t="s">
        <v>263</v>
      </c>
      <c r="D14">
        <v>2</v>
      </c>
      <c r="E14">
        <v>2</v>
      </c>
      <c r="F14">
        <v>2</v>
      </c>
      <c r="G14" t="s">
        <v>210</v>
      </c>
      <c r="I14" t="s">
        <v>414</v>
      </c>
      <c r="J14" s="25" t="s">
        <v>271</v>
      </c>
      <c r="K14" s="182"/>
      <c r="L14">
        <v>47</v>
      </c>
      <c r="M14" s="15">
        <v>1410.752</v>
      </c>
      <c r="N14" s="15">
        <v>1326.5279999999998</v>
      </c>
      <c r="O14" s="15">
        <v>1252.2127058823528</v>
      </c>
      <c r="P14" s="15">
        <v>1186.1546666666668</v>
      </c>
      <c r="Q14" s="15">
        <v>1127.0501052631578</v>
      </c>
      <c r="R14" s="15">
        <v>1073.856</v>
      </c>
      <c r="S14" s="15">
        <v>1025.7279999999998</v>
      </c>
      <c r="T14" s="15">
        <v>981.97527272727245</v>
      </c>
      <c r="U14" s="15">
        <v>942.02713043478241</v>
      </c>
      <c r="V14" s="15">
        <v>905.40800000000002</v>
      </c>
      <c r="W14" s="15">
        <v>871.71839999999975</v>
      </c>
    </row>
    <row r="15" spans="2:23" ht="15.5" thickBot="1" x14ac:dyDescent="0.9">
      <c r="C15" s="156" t="s">
        <v>265</v>
      </c>
      <c r="D15" s="156">
        <v>75</v>
      </c>
      <c r="E15" s="156">
        <f>E10</f>
        <v>80</v>
      </c>
      <c r="F15" s="156">
        <v>85</v>
      </c>
      <c r="G15" t="s">
        <v>266</v>
      </c>
      <c r="I15" t="s">
        <v>414</v>
      </c>
      <c r="J15" t="s">
        <v>425</v>
      </c>
      <c r="K15" s="182"/>
      <c r="L15">
        <v>46</v>
      </c>
      <c r="M15" s="15">
        <v>1380.7360000000001</v>
      </c>
      <c r="N15" s="15">
        <v>1298.3040000000001</v>
      </c>
      <c r="O15" s="15">
        <v>1225.569882352941</v>
      </c>
      <c r="P15" s="15">
        <v>1160.9173333333333</v>
      </c>
      <c r="Q15" s="15">
        <v>1103.0703157894734</v>
      </c>
      <c r="R15" s="15">
        <v>1051.0079999999998</v>
      </c>
      <c r="S15" s="15">
        <v>1003.9039999999998</v>
      </c>
      <c r="T15" s="15">
        <v>961.08218181818165</v>
      </c>
      <c r="U15" s="15">
        <v>921.98399999999981</v>
      </c>
      <c r="V15" s="15">
        <v>886.14399999999989</v>
      </c>
      <c r="W15" s="15">
        <v>853.17119999999966</v>
      </c>
    </row>
    <row r="16" spans="2:23" x14ac:dyDescent="0.75">
      <c r="C16" t="s">
        <v>411</v>
      </c>
      <c r="D16">
        <f>D14*D15/100</f>
        <v>1.5</v>
      </c>
      <c r="E16">
        <f>E14*E15/100</f>
        <v>1.6</v>
      </c>
      <c r="F16">
        <f t="shared" ref="F16" si="1">F14*F15/100</f>
        <v>1.7</v>
      </c>
      <c r="G16" t="s">
        <v>202</v>
      </c>
      <c r="K16" s="182"/>
      <c r="L16">
        <v>45</v>
      </c>
      <c r="M16" s="15">
        <v>1350.7199999999998</v>
      </c>
      <c r="N16" s="15">
        <v>1270.08</v>
      </c>
      <c r="O16" s="15">
        <v>1198.9270588235293</v>
      </c>
      <c r="P16" s="15">
        <v>1135.6799999999998</v>
      </c>
      <c r="Q16" s="15">
        <v>1079.0905263157892</v>
      </c>
      <c r="R16" s="15">
        <v>1028.1599999999999</v>
      </c>
      <c r="S16" s="15">
        <v>982.0799999999997</v>
      </c>
      <c r="T16" s="15">
        <v>940.18909090909062</v>
      </c>
      <c r="U16" s="15">
        <v>901.94086956521733</v>
      </c>
      <c r="V16" s="15">
        <v>866.87999999999988</v>
      </c>
      <c r="W16" s="15">
        <v>834.6239999999998</v>
      </c>
    </row>
    <row r="18" spans="3:23" x14ac:dyDescent="0.75">
      <c r="C18" t="s">
        <v>267</v>
      </c>
      <c r="D18" s="21">
        <f>D8+D12+D16</f>
        <v>21.695555555555558</v>
      </c>
      <c r="E18" s="21">
        <f>E8+E12+E16</f>
        <v>27.200000000000003</v>
      </c>
      <c r="F18" s="21">
        <f>F8+F12+F16</f>
        <v>33.517142857142858</v>
      </c>
      <c r="G18" t="s">
        <v>210</v>
      </c>
      <c r="J18" t="s">
        <v>224</v>
      </c>
    </row>
    <row r="20" spans="3:23" x14ac:dyDescent="0.75">
      <c r="C20" t="s">
        <v>268</v>
      </c>
      <c r="D20">
        <v>49</v>
      </c>
      <c r="E20">
        <v>51</v>
      </c>
      <c r="F20">
        <v>53</v>
      </c>
      <c r="G20" t="s">
        <v>201</v>
      </c>
      <c r="I20" s="11" t="s">
        <v>415</v>
      </c>
      <c r="J20" t="s">
        <v>270</v>
      </c>
    </row>
    <row r="21" spans="3:23" x14ac:dyDescent="0.75">
      <c r="C21" t="s">
        <v>261</v>
      </c>
      <c r="D21">
        <v>100</v>
      </c>
      <c r="E21">
        <v>120</v>
      </c>
      <c r="F21">
        <v>140</v>
      </c>
      <c r="G21" t="s">
        <v>209</v>
      </c>
      <c r="I21" t="s">
        <v>415</v>
      </c>
      <c r="J21" t="s">
        <v>215</v>
      </c>
    </row>
    <row r="22" spans="3:23" ht="15.5" thickBot="1" x14ac:dyDescent="0.9">
      <c r="C22" s="156" t="s">
        <v>308</v>
      </c>
      <c r="D22" s="156">
        <f>E22+5</f>
        <v>35</v>
      </c>
      <c r="E22" s="156">
        <v>30</v>
      </c>
      <c r="F22" s="156">
        <f>E22-5</f>
        <v>25</v>
      </c>
      <c r="G22" t="s">
        <v>201</v>
      </c>
      <c r="I22" t="s">
        <v>415</v>
      </c>
      <c r="J22" t="s">
        <v>315</v>
      </c>
    </row>
    <row r="23" spans="3:23" x14ac:dyDescent="0.75">
      <c r="C23" t="s">
        <v>269</v>
      </c>
      <c r="D23" s="2">
        <f>D18*D20/100*D21*(1-D22/100)</f>
        <v>691.00344444444454</v>
      </c>
      <c r="E23" s="2">
        <f>E18*E20/100*E21*(1-E22/100)</f>
        <v>1165.2479999999998</v>
      </c>
      <c r="F23" s="2">
        <f>F18*F20/100*F21*(1-F22/100)</f>
        <v>1865.2290000000003</v>
      </c>
      <c r="G23" t="s">
        <v>235</v>
      </c>
      <c r="J23" t="s">
        <v>224</v>
      </c>
    </row>
    <row r="24" spans="3:23" x14ac:dyDescent="0.75">
      <c r="C24" t="s">
        <v>423</v>
      </c>
      <c r="D24" s="66">
        <f>$I24/D23</f>
        <v>1.3357386383827319</v>
      </c>
      <c r="E24" s="66">
        <f t="shared" ref="E24:F24" si="2">$I24/E23</f>
        <v>0.7921060581095184</v>
      </c>
      <c r="F24" s="66">
        <f t="shared" si="2"/>
        <v>0.49484540504141844</v>
      </c>
      <c r="G24" t="s">
        <v>201</v>
      </c>
      <c r="I24" s="15">
        <f>Tower!$AJ$39</f>
        <v>923</v>
      </c>
      <c r="J24" t="s">
        <v>424</v>
      </c>
    </row>
    <row r="25" spans="3:23" x14ac:dyDescent="0.75">
      <c r="M25" s="180" t="s">
        <v>433</v>
      </c>
      <c r="N25" s="180"/>
      <c r="O25" s="180"/>
      <c r="P25" s="180"/>
      <c r="Q25" s="180"/>
      <c r="R25" s="180"/>
      <c r="S25" s="180"/>
      <c r="T25" s="180"/>
      <c r="U25" s="180"/>
      <c r="V25" s="180"/>
      <c r="W25" s="180"/>
    </row>
    <row r="26" spans="3:23" x14ac:dyDescent="0.75">
      <c r="C26" s="183" t="s">
        <v>193</v>
      </c>
      <c r="D26" s="183"/>
      <c r="E26" s="183"/>
      <c r="F26" s="183"/>
      <c r="G26" s="183"/>
      <c r="H26" s="27"/>
      <c r="I26" s="27"/>
      <c r="J26" s="27"/>
    </row>
    <row r="27" spans="3:23" x14ac:dyDescent="0.75">
      <c r="C27" t="s">
        <v>237</v>
      </c>
      <c r="D27">
        <v>330</v>
      </c>
      <c r="E27">
        <v>330</v>
      </c>
      <c r="F27">
        <v>330</v>
      </c>
      <c r="G27" t="s">
        <v>210</v>
      </c>
      <c r="I27" t="s">
        <v>414</v>
      </c>
      <c r="J27" t="s">
        <v>238</v>
      </c>
      <c r="M27" s="184" t="s">
        <v>437</v>
      </c>
      <c r="N27" s="184"/>
      <c r="O27" s="184"/>
      <c r="P27" s="184"/>
      <c r="Q27" s="184"/>
      <c r="R27" s="184"/>
      <c r="S27" s="184"/>
      <c r="T27" s="184"/>
      <c r="U27" s="184"/>
      <c r="V27" s="184"/>
      <c r="W27" s="184"/>
    </row>
    <row r="28" spans="3:23" x14ac:dyDescent="0.75">
      <c r="C28" t="s">
        <v>239</v>
      </c>
      <c r="D28">
        <v>77</v>
      </c>
      <c r="E28">
        <v>77</v>
      </c>
      <c r="F28">
        <v>77</v>
      </c>
      <c r="G28" t="s">
        <v>201</v>
      </c>
      <c r="I28" t="s">
        <v>414</v>
      </c>
      <c r="J28" t="s">
        <v>240</v>
      </c>
      <c r="L28" s="175">
        <f>E49</f>
        <v>5933.9505115953825</v>
      </c>
      <c r="M28">
        <v>30</v>
      </c>
      <c r="N28">
        <f>M28+5</f>
        <v>35</v>
      </c>
      <c r="O28">
        <f t="shared" ref="O28:W28" si="3">N28+5</f>
        <v>40</v>
      </c>
      <c r="P28">
        <f t="shared" si="3"/>
        <v>45</v>
      </c>
      <c r="Q28">
        <f t="shared" si="3"/>
        <v>50</v>
      </c>
      <c r="R28">
        <f t="shared" si="3"/>
        <v>55</v>
      </c>
      <c r="S28">
        <f t="shared" si="3"/>
        <v>60</v>
      </c>
      <c r="T28">
        <f t="shared" si="3"/>
        <v>65</v>
      </c>
      <c r="U28">
        <f t="shared" si="3"/>
        <v>70</v>
      </c>
      <c r="V28">
        <f t="shared" si="3"/>
        <v>75</v>
      </c>
      <c r="W28">
        <f t="shared" si="3"/>
        <v>80</v>
      </c>
    </row>
    <row r="29" spans="3:23" x14ac:dyDescent="0.75">
      <c r="C29" t="s">
        <v>241</v>
      </c>
      <c r="D29">
        <v>0</v>
      </c>
      <c r="E29">
        <v>0</v>
      </c>
      <c r="F29">
        <v>0</v>
      </c>
      <c r="G29" t="s">
        <v>201</v>
      </c>
      <c r="I29" t="s">
        <v>414</v>
      </c>
      <c r="J29" t="s">
        <v>234</v>
      </c>
      <c r="K29" s="182" t="s">
        <v>438</v>
      </c>
      <c r="L29" s="173">
        <v>1</v>
      </c>
      <c r="M29" s="15">
        <f t="dataTable" ref="M29:W42" dt2D="1" dtr="1" r1="E37" r2="E39"/>
        <v>2862.063766799999</v>
      </c>
      <c r="N29" s="15">
        <v>3144.8663945999997</v>
      </c>
      <c r="O29" s="15">
        <v>3427.6690223999994</v>
      </c>
      <c r="P29" s="15">
        <v>3710.4716501999992</v>
      </c>
      <c r="Q29" s="15">
        <v>3993.274277999999</v>
      </c>
      <c r="R29" s="15">
        <v>4276.0769057999996</v>
      </c>
      <c r="S29" s="15">
        <v>4558.8795335999985</v>
      </c>
      <c r="T29" s="15">
        <v>4841.6821613999991</v>
      </c>
      <c r="U29" s="15">
        <v>5124.4847891999989</v>
      </c>
      <c r="V29" s="15">
        <v>5407.2874169999986</v>
      </c>
      <c r="W29" s="15">
        <v>5690.0900447999984</v>
      </c>
    </row>
    <row r="30" spans="3:23" ht="15.5" thickBot="1" x14ac:dyDescent="0.9">
      <c r="C30" t="s">
        <v>242</v>
      </c>
      <c r="D30" s="156">
        <v>70</v>
      </c>
      <c r="E30" s="156">
        <v>70</v>
      </c>
      <c r="F30" s="156">
        <v>70</v>
      </c>
      <c r="G30" t="s">
        <v>201</v>
      </c>
      <c r="I30" t="s">
        <v>414</v>
      </c>
      <c r="J30" s="25" t="s">
        <v>243</v>
      </c>
      <c r="K30" s="182"/>
      <c r="L30" s="173">
        <f>L29+0.2</f>
        <v>1.2</v>
      </c>
      <c r="M30" s="15">
        <v>3201.4269201599991</v>
      </c>
      <c r="N30" s="15">
        <v>3540.7900735199992</v>
      </c>
      <c r="O30" s="15">
        <v>3880.1532268799992</v>
      </c>
      <c r="P30" s="15">
        <v>4219.5163802399984</v>
      </c>
      <c r="Q30" s="15">
        <v>4558.8795335999985</v>
      </c>
      <c r="R30" s="15">
        <v>4898.2426869599994</v>
      </c>
      <c r="S30" s="15">
        <v>5237.6058403199977</v>
      </c>
      <c r="T30" s="15">
        <v>5576.9689936799987</v>
      </c>
      <c r="U30" s="15">
        <v>5916.3321470399987</v>
      </c>
      <c r="V30" s="15">
        <v>6255.6953003999988</v>
      </c>
      <c r="W30" s="15">
        <v>6595.058453759998</v>
      </c>
    </row>
    <row r="31" spans="3:23" x14ac:dyDescent="0.75">
      <c r="C31" t="s">
        <v>244</v>
      </c>
      <c r="D31" s="2">
        <f>D27*(D28/100)*(D30/100)+D27*(1-D28/100)*(D29/100)</f>
        <v>177.86999999999998</v>
      </c>
      <c r="E31" s="2">
        <f>E27*(E28/100)*(E30/100)+E27*(1-E28/100)*(E29/100)</f>
        <v>177.86999999999998</v>
      </c>
      <c r="F31" s="2">
        <f>F27*(F28/100)*(F30/100)+F27*(1-F28/100)*(F29/100)</f>
        <v>177.86999999999998</v>
      </c>
      <c r="G31" t="s">
        <v>210</v>
      </c>
      <c r="J31" t="s">
        <v>224</v>
      </c>
      <c r="K31" s="182"/>
      <c r="L31" s="173">
        <f t="shared" ref="L31:L42" si="4">L30+0.2</f>
        <v>1.4</v>
      </c>
      <c r="M31" s="15">
        <v>3540.7900735199992</v>
      </c>
      <c r="N31" s="15">
        <v>3936.7137524399996</v>
      </c>
      <c r="O31" s="15">
        <v>4332.637431359999</v>
      </c>
      <c r="P31" s="15">
        <v>4728.5611102799985</v>
      </c>
      <c r="Q31" s="15">
        <v>5124.4847891999989</v>
      </c>
      <c r="R31" s="15">
        <v>5520.4084681199984</v>
      </c>
      <c r="S31" s="15">
        <v>5916.3321470399978</v>
      </c>
      <c r="T31" s="15">
        <v>6312.2558259599982</v>
      </c>
      <c r="U31" s="15">
        <v>6708.1795048799986</v>
      </c>
      <c r="V31" s="15">
        <v>7104.1031837999981</v>
      </c>
      <c r="W31" s="15">
        <v>7500.0268627199985</v>
      </c>
    </row>
    <row r="32" spans="3:23" x14ac:dyDescent="0.75">
      <c r="K32" s="182"/>
      <c r="L32" s="173">
        <f t="shared" si="4"/>
        <v>1.5999999999999999</v>
      </c>
      <c r="M32" s="15">
        <v>3880.1532268799983</v>
      </c>
      <c r="N32" s="15">
        <v>4332.637431359999</v>
      </c>
      <c r="O32" s="15">
        <v>4785.1216358399988</v>
      </c>
      <c r="P32" s="15">
        <v>5237.6058403199977</v>
      </c>
      <c r="Q32" s="15">
        <v>5690.0900447999984</v>
      </c>
      <c r="R32" s="15">
        <v>6142.5742492799982</v>
      </c>
      <c r="S32" s="15">
        <v>6595.0584537599971</v>
      </c>
      <c r="T32" s="15">
        <v>7047.5426582399969</v>
      </c>
      <c r="U32" s="15">
        <v>7500.0268627199985</v>
      </c>
      <c r="V32" s="15">
        <v>7952.5110671999973</v>
      </c>
      <c r="W32" s="15">
        <v>8404.995271679998</v>
      </c>
    </row>
    <row r="33" spans="3:23" ht="15.5" thickBot="1" x14ac:dyDescent="0.9">
      <c r="C33" t="s">
        <v>245</v>
      </c>
      <c r="D33" s="156">
        <v>85</v>
      </c>
      <c r="E33" s="157">
        <v>88</v>
      </c>
      <c r="F33" s="157">
        <v>90</v>
      </c>
      <c r="G33" t="s">
        <v>201</v>
      </c>
      <c r="J33" t="s">
        <v>246</v>
      </c>
      <c r="K33" s="182"/>
      <c r="L33" s="173">
        <f t="shared" si="4"/>
        <v>1.7999999999999998</v>
      </c>
      <c r="M33" s="15">
        <v>4219.5163802399984</v>
      </c>
      <c r="N33" s="15">
        <v>4728.5611102799994</v>
      </c>
      <c r="O33" s="15">
        <v>5237.6058403199977</v>
      </c>
      <c r="P33" s="15">
        <v>5746.6505703599978</v>
      </c>
      <c r="Q33" s="15">
        <v>6255.6953003999979</v>
      </c>
      <c r="R33" s="15">
        <v>6764.740030439998</v>
      </c>
      <c r="S33" s="15">
        <v>7273.7847604799972</v>
      </c>
      <c r="T33" s="15">
        <v>7782.8294905199964</v>
      </c>
      <c r="U33" s="15">
        <v>8291.8742205599992</v>
      </c>
      <c r="V33" s="15">
        <v>8800.9189505999966</v>
      </c>
      <c r="W33" s="15">
        <v>9309.9636806399958</v>
      </c>
    </row>
    <row r="34" spans="3:23" x14ac:dyDescent="0.75">
      <c r="C34" t="s">
        <v>247</v>
      </c>
      <c r="D34" s="2">
        <f>D31*(D33/100)</f>
        <v>151.18949999999998</v>
      </c>
      <c r="E34" s="2">
        <f>E31*(E33/100)</f>
        <v>156.52559999999997</v>
      </c>
      <c r="F34" s="2">
        <f>F31*(F33/100)</f>
        <v>160.08299999999997</v>
      </c>
      <c r="G34" t="s">
        <v>210</v>
      </c>
      <c r="J34" t="s">
        <v>224</v>
      </c>
      <c r="K34" s="182"/>
      <c r="L34" s="173">
        <f t="shared" si="4"/>
        <v>1.9999999999999998</v>
      </c>
      <c r="M34" s="15">
        <v>4558.8795335999985</v>
      </c>
      <c r="N34" s="15">
        <v>5124.4847891999989</v>
      </c>
      <c r="O34" s="15">
        <v>5690.0900447999975</v>
      </c>
      <c r="P34" s="15">
        <v>6255.695300399997</v>
      </c>
      <c r="Q34" s="15">
        <v>6821.3005559999974</v>
      </c>
      <c r="R34" s="15">
        <v>7386.9058115999978</v>
      </c>
      <c r="S34" s="15">
        <v>7952.5110671999973</v>
      </c>
      <c r="T34" s="15">
        <v>8518.1163227999969</v>
      </c>
      <c r="U34" s="15">
        <v>9083.7215783999982</v>
      </c>
      <c r="V34" s="15">
        <v>9649.3268339999959</v>
      </c>
      <c r="W34" s="15">
        <v>10214.932089599995</v>
      </c>
    </row>
    <row r="35" spans="3:23" x14ac:dyDescent="0.75">
      <c r="K35" s="182"/>
      <c r="L35" s="173">
        <f t="shared" si="4"/>
        <v>2.1999999999999997</v>
      </c>
      <c r="M35" s="15">
        <v>4898.2426869599985</v>
      </c>
      <c r="N35" s="15">
        <v>5520.4084681199984</v>
      </c>
      <c r="O35" s="15">
        <v>6142.5742492799973</v>
      </c>
      <c r="P35" s="15">
        <v>6764.7400304399971</v>
      </c>
      <c r="Q35" s="15">
        <v>7386.9058115999978</v>
      </c>
      <c r="R35" s="15">
        <v>8009.0715927599967</v>
      </c>
      <c r="S35" s="15">
        <v>8631.2373739199975</v>
      </c>
      <c r="T35" s="15">
        <v>9253.4031550799973</v>
      </c>
      <c r="U35" s="15">
        <v>9875.5689362399971</v>
      </c>
      <c r="V35" s="15">
        <v>10497.734717399997</v>
      </c>
      <c r="W35" s="15">
        <v>11119.900498559995</v>
      </c>
    </row>
    <row r="36" spans="3:23" x14ac:dyDescent="0.75">
      <c r="C36" t="s">
        <v>248</v>
      </c>
      <c r="D36">
        <v>30</v>
      </c>
      <c r="E36">
        <v>33</v>
      </c>
      <c r="F36">
        <v>36</v>
      </c>
      <c r="G36" t="s">
        <v>201</v>
      </c>
      <c r="I36" t="s">
        <v>415</v>
      </c>
      <c r="J36" t="s">
        <v>249</v>
      </c>
      <c r="K36" s="182"/>
      <c r="L36" s="173">
        <f t="shared" si="4"/>
        <v>2.4</v>
      </c>
      <c r="M36" s="15">
        <v>5237.6058403199977</v>
      </c>
      <c r="N36" s="15">
        <v>5916.3321470399987</v>
      </c>
      <c r="O36" s="15">
        <v>6595.058453759998</v>
      </c>
      <c r="P36" s="15">
        <v>7273.7847604799972</v>
      </c>
      <c r="Q36" s="15">
        <v>7952.5110671999973</v>
      </c>
      <c r="R36" s="15">
        <v>8631.2373739199993</v>
      </c>
      <c r="S36" s="15">
        <v>9309.9636806399958</v>
      </c>
      <c r="T36" s="15">
        <v>9988.6899873599978</v>
      </c>
      <c r="U36" s="15">
        <v>10667.416294079998</v>
      </c>
      <c r="V36" s="15">
        <v>11346.142600799998</v>
      </c>
      <c r="W36" s="15">
        <v>12024.868907519996</v>
      </c>
    </row>
    <row r="37" spans="3:23" x14ac:dyDescent="0.75">
      <c r="C37" t="s">
        <v>250</v>
      </c>
      <c r="D37">
        <v>40</v>
      </c>
      <c r="E37">
        <v>45</v>
      </c>
      <c r="F37">
        <v>50</v>
      </c>
      <c r="G37" t="s">
        <v>201</v>
      </c>
      <c r="I37" s="11" t="s">
        <v>415</v>
      </c>
      <c r="J37" t="s">
        <v>299</v>
      </c>
      <c r="K37" s="182"/>
      <c r="L37" s="173">
        <f t="shared" si="4"/>
        <v>2.6</v>
      </c>
      <c r="M37" s="15">
        <v>5576.9689936799987</v>
      </c>
      <c r="N37" s="15">
        <v>6312.2558259599991</v>
      </c>
      <c r="O37" s="15">
        <v>7047.5426582399978</v>
      </c>
      <c r="P37" s="15">
        <v>7782.8294905199964</v>
      </c>
      <c r="Q37" s="15">
        <v>8518.1163227999987</v>
      </c>
      <c r="R37" s="15">
        <v>9253.4031550799991</v>
      </c>
      <c r="S37" s="15">
        <v>9988.6899873599978</v>
      </c>
      <c r="T37" s="15">
        <v>10723.976819639996</v>
      </c>
      <c r="U37" s="15">
        <v>11459.263651919999</v>
      </c>
      <c r="V37" s="15">
        <v>12194.550484199997</v>
      </c>
      <c r="W37" s="15">
        <v>12929.837316479996</v>
      </c>
    </row>
    <row r="38" spans="3:23" x14ac:dyDescent="0.75">
      <c r="C38" t="s">
        <v>251</v>
      </c>
      <c r="D38" s="159">
        <f>D34*D36/100*D37/100</f>
        <v>18.14274</v>
      </c>
      <c r="E38" s="159">
        <f>E34*E36/100*E37/100</f>
        <v>23.244051599999992</v>
      </c>
      <c r="F38" s="159">
        <f>F34*F36/100*F37/100</f>
        <v>28.814939999999996</v>
      </c>
      <c r="G38" s="160" t="s">
        <v>210</v>
      </c>
      <c r="J38" t="s">
        <v>224</v>
      </c>
      <c r="K38" s="182"/>
      <c r="L38" s="173">
        <f t="shared" si="4"/>
        <v>2.8000000000000003</v>
      </c>
      <c r="M38" s="15">
        <v>5916.3321470399987</v>
      </c>
      <c r="N38" s="15">
        <v>6708.1795048799995</v>
      </c>
      <c r="O38" s="15">
        <v>7500.0268627199985</v>
      </c>
      <c r="P38" s="15">
        <v>8291.8742205599974</v>
      </c>
      <c r="Q38" s="15">
        <v>9083.7215783999982</v>
      </c>
      <c r="R38" s="15">
        <v>9875.5689362399989</v>
      </c>
      <c r="S38" s="15">
        <v>10667.416294079998</v>
      </c>
      <c r="T38" s="15">
        <v>11459.263651919999</v>
      </c>
      <c r="U38" s="15">
        <v>12251.111009759999</v>
      </c>
      <c r="V38" s="15">
        <v>13042.958367599997</v>
      </c>
      <c r="W38" s="15">
        <v>13834.805725439997</v>
      </c>
    </row>
    <row r="39" spans="3:23" ht="15.5" thickBot="1" x14ac:dyDescent="0.9">
      <c r="C39" t="s">
        <v>252</v>
      </c>
      <c r="D39" s="169">
        <f>11.4/8*6219/4730</f>
        <v>1.8735887949260044</v>
      </c>
      <c r="E39" s="169">
        <f>11.4/8*6219/4730</f>
        <v>1.8735887949260044</v>
      </c>
      <c r="F39" s="169">
        <f>11.4/8*6219/4730</f>
        <v>1.8735887949260044</v>
      </c>
      <c r="G39" s="160" t="s">
        <v>253</v>
      </c>
      <c r="I39" s="11" t="s">
        <v>415</v>
      </c>
      <c r="J39" s="25" t="s">
        <v>426</v>
      </c>
      <c r="K39" s="182"/>
      <c r="L39" s="173">
        <f t="shared" si="4"/>
        <v>3.0000000000000004</v>
      </c>
      <c r="M39" s="15">
        <v>6255.6953003999988</v>
      </c>
      <c r="N39" s="15">
        <v>7104.1031837999999</v>
      </c>
      <c r="O39" s="15">
        <v>7952.5110671999992</v>
      </c>
      <c r="P39" s="15">
        <v>8800.9189505999984</v>
      </c>
      <c r="Q39" s="15">
        <v>9649.3268339999995</v>
      </c>
      <c r="R39" s="15">
        <v>10497.734717399999</v>
      </c>
      <c r="S39" s="15">
        <v>11346.142600799998</v>
      </c>
      <c r="T39" s="15">
        <v>12194.550484199997</v>
      </c>
      <c r="U39" s="15">
        <v>13042.9583676</v>
      </c>
      <c r="V39" s="15">
        <v>13891.366250999998</v>
      </c>
      <c r="W39" s="15">
        <v>14739.774134399999</v>
      </c>
    </row>
    <row r="40" spans="3:23" x14ac:dyDescent="0.75">
      <c r="C40" t="s">
        <v>254</v>
      </c>
      <c r="D40" s="2">
        <f>D38*D39</f>
        <v>33.992034373255819</v>
      </c>
      <c r="E40" s="2">
        <f>E38*E39</f>
        <v>43.549794626441852</v>
      </c>
      <c r="F40" s="2">
        <f>F38*F39</f>
        <v>53.987348710465113</v>
      </c>
      <c r="G40" t="s">
        <v>255</v>
      </c>
      <c r="J40" t="s">
        <v>224</v>
      </c>
      <c r="K40" s="182"/>
      <c r="L40" s="173">
        <f t="shared" si="4"/>
        <v>3.2000000000000006</v>
      </c>
      <c r="M40" s="15">
        <v>6595.0584537599989</v>
      </c>
      <c r="N40" s="15">
        <v>7500.0268627199994</v>
      </c>
      <c r="O40" s="15">
        <v>8404.9952716799999</v>
      </c>
      <c r="P40" s="15">
        <v>9309.9636806399976</v>
      </c>
      <c r="Q40" s="15">
        <v>10214.932089599999</v>
      </c>
      <c r="R40" s="15">
        <v>11119.90049856</v>
      </c>
      <c r="S40" s="15">
        <v>12024.868907519998</v>
      </c>
      <c r="T40" s="15">
        <v>12929.837316479996</v>
      </c>
      <c r="U40" s="15">
        <v>13834.805725439999</v>
      </c>
      <c r="V40" s="15">
        <v>14739.774134399999</v>
      </c>
      <c r="W40" s="15">
        <v>15644.74254336</v>
      </c>
    </row>
    <row r="41" spans="3:23" x14ac:dyDescent="0.75">
      <c r="E41" s="2"/>
      <c r="F41" s="2"/>
      <c r="K41" s="182"/>
      <c r="L41" s="173">
        <f t="shared" si="4"/>
        <v>3.4000000000000008</v>
      </c>
      <c r="M41" s="15">
        <v>6934.421607119999</v>
      </c>
      <c r="N41" s="15">
        <v>7895.9505416400007</v>
      </c>
      <c r="O41" s="15">
        <v>8857.4794761600006</v>
      </c>
      <c r="P41" s="15">
        <v>9819.0084106799986</v>
      </c>
      <c r="Q41" s="15">
        <v>10780.5373452</v>
      </c>
      <c r="R41" s="15">
        <v>11742.06627972</v>
      </c>
      <c r="S41" s="15">
        <v>12703.595214239998</v>
      </c>
      <c r="T41" s="15">
        <v>13665.124148759998</v>
      </c>
      <c r="U41" s="15">
        <v>14626.653083280002</v>
      </c>
      <c r="V41" s="15">
        <v>15588.182017799998</v>
      </c>
      <c r="W41" s="15">
        <v>16549.710952320002</v>
      </c>
    </row>
    <row r="42" spans="3:23" x14ac:dyDescent="0.75">
      <c r="C42" t="s">
        <v>256</v>
      </c>
      <c r="D42">
        <v>0.55000000000000004</v>
      </c>
      <c r="E42" s="22">
        <v>0.6</v>
      </c>
      <c r="F42" s="22">
        <v>0.65</v>
      </c>
      <c r="G42" t="s">
        <v>209</v>
      </c>
      <c r="I42" t="s">
        <v>415</v>
      </c>
      <c r="J42" t="s">
        <v>314</v>
      </c>
      <c r="K42" s="182"/>
      <c r="L42" s="173">
        <f t="shared" si="4"/>
        <v>3.600000000000001</v>
      </c>
      <c r="M42" s="15">
        <v>7273.784760479999</v>
      </c>
      <c r="N42" s="15">
        <v>8291.874220560001</v>
      </c>
      <c r="O42" s="15">
        <v>9309.9636806399994</v>
      </c>
      <c r="P42" s="15">
        <v>10328.053140719998</v>
      </c>
      <c r="Q42" s="15">
        <v>11346.1426008</v>
      </c>
      <c r="R42" s="15">
        <v>12364.23206088</v>
      </c>
      <c r="S42" s="15">
        <v>13382.321520959998</v>
      </c>
      <c r="T42" s="15">
        <v>14400.410981039999</v>
      </c>
      <c r="U42" s="15">
        <v>15418.500441120001</v>
      </c>
      <c r="V42" s="15">
        <v>16436.589901200001</v>
      </c>
      <c r="W42" s="15">
        <v>17454.679361279999</v>
      </c>
    </row>
    <row r="43" spans="3:23" x14ac:dyDescent="0.75">
      <c r="J43" s="25"/>
    </row>
    <row r="44" spans="3:23" x14ac:dyDescent="0.75">
      <c r="C44" t="s">
        <v>257</v>
      </c>
      <c r="D44" s="2">
        <f>D40*D42*365</f>
        <v>6823.9009004311056</v>
      </c>
      <c r="E44" s="2">
        <f>E40*E42*365</f>
        <v>9537.4050231907659</v>
      </c>
      <c r="F44" s="2">
        <f>F40*F42*365</f>
        <v>12808.49848155785</v>
      </c>
      <c r="G44" t="s">
        <v>236</v>
      </c>
      <c r="J44" t="s">
        <v>224</v>
      </c>
    </row>
    <row r="45" spans="3:23" ht="15.5" thickBot="1" x14ac:dyDescent="0.9">
      <c r="C45" t="s">
        <v>308</v>
      </c>
      <c r="D45" s="156">
        <v>55</v>
      </c>
      <c r="E45" s="158">
        <v>50</v>
      </c>
      <c r="F45" s="158">
        <v>45</v>
      </c>
      <c r="G45" t="s">
        <v>201</v>
      </c>
      <c r="I45" t="s">
        <v>415</v>
      </c>
      <c r="J45" t="s">
        <v>310</v>
      </c>
    </row>
    <row r="46" spans="3:23" x14ac:dyDescent="0.75">
      <c r="C46" t="s">
        <v>309</v>
      </c>
      <c r="D46" s="2">
        <f>D44*(1-(D45/100))</f>
        <v>3070.7554051939974</v>
      </c>
      <c r="E46" s="2">
        <f>E44*(1-(E45/100))</f>
        <v>4768.7025115953829</v>
      </c>
      <c r="F46" s="2">
        <f>F44*(1-(F45/100))</f>
        <v>7044.6741648568177</v>
      </c>
      <c r="G46" t="s">
        <v>236</v>
      </c>
      <c r="J46" t="s">
        <v>224</v>
      </c>
    </row>
    <row r="47" spans="3:23" x14ac:dyDescent="0.75">
      <c r="C47" t="s">
        <v>427</v>
      </c>
      <c r="D47" s="66">
        <f t="shared" ref="D47:F47" si="5">$I47/D46</f>
        <v>1.2283622439025557</v>
      </c>
      <c r="E47" s="66">
        <f t="shared" si="5"/>
        <v>0.7909908388766459</v>
      </c>
      <c r="F47" s="66">
        <f t="shared" si="5"/>
        <v>0.5354399524703447</v>
      </c>
      <c r="G47" t="s">
        <v>201</v>
      </c>
      <c r="I47" s="2">
        <f>Tower!$AJ$38</f>
        <v>3772</v>
      </c>
    </row>
    <row r="48" spans="3:23" ht="15.5" thickBot="1" x14ac:dyDescent="0.9">
      <c r="E48" s="2"/>
      <c r="F48" s="2"/>
    </row>
    <row r="49" spans="2:23" x14ac:dyDescent="0.75">
      <c r="C49" s="161" t="s">
        <v>274</v>
      </c>
      <c r="D49" s="162">
        <f>D46+D23</f>
        <v>3761.7588496384419</v>
      </c>
      <c r="E49" s="162">
        <f>E46+E23</f>
        <v>5933.9505115953825</v>
      </c>
      <c r="F49" s="162">
        <f>F46+F23</f>
        <v>8909.903164856818</v>
      </c>
      <c r="G49" s="163" t="s">
        <v>236</v>
      </c>
      <c r="J49" t="s">
        <v>224</v>
      </c>
    </row>
    <row r="50" spans="2:23" ht="15.5" thickBot="1" x14ac:dyDescent="0.9">
      <c r="C50" s="164" t="s">
        <v>416</v>
      </c>
      <c r="D50" s="170">
        <f>-(1-D49/E49)*100</f>
        <v>-36.606164101171991</v>
      </c>
      <c r="E50" s="169">
        <v>0</v>
      </c>
      <c r="F50" s="166">
        <f>(F49/E49-1)*100</f>
        <v>50.151288714764334</v>
      </c>
      <c r="G50" s="165" t="s">
        <v>201</v>
      </c>
    </row>
    <row r="52" spans="2:23" x14ac:dyDescent="0.75">
      <c r="B52" s="155" t="s">
        <v>194</v>
      </c>
      <c r="C52" s="155"/>
      <c r="D52" s="24" t="s">
        <v>409</v>
      </c>
      <c r="E52" s="24" t="s">
        <v>407</v>
      </c>
      <c r="F52" s="24" t="s">
        <v>408</v>
      </c>
      <c r="G52" s="24" t="s">
        <v>228</v>
      </c>
      <c r="H52" s="24"/>
      <c r="I52" s="24" t="s">
        <v>413</v>
      </c>
      <c r="J52" s="24" t="s">
        <v>229</v>
      </c>
    </row>
    <row r="53" spans="2:23" s="85" customFormat="1" x14ac:dyDescent="0.75">
      <c r="B53" s="84"/>
      <c r="C53" s="84"/>
      <c r="D53" s="84"/>
      <c r="E53" s="84"/>
      <c r="F53" s="84"/>
      <c r="G53" s="84"/>
      <c r="J53" s="20" t="s">
        <v>222</v>
      </c>
      <c r="M53" s="185" t="s">
        <v>434</v>
      </c>
      <c r="N53" s="185"/>
      <c r="O53" s="185"/>
      <c r="P53" s="185"/>
      <c r="Q53" s="185"/>
      <c r="R53" s="185"/>
      <c r="S53" s="185"/>
      <c r="T53" s="185"/>
      <c r="U53" s="185"/>
      <c r="V53" s="185"/>
      <c r="W53" s="185"/>
    </row>
    <row r="54" spans="2:23" x14ac:dyDescent="0.75">
      <c r="C54" s="183" t="s">
        <v>195</v>
      </c>
      <c r="D54" s="183"/>
      <c r="E54" s="183"/>
      <c r="F54" s="183"/>
      <c r="G54" s="183"/>
      <c r="H54" s="27"/>
      <c r="I54" s="27"/>
      <c r="J54" s="27"/>
    </row>
    <row r="55" spans="2:23" x14ac:dyDescent="0.75">
      <c r="C55" t="s">
        <v>196</v>
      </c>
      <c r="D55">
        <v>128</v>
      </c>
      <c r="E55">
        <v>128</v>
      </c>
      <c r="F55">
        <v>128</v>
      </c>
      <c r="G55" t="s">
        <v>202</v>
      </c>
      <c r="I55" t="s">
        <v>414</v>
      </c>
      <c r="J55" t="s">
        <v>213</v>
      </c>
      <c r="M55" s="184" t="s">
        <v>435</v>
      </c>
      <c r="N55" s="184"/>
      <c r="O55" s="184"/>
      <c r="P55" s="184"/>
      <c r="Q55" s="184"/>
      <c r="R55" s="184"/>
      <c r="S55" s="184"/>
      <c r="T55" s="184"/>
      <c r="U55" s="184"/>
      <c r="V55" s="184"/>
      <c r="W55" s="184"/>
    </row>
    <row r="56" spans="2:23" ht="15.5" thickBot="1" x14ac:dyDescent="0.9">
      <c r="C56" t="s">
        <v>197</v>
      </c>
      <c r="D56" s="156">
        <v>65</v>
      </c>
      <c r="E56" s="156">
        <v>69.5</v>
      </c>
      <c r="F56" s="156">
        <v>75</v>
      </c>
      <c r="G56" t="s">
        <v>201</v>
      </c>
      <c r="I56" t="s">
        <v>415</v>
      </c>
      <c r="J56" t="s">
        <v>214</v>
      </c>
      <c r="L56" s="175">
        <f>E69</f>
        <v>1156.8654028436019</v>
      </c>
      <c r="M56">
        <v>-2</v>
      </c>
      <c r="N56">
        <f>M56+2</f>
        <v>0</v>
      </c>
      <c r="O56">
        <f t="shared" ref="O56:W56" si="6">N56+2</f>
        <v>2</v>
      </c>
      <c r="P56">
        <f t="shared" si="6"/>
        <v>4</v>
      </c>
      <c r="Q56">
        <f t="shared" si="6"/>
        <v>6</v>
      </c>
      <c r="R56">
        <f t="shared" si="6"/>
        <v>8</v>
      </c>
      <c r="S56">
        <f t="shared" si="6"/>
        <v>10</v>
      </c>
      <c r="T56">
        <f t="shared" si="6"/>
        <v>12</v>
      </c>
      <c r="U56">
        <f t="shared" si="6"/>
        <v>14</v>
      </c>
      <c r="V56">
        <f t="shared" si="6"/>
        <v>16</v>
      </c>
      <c r="W56">
        <f t="shared" si="6"/>
        <v>18</v>
      </c>
    </row>
    <row r="57" spans="2:23" x14ac:dyDescent="0.75">
      <c r="C57" t="s">
        <v>258</v>
      </c>
      <c r="D57">
        <f>D55*D56/100</f>
        <v>83.2</v>
      </c>
      <c r="E57">
        <f>E55*E56/100</f>
        <v>88.96</v>
      </c>
      <c r="F57">
        <f>F55*F56/100</f>
        <v>96</v>
      </c>
      <c r="G57" t="s">
        <v>202</v>
      </c>
      <c r="J57" t="s">
        <v>224</v>
      </c>
      <c r="K57" s="182" t="s">
        <v>308</v>
      </c>
      <c r="L57">
        <v>20</v>
      </c>
      <c r="M57" s="15">
        <f t="dataTable" ref="M57:W66" dt2D="1" dtr="1" r1="E63" r2="E68"/>
        <v>995.59680000000014</v>
      </c>
      <c r="N57" s="15">
        <v>1080</v>
      </c>
      <c r="O57" s="15">
        <v>1164.4032</v>
      </c>
      <c r="P57" s="15">
        <v>1248.8064000000002</v>
      </c>
      <c r="Q57" s="15">
        <v>1333.2096000000001</v>
      </c>
      <c r="R57" s="15">
        <v>1417.6128000000001</v>
      </c>
      <c r="S57" s="15">
        <v>1502.0160000000001</v>
      </c>
      <c r="T57" s="15">
        <v>1586.4192</v>
      </c>
      <c r="U57" s="15">
        <v>1670.8224</v>
      </c>
      <c r="V57" s="15">
        <v>1755.2256000000002</v>
      </c>
      <c r="W57" s="15">
        <v>1839.6287999999997</v>
      </c>
    </row>
    <row r="58" spans="2:23" x14ac:dyDescent="0.75">
      <c r="K58" s="182"/>
      <c r="L58">
        <f>L57+5</f>
        <v>25</v>
      </c>
      <c r="M58" s="15">
        <v>933.37200000000007</v>
      </c>
      <c r="N58" s="15">
        <v>1012.5</v>
      </c>
      <c r="O58" s="15">
        <v>1091.6279999999999</v>
      </c>
      <c r="P58" s="15">
        <v>1170.7560000000001</v>
      </c>
      <c r="Q58" s="15">
        <v>1249.884</v>
      </c>
      <c r="R58" s="15">
        <v>1329.0120000000002</v>
      </c>
      <c r="S58" s="15">
        <v>1408.1399999999999</v>
      </c>
      <c r="T58" s="15">
        <v>1487.268</v>
      </c>
      <c r="U58" s="15">
        <v>1566.3959999999997</v>
      </c>
      <c r="V58" s="15">
        <v>1645.5240000000001</v>
      </c>
      <c r="W58" s="15">
        <v>1724.6519999999996</v>
      </c>
    </row>
    <row r="59" spans="2:23" x14ac:dyDescent="0.75">
      <c r="C59" t="s">
        <v>198</v>
      </c>
      <c r="D59">
        <v>45</v>
      </c>
      <c r="E59">
        <v>45</v>
      </c>
      <c r="F59">
        <v>45</v>
      </c>
      <c r="G59" t="s">
        <v>202</v>
      </c>
      <c r="I59" t="s">
        <v>414</v>
      </c>
      <c r="J59" t="s">
        <v>214</v>
      </c>
      <c r="K59" s="182"/>
      <c r="L59">
        <f t="shared" ref="L59:L66" si="7">L58+5</f>
        <v>30</v>
      </c>
      <c r="M59" s="15">
        <v>871.1472</v>
      </c>
      <c r="N59" s="15">
        <v>944.99999999999989</v>
      </c>
      <c r="O59" s="15">
        <v>1018.8527999999999</v>
      </c>
      <c r="P59" s="15">
        <v>1092.7056</v>
      </c>
      <c r="Q59" s="15">
        <v>1166.5583999999999</v>
      </c>
      <c r="R59" s="15">
        <v>1240.4112</v>
      </c>
      <c r="S59" s="15">
        <v>1314.2639999999999</v>
      </c>
      <c r="T59" s="15">
        <v>1388.1167999999998</v>
      </c>
      <c r="U59" s="15">
        <v>1461.9695999999997</v>
      </c>
      <c r="V59" s="15">
        <v>1535.8224</v>
      </c>
      <c r="W59" s="15">
        <v>1609.6751999999997</v>
      </c>
    </row>
    <row r="60" spans="2:23" x14ac:dyDescent="0.75">
      <c r="C60" t="s">
        <v>199</v>
      </c>
      <c r="D60" s="2">
        <f>D57-D59</f>
        <v>38.200000000000003</v>
      </c>
      <c r="E60" s="2">
        <f>E57-E59</f>
        <v>43.959999999999994</v>
      </c>
      <c r="F60" s="2">
        <f>F57-F59</f>
        <v>51</v>
      </c>
      <c r="G60" t="s">
        <v>202</v>
      </c>
      <c r="J60" t="s">
        <v>224</v>
      </c>
      <c r="K60" s="182"/>
      <c r="L60">
        <f t="shared" si="7"/>
        <v>35</v>
      </c>
      <c r="M60" s="15">
        <v>808.92240000000004</v>
      </c>
      <c r="N60" s="15">
        <v>877.5</v>
      </c>
      <c r="O60" s="15">
        <v>946.07759999999996</v>
      </c>
      <c r="P60" s="15">
        <v>1014.6552</v>
      </c>
      <c r="Q60" s="15">
        <v>1083.2328</v>
      </c>
      <c r="R60" s="15">
        <v>1151.8104000000001</v>
      </c>
      <c r="S60" s="15">
        <v>1220.3879999999999</v>
      </c>
      <c r="T60" s="15">
        <v>1288.9656</v>
      </c>
      <c r="U60" s="15">
        <v>1357.5431999999998</v>
      </c>
      <c r="V60" s="15">
        <v>1426.1208000000001</v>
      </c>
      <c r="W60" s="15">
        <v>1494.6983999999998</v>
      </c>
    </row>
    <row r="61" spans="2:23" ht="15.5" thickBot="1" x14ac:dyDescent="0.9">
      <c r="C61" t="s">
        <v>200</v>
      </c>
      <c r="D61" s="169">
        <f>D11</f>
        <v>4.5</v>
      </c>
      <c r="E61" s="169">
        <f>E11</f>
        <v>4</v>
      </c>
      <c r="F61" s="169">
        <f>F11</f>
        <v>3.5</v>
      </c>
      <c r="G61" t="s">
        <v>203</v>
      </c>
      <c r="I61" t="s">
        <v>415</v>
      </c>
      <c r="J61" t="s">
        <v>276</v>
      </c>
      <c r="K61" s="182"/>
      <c r="L61">
        <f t="shared" si="7"/>
        <v>40</v>
      </c>
      <c r="M61" s="15">
        <v>746.69760000000008</v>
      </c>
      <c r="N61" s="15">
        <v>810</v>
      </c>
      <c r="O61" s="15">
        <v>873.30239999999992</v>
      </c>
      <c r="P61" s="15">
        <v>936.60479999999995</v>
      </c>
      <c r="Q61" s="15">
        <v>999.90719999999988</v>
      </c>
      <c r="R61" s="15">
        <v>1063.2095999999999</v>
      </c>
      <c r="S61" s="15">
        <v>1126.5119999999999</v>
      </c>
      <c r="T61" s="15">
        <v>1189.8144</v>
      </c>
      <c r="U61" s="15">
        <v>1253.1167999999998</v>
      </c>
      <c r="V61" s="15">
        <v>1316.4192</v>
      </c>
      <c r="W61" s="15">
        <v>1379.7215999999996</v>
      </c>
    </row>
    <row r="62" spans="2:23" x14ac:dyDescent="0.75">
      <c r="C62" t="s">
        <v>204</v>
      </c>
      <c r="D62" s="2">
        <f>D59/D61</f>
        <v>10</v>
      </c>
      <c r="E62" s="2">
        <f>E59/E61</f>
        <v>11.25</v>
      </c>
      <c r="F62" s="2">
        <f>F59/F61</f>
        <v>12.857142857142858</v>
      </c>
      <c r="G62" t="s">
        <v>202</v>
      </c>
      <c r="J62" t="s">
        <v>224</v>
      </c>
      <c r="K62" s="182"/>
      <c r="L62">
        <f t="shared" si="7"/>
        <v>45</v>
      </c>
      <c r="M62" s="15">
        <v>684.47280000000012</v>
      </c>
      <c r="N62" s="15">
        <v>742.50000000000011</v>
      </c>
      <c r="O62" s="15">
        <v>800.52719999999999</v>
      </c>
      <c r="P62" s="15">
        <v>858.5544000000001</v>
      </c>
      <c r="Q62" s="15">
        <v>916.58160000000009</v>
      </c>
      <c r="R62" s="15">
        <v>974.60880000000009</v>
      </c>
      <c r="S62" s="15">
        <v>1032.636</v>
      </c>
      <c r="T62" s="15">
        <v>1090.6632</v>
      </c>
      <c r="U62" s="15">
        <v>1148.6904</v>
      </c>
      <c r="V62" s="15">
        <v>1206.7176000000002</v>
      </c>
      <c r="W62" s="15">
        <v>1264.7447999999999</v>
      </c>
    </row>
    <row r="63" spans="2:23" x14ac:dyDescent="0.75">
      <c r="C63" t="s">
        <v>206</v>
      </c>
      <c r="D63" s="167">
        <v>0</v>
      </c>
      <c r="E63" s="2">
        <v>5.7375049515685763</v>
      </c>
      <c r="F63">
        <v>10</v>
      </c>
      <c r="G63" t="s">
        <v>201</v>
      </c>
      <c r="I63" s="11" t="s">
        <v>415</v>
      </c>
      <c r="J63" t="s">
        <v>417</v>
      </c>
      <c r="K63" s="182"/>
      <c r="L63">
        <f t="shared" si="7"/>
        <v>50</v>
      </c>
      <c r="M63" s="15">
        <v>622.24800000000005</v>
      </c>
      <c r="N63" s="15">
        <v>675</v>
      </c>
      <c r="O63" s="15">
        <v>727.75199999999995</v>
      </c>
      <c r="P63" s="15">
        <v>780.50400000000002</v>
      </c>
      <c r="Q63" s="15">
        <v>833.25599999999997</v>
      </c>
      <c r="R63" s="15">
        <v>886.00800000000004</v>
      </c>
      <c r="S63" s="15">
        <v>938.76</v>
      </c>
      <c r="T63" s="15">
        <v>991.51199999999994</v>
      </c>
      <c r="U63" s="15">
        <v>1044.2639999999999</v>
      </c>
      <c r="V63" s="15">
        <v>1097.0160000000001</v>
      </c>
      <c r="W63" s="15">
        <v>1149.7679999999998</v>
      </c>
    </row>
    <row r="64" spans="2:23" ht="15.5" thickBot="1" x14ac:dyDescent="0.9">
      <c r="C64" t="s">
        <v>205</v>
      </c>
      <c r="D64" s="168">
        <f>D60*(D63/100)</f>
        <v>0</v>
      </c>
      <c r="E64" s="158">
        <f>E60*(E63/100)</f>
        <v>2.522207176709546</v>
      </c>
      <c r="F64" s="158">
        <f>F60*(F63/100)</f>
        <v>5.1000000000000005</v>
      </c>
      <c r="G64" t="s">
        <v>202</v>
      </c>
      <c r="J64" t="s">
        <v>224</v>
      </c>
      <c r="K64" s="182"/>
      <c r="L64">
        <f t="shared" si="7"/>
        <v>55</v>
      </c>
      <c r="M64" s="15">
        <v>560.02319999999997</v>
      </c>
      <c r="N64" s="15">
        <v>607.49999999999989</v>
      </c>
      <c r="O64" s="15">
        <v>654.97679999999991</v>
      </c>
      <c r="P64" s="15">
        <v>702.45359999999994</v>
      </c>
      <c r="Q64" s="15">
        <v>749.93039999999985</v>
      </c>
      <c r="R64" s="15">
        <v>797.40719999999999</v>
      </c>
      <c r="S64" s="15">
        <v>844.8839999999999</v>
      </c>
      <c r="T64" s="15">
        <v>892.36079999999981</v>
      </c>
      <c r="U64" s="15">
        <v>939.83759999999984</v>
      </c>
      <c r="V64" s="15">
        <v>987.31439999999998</v>
      </c>
      <c r="W64" s="15">
        <v>1034.7911999999997</v>
      </c>
    </row>
    <row r="65" spans="3:23" x14ac:dyDescent="0.75">
      <c r="C65" t="s">
        <v>207</v>
      </c>
      <c r="D65" s="2">
        <f>D64+D62</f>
        <v>10</v>
      </c>
      <c r="E65" s="2">
        <f>E64+E62</f>
        <v>13.772207176709546</v>
      </c>
      <c r="F65" s="2">
        <f>F64+F62</f>
        <v>17.957142857142859</v>
      </c>
      <c r="G65" t="s">
        <v>210</v>
      </c>
      <c r="J65" t="s">
        <v>224</v>
      </c>
      <c r="K65" s="182"/>
      <c r="L65">
        <f t="shared" si="7"/>
        <v>60</v>
      </c>
      <c r="M65" s="15">
        <v>497.79840000000007</v>
      </c>
      <c r="N65" s="15">
        <v>540</v>
      </c>
      <c r="O65" s="15">
        <v>582.20159999999998</v>
      </c>
      <c r="P65" s="15">
        <v>624.40320000000008</v>
      </c>
      <c r="Q65" s="15">
        <v>666.60480000000007</v>
      </c>
      <c r="R65" s="15">
        <v>708.80640000000005</v>
      </c>
      <c r="S65" s="15">
        <v>751.00800000000004</v>
      </c>
      <c r="T65" s="15">
        <v>793.20960000000002</v>
      </c>
      <c r="U65" s="15">
        <v>835.41120000000001</v>
      </c>
      <c r="V65" s="15">
        <v>877.61280000000011</v>
      </c>
      <c r="W65" s="15">
        <v>919.81439999999986</v>
      </c>
    </row>
    <row r="66" spans="3:23" x14ac:dyDescent="0.75">
      <c r="K66" s="182"/>
      <c r="L66">
        <f t="shared" si="7"/>
        <v>65</v>
      </c>
      <c r="M66" s="15">
        <v>435.5736</v>
      </c>
      <c r="N66" s="15">
        <v>472.49999999999994</v>
      </c>
      <c r="O66" s="15">
        <v>509.42639999999994</v>
      </c>
      <c r="P66" s="15">
        <v>546.3528</v>
      </c>
      <c r="Q66" s="15">
        <v>583.27919999999995</v>
      </c>
      <c r="R66" s="15">
        <v>620.2056</v>
      </c>
      <c r="S66" s="15">
        <v>657.13199999999995</v>
      </c>
      <c r="T66" s="15">
        <v>694.05839999999989</v>
      </c>
      <c r="U66" s="15">
        <v>730.98479999999984</v>
      </c>
      <c r="V66" s="15">
        <v>767.91120000000001</v>
      </c>
      <c r="W66" s="15">
        <v>804.83759999999984</v>
      </c>
    </row>
    <row r="67" spans="3:23" x14ac:dyDescent="0.75">
      <c r="C67" t="s">
        <v>208</v>
      </c>
      <c r="D67">
        <f t="shared" ref="D67:F68" si="8">D21</f>
        <v>100</v>
      </c>
      <c r="E67">
        <f t="shared" si="8"/>
        <v>120</v>
      </c>
      <c r="F67">
        <f t="shared" si="8"/>
        <v>140</v>
      </c>
      <c r="G67" t="s">
        <v>209</v>
      </c>
      <c r="I67" t="s">
        <v>415</v>
      </c>
      <c r="J67" t="s">
        <v>300</v>
      </c>
    </row>
    <row r="68" spans="3:23" ht="15.5" thickBot="1" x14ac:dyDescent="0.9">
      <c r="C68" t="s">
        <v>308</v>
      </c>
      <c r="D68" s="156">
        <f t="shared" si="8"/>
        <v>35</v>
      </c>
      <c r="E68" s="156">
        <f t="shared" si="8"/>
        <v>30</v>
      </c>
      <c r="F68" s="156">
        <f t="shared" si="8"/>
        <v>25</v>
      </c>
      <c r="G68" t="s">
        <v>201</v>
      </c>
      <c r="I68" s="11" t="s">
        <v>415</v>
      </c>
      <c r="J68" t="s">
        <v>311</v>
      </c>
    </row>
    <row r="69" spans="3:23" x14ac:dyDescent="0.75">
      <c r="C69" t="s">
        <v>211</v>
      </c>
      <c r="D69" s="2">
        <f>D65*D67*(1-D68/100)</f>
        <v>650</v>
      </c>
      <c r="E69" s="2">
        <f>E65*E67*(1-E68/100)</f>
        <v>1156.8654028436019</v>
      </c>
      <c r="F69" s="2">
        <f>F65*F67*(1-F68/100)</f>
        <v>1885.5000000000005</v>
      </c>
      <c r="G69" t="s">
        <v>235</v>
      </c>
      <c r="J69" t="s">
        <v>216</v>
      </c>
    </row>
    <row r="70" spans="3:23" x14ac:dyDescent="0.75">
      <c r="C70" t="s">
        <v>423</v>
      </c>
      <c r="D70" s="66">
        <f>$I70/D69</f>
        <v>1.42</v>
      </c>
      <c r="E70" s="66">
        <f t="shared" ref="E70" si="9">$I70/E69</f>
        <v>0.79784562467789655</v>
      </c>
      <c r="F70" s="66">
        <f t="shared" ref="F70" si="10">$I70/F69</f>
        <v>0.48952532484752043</v>
      </c>
      <c r="G70" t="s">
        <v>201</v>
      </c>
      <c r="I70" s="15">
        <f>Tower!$AJ$39</f>
        <v>923</v>
      </c>
    </row>
    <row r="72" spans="3:23" x14ac:dyDescent="0.75">
      <c r="M72" s="180" t="s">
        <v>433</v>
      </c>
      <c r="N72" s="180"/>
      <c r="O72" s="180"/>
      <c r="P72" s="180"/>
      <c r="Q72" s="180"/>
      <c r="R72" s="180"/>
      <c r="S72" s="180"/>
      <c r="T72" s="180"/>
      <c r="U72" s="180"/>
      <c r="V72" s="180"/>
      <c r="W72" s="180"/>
    </row>
    <row r="73" spans="3:23" x14ac:dyDescent="0.75">
      <c r="C73" s="183" t="s">
        <v>193</v>
      </c>
      <c r="D73" s="183"/>
      <c r="E73" s="183"/>
      <c r="F73" s="183"/>
      <c r="G73" s="183"/>
      <c r="H73" s="27"/>
      <c r="I73" s="27"/>
      <c r="J73" s="27"/>
    </row>
    <row r="74" spans="3:23" x14ac:dyDescent="0.75">
      <c r="C74" t="s">
        <v>212</v>
      </c>
      <c r="D74">
        <v>45</v>
      </c>
      <c r="E74">
        <v>45</v>
      </c>
      <c r="F74">
        <v>45</v>
      </c>
      <c r="G74" t="s">
        <v>210</v>
      </c>
      <c r="I74" t="s">
        <v>414</v>
      </c>
      <c r="J74" t="s">
        <v>420</v>
      </c>
      <c r="M74" s="184" t="s">
        <v>431</v>
      </c>
      <c r="N74" s="184"/>
      <c r="O74" s="184"/>
      <c r="P74" s="184"/>
      <c r="Q74" s="184"/>
      <c r="R74" s="184"/>
      <c r="S74" s="184"/>
      <c r="T74" s="184"/>
      <c r="U74" s="184"/>
      <c r="V74" s="184"/>
      <c r="W74" s="184"/>
    </row>
    <row r="75" spans="3:23" x14ac:dyDescent="0.75">
      <c r="C75" t="s">
        <v>217</v>
      </c>
      <c r="D75">
        <v>12</v>
      </c>
      <c r="E75">
        <v>12</v>
      </c>
      <c r="F75">
        <v>12</v>
      </c>
      <c r="G75" t="s">
        <v>210</v>
      </c>
      <c r="I75" t="s">
        <v>414</v>
      </c>
      <c r="J75" t="s">
        <v>214</v>
      </c>
      <c r="L75" s="175">
        <f>E87</f>
        <v>3627.3902471496276</v>
      </c>
      <c r="M75" s="174">
        <v>0.3</v>
      </c>
      <c r="N75" s="174">
        <f>M75+0.05</f>
        <v>0.35</v>
      </c>
      <c r="O75" s="174">
        <f t="shared" ref="O75:W75" si="11">N75+0.05</f>
        <v>0.39999999999999997</v>
      </c>
      <c r="P75" s="174">
        <f t="shared" si="11"/>
        <v>0.44999999999999996</v>
      </c>
      <c r="Q75" s="174">
        <f t="shared" si="11"/>
        <v>0.49999999999999994</v>
      </c>
      <c r="R75" s="174">
        <f t="shared" si="11"/>
        <v>0.54999999999999993</v>
      </c>
      <c r="S75" s="174">
        <f t="shared" si="11"/>
        <v>0.6</v>
      </c>
      <c r="T75" s="174">
        <f t="shared" si="11"/>
        <v>0.65</v>
      </c>
      <c r="U75" s="174">
        <f t="shared" si="11"/>
        <v>0.70000000000000007</v>
      </c>
      <c r="V75" s="174">
        <f t="shared" si="11"/>
        <v>0.75000000000000011</v>
      </c>
      <c r="W75" s="174">
        <f t="shared" si="11"/>
        <v>0.80000000000000016</v>
      </c>
    </row>
    <row r="76" spans="3:23" ht="15.5" thickBot="1" x14ac:dyDescent="0.9">
      <c r="C76" t="s">
        <v>418</v>
      </c>
      <c r="D76" s="156">
        <v>0</v>
      </c>
      <c r="E76" s="156">
        <v>10</v>
      </c>
      <c r="F76" s="156">
        <v>20</v>
      </c>
      <c r="G76" t="s">
        <v>201</v>
      </c>
      <c r="I76" t="s">
        <v>415</v>
      </c>
      <c r="J76" t="s">
        <v>219</v>
      </c>
      <c r="K76" s="182" t="s">
        <v>432</v>
      </c>
      <c r="L76">
        <v>4</v>
      </c>
      <c r="M76" s="15">
        <f t="dataTable" ref="M76:W88" dt2D="1" dtr="1" r1="E85" r2="E82"/>
        <v>916.58629113067025</v>
      </c>
      <c r="N76" s="15">
        <v>1069.350672985782</v>
      </c>
      <c r="O76" s="15">
        <v>1222.1150548408937</v>
      </c>
      <c r="P76" s="15">
        <v>1374.8794366960053</v>
      </c>
      <c r="Q76" s="15">
        <v>1527.643818551117</v>
      </c>
      <c r="R76" s="15">
        <v>1680.4082004062286</v>
      </c>
      <c r="S76" s="15">
        <v>1833.1725822613405</v>
      </c>
      <c r="T76" s="15">
        <v>1985.9369641164524</v>
      </c>
      <c r="U76" s="15">
        <v>2138.7013459715645</v>
      </c>
      <c r="V76" s="15">
        <v>2291.4657278266759</v>
      </c>
      <c r="W76" s="15">
        <v>2444.2301096817878</v>
      </c>
    </row>
    <row r="77" spans="3:23" x14ac:dyDescent="0.75">
      <c r="C77" t="s">
        <v>218</v>
      </c>
      <c r="D77">
        <f>D76/100*D75</f>
        <v>0</v>
      </c>
      <c r="E77">
        <f>E76/100*E75</f>
        <v>1.2000000000000002</v>
      </c>
      <c r="F77">
        <f>F76/100*F75</f>
        <v>2.4000000000000004</v>
      </c>
      <c r="G77" t="s">
        <v>210</v>
      </c>
      <c r="I77" t="s">
        <v>415</v>
      </c>
      <c r="J77" t="s">
        <v>224</v>
      </c>
      <c r="K77" s="182"/>
      <c r="L77">
        <f>L76+2</f>
        <v>6</v>
      </c>
      <c r="M77" s="15">
        <v>1374.8794366960055</v>
      </c>
      <c r="N77" s="15">
        <v>1604.0260094786731</v>
      </c>
      <c r="O77" s="15">
        <v>1833.1725822613405</v>
      </c>
      <c r="P77" s="15">
        <v>2062.3191550440083</v>
      </c>
      <c r="Q77" s="15">
        <v>2291.4657278266754</v>
      </c>
      <c r="R77" s="15">
        <v>2520.612300609343</v>
      </c>
      <c r="S77" s="15">
        <v>2749.7588733920111</v>
      </c>
      <c r="T77" s="15">
        <v>2978.9054461746787</v>
      </c>
      <c r="U77" s="15">
        <v>3208.0520189573467</v>
      </c>
      <c r="V77" s="15">
        <v>3437.1985917400143</v>
      </c>
      <c r="W77" s="15">
        <v>3666.3451645226824</v>
      </c>
    </row>
    <row r="78" spans="3:23" x14ac:dyDescent="0.75">
      <c r="K78" s="182"/>
      <c r="L78">
        <f t="shared" ref="L78:L88" si="12">L77+2</f>
        <v>8</v>
      </c>
      <c r="M78" s="15">
        <v>1833.1725822613405</v>
      </c>
      <c r="N78" s="15">
        <v>2138.701345971564</v>
      </c>
      <c r="O78" s="15">
        <v>2444.2301096817873</v>
      </c>
      <c r="P78" s="15">
        <v>2749.7588733920106</v>
      </c>
      <c r="Q78" s="15">
        <v>3055.2876371022339</v>
      </c>
      <c r="R78" s="15">
        <v>3360.8164008124572</v>
      </c>
      <c r="S78" s="15">
        <v>3666.345164522681</v>
      </c>
      <c r="T78" s="15">
        <v>3971.8739282329047</v>
      </c>
      <c r="U78" s="15">
        <v>4277.402691943129</v>
      </c>
      <c r="V78" s="15">
        <v>4582.9314556533518</v>
      </c>
      <c r="W78" s="15">
        <v>4888.4602193635756</v>
      </c>
    </row>
    <row r="79" spans="3:23" x14ac:dyDescent="0.75">
      <c r="C79" t="s">
        <v>223</v>
      </c>
      <c r="D79" s="21">
        <f>D64</f>
        <v>0</v>
      </c>
      <c r="E79" s="21">
        <f>E64</f>
        <v>2.522207176709546</v>
      </c>
      <c r="F79" s="21">
        <f>F64</f>
        <v>5.1000000000000005</v>
      </c>
      <c r="G79" t="s">
        <v>210</v>
      </c>
      <c r="J79" t="s">
        <v>220</v>
      </c>
      <c r="K79" s="182"/>
      <c r="L79">
        <f t="shared" si="12"/>
        <v>10</v>
      </c>
      <c r="M79" s="15">
        <v>2291.4657278266754</v>
      </c>
      <c r="N79" s="15">
        <v>2673.3766824644549</v>
      </c>
      <c r="O79" s="15">
        <v>3055.2876371022339</v>
      </c>
      <c r="P79" s="15">
        <v>3437.1985917400134</v>
      </c>
      <c r="Q79" s="15">
        <v>3819.1095463777924</v>
      </c>
      <c r="R79" s="15">
        <v>4201.0205010155714</v>
      </c>
      <c r="S79" s="15">
        <v>4582.9314556533509</v>
      </c>
      <c r="T79" s="15">
        <v>4964.8424102911313</v>
      </c>
      <c r="U79" s="15">
        <v>5346.7533649289107</v>
      </c>
      <c r="V79" s="15">
        <v>5728.6643195666902</v>
      </c>
      <c r="W79" s="15">
        <v>6110.5752742044697</v>
      </c>
    </row>
    <row r="80" spans="3:23" ht="15.5" thickBot="1" x14ac:dyDescent="0.9">
      <c r="C80" t="s">
        <v>233</v>
      </c>
      <c r="D80" s="156">
        <v>70</v>
      </c>
      <c r="E80" s="156">
        <v>80</v>
      </c>
      <c r="F80" s="156">
        <v>90</v>
      </c>
      <c r="G80" t="s">
        <v>201</v>
      </c>
      <c r="I80" t="s">
        <v>415</v>
      </c>
      <c r="J80" t="s">
        <v>301</v>
      </c>
      <c r="K80" s="182"/>
      <c r="L80">
        <f t="shared" si="12"/>
        <v>12</v>
      </c>
      <c r="M80" s="15">
        <v>2749.7588733920111</v>
      </c>
      <c r="N80" s="15">
        <v>3208.0520189573463</v>
      </c>
      <c r="O80" s="15">
        <v>3666.345164522681</v>
      </c>
      <c r="P80" s="15">
        <v>4124.6383100880166</v>
      </c>
      <c r="Q80" s="15">
        <v>4582.9314556533509</v>
      </c>
      <c r="R80" s="15">
        <v>5041.2246012186861</v>
      </c>
      <c r="S80" s="15">
        <v>5499.5177467840222</v>
      </c>
      <c r="T80" s="15">
        <v>5957.8108923493573</v>
      </c>
      <c r="U80" s="15">
        <v>6416.1040379146934</v>
      </c>
      <c r="V80" s="15">
        <v>6874.3971834800286</v>
      </c>
      <c r="W80" s="15">
        <v>7332.6903290453647</v>
      </c>
    </row>
    <row r="81" spans="2:23" x14ac:dyDescent="0.75">
      <c r="C81" t="s">
        <v>221</v>
      </c>
      <c r="D81" s="2">
        <f>(D74-D75+D77+D79)*(D80/100)</f>
        <v>23.099999999999998</v>
      </c>
      <c r="E81" s="2">
        <f>(E74-E75+E77+E79)*(E80/100)</f>
        <v>29.377765741367639</v>
      </c>
      <c r="F81" s="2">
        <f>(F74-F75+F77+F79)*(F80/100)</f>
        <v>36.450000000000003</v>
      </c>
      <c r="G81" t="s">
        <v>210</v>
      </c>
      <c r="J81" t="s">
        <v>224</v>
      </c>
      <c r="K81" s="182"/>
      <c r="L81">
        <f t="shared" si="12"/>
        <v>14</v>
      </c>
      <c r="M81" s="15">
        <v>3208.0520189573463</v>
      </c>
      <c r="N81" s="15">
        <v>3742.7273554502372</v>
      </c>
      <c r="O81" s="15">
        <v>4277.402691943128</v>
      </c>
      <c r="P81" s="15">
        <v>4812.0780284360189</v>
      </c>
      <c r="Q81" s="15">
        <v>5346.7533649289098</v>
      </c>
      <c r="R81" s="15">
        <v>5881.4287014218007</v>
      </c>
      <c r="S81" s="15">
        <v>6416.1040379146925</v>
      </c>
      <c r="T81" s="15">
        <v>6950.7793744075843</v>
      </c>
      <c r="U81" s="15">
        <v>7485.4547109004761</v>
      </c>
      <c r="V81" s="15">
        <v>8020.130047393367</v>
      </c>
      <c r="W81" s="15">
        <v>8554.8053838862597</v>
      </c>
    </row>
    <row r="82" spans="2:23" ht="15.5" thickBot="1" x14ac:dyDescent="0.9">
      <c r="C82" t="s">
        <v>225</v>
      </c>
      <c r="D82" s="156">
        <v>5</v>
      </c>
      <c r="E82" s="158">
        <v>7.915</v>
      </c>
      <c r="F82" s="156">
        <v>12</v>
      </c>
      <c r="G82" t="s">
        <v>232</v>
      </c>
      <c r="I82" s="11" t="s">
        <v>415</v>
      </c>
      <c r="J82" t="s">
        <v>234</v>
      </c>
      <c r="K82" s="182"/>
      <c r="L82">
        <f t="shared" si="12"/>
        <v>16</v>
      </c>
      <c r="M82" s="15">
        <v>3666.345164522681</v>
      </c>
      <c r="N82" s="15">
        <v>4277.402691943128</v>
      </c>
      <c r="O82" s="15">
        <v>4888.4602193635747</v>
      </c>
      <c r="P82" s="15">
        <v>5499.5177467840213</v>
      </c>
      <c r="Q82" s="15">
        <v>6110.5752742044679</v>
      </c>
      <c r="R82" s="15">
        <v>6721.6328016249145</v>
      </c>
      <c r="S82" s="15">
        <v>7332.690329045362</v>
      </c>
      <c r="T82" s="15">
        <v>7943.7478564658095</v>
      </c>
      <c r="U82" s="15">
        <v>8554.8053838862579</v>
      </c>
      <c r="V82" s="15">
        <v>9165.8629113067036</v>
      </c>
      <c r="W82" s="15">
        <v>9776.9204387271511</v>
      </c>
    </row>
    <row r="83" spans="2:23" x14ac:dyDescent="0.75">
      <c r="C83" t="s">
        <v>226</v>
      </c>
      <c r="D83" s="2">
        <f>D81*D82*52</f>
        <v>6005.9999999999991</v>
      </c>
      <c r="E83" s="2">
        <f>E81*E82*52</f>
        <v>12091.300823832093</v>
      </c>
      <c r="F83" s="2">
        <f>F81*F82*52</f>
        <v>22744.800000000003</v>
      </c>
      <c r="G83" t="s">
        <v>210</v>
      </c>
      <c r="J83" t="s">
        <v>224</v>
      </c>
      <c r="K83" s="182"/>
      <c r="L83">
        <f t="shared" si="12"/>
        <v>18</v>
      </c>
      <c r="M83" s="15">
        <v>4124.6383100880157</v>
      </c>
      <c r="N83" s="15">
        <v>4812.078028436018</v>
      </c>
      <c r="O83" s="15">
        <v>5499.5177467840213</v>
      </c>
      <c r="P83" s="15">
        <v>6186.9574651320236</v>
      </c>
      <c r="Q83" s="15">
        <v>6874.3971834800259</v>
      </c>
      <c r="R83" s="15">
        <v>7561.8369018280282</v>
      </c>
      <c r="S83" s="15">
        <v>8249.2766201760314</v>
      </c>
      <c r="T83" s="15">
        <v>8936.7163385240347</v>
      </c>
      <c r="U83" s="15">
        <v>9624.1560568720379</v>
      </c>
      <c r="V83" s="15">
        <v>10311.595775220041</v>
      </c>
      <c r="W83" s="15">
        <v>10999.035493568044</v>
      </c>
    </row>
    <row r="84" spans="2:23" x14ac:dyDescent="0.75">
      <c r="E84" s="2"/>
      <c r="F84" s="2"/>
      <c r="K84" s="182"/>
      <c r="L84">
        <f t="shared" si="12"/>
        <v>20</v>
      </c>
      <c r="M84" s="15">
        <v>4582.9314556533509</v>
      </c>
      <c r="N84" s="15">
        <v>5346.7533649289098</v>
      </c>
      <c r="O84" s="15">
        <v>6110.5752742044679</v>
      </c>
      <c r="P84" s="15">
        <v>6874.3971834800268</v>
      </c>
      <c r="Q84" s="15">
        <v>7638.2190927555848</v>
      </c>
      <c r="R84" s="15">
        <v>8402.0410020311429</v>
      </c>
      <c r="S84" s="15">
        <v>9165.8629113067018</v>
      </c>
      <c r="T84" s="15">
        <v>9929.6848205822625</v>
      </c>
      <c r="U84" s="15">
        <v>10693.506729857821</v>
      </c>
      <c r="V84" s="15">
        <v>11457.32863913338</v>
      </c>
      <c r="W84" s="15">
        <v>12221.150548408939</v>
      </c>
    </row>
    <row r="85" spans="2:23" x14ac:dyDescent="0.75">
      <c r="C85" t="s">
        <v>230</v>
      </c>
      <c r="D85" s="22">
        <f>D42</f>
        <v>0.55000000000000004</v>
      </c>
      <c r="E85" s="22">
        <f>E42</f>
        <v>0.6</v>
      </c>
      <c r="F85" s="22">
        <f>F42</f>
        <v>0.65</v>
      </c>
      <c r="G85" t="s">
        <v>209</v>
      </c>
      <c r="I85" s="11" t="s">
        <v>415</v>
      </c>
      <c r="J85" t="s">
        <v>314</v>
      </c>
      <c r="K85" s="182"/>
      <c r="L85">
        <f t="shared" si="12"/>
        <v>22</v>
      </c>
      <c r="M85" s="15">
        <v>5041.224601218687</v>
      </c>
      <c r="N85" s="15">
        <v>5881.4287014218007</v>
      </c>
      <c r="O85" s="15">
        <v>6721.6328016249154</v>
      </c>
      <c r="P85" s="15">
        <v>7561.8369018280291</v>
      </c>
      <c r="Q85" s="15">
        <v>8402.0410020311429</v>
      </c>
      <c r="R85" s="15">
        <v>9242.2451022342575</v>
      </c>
      <c r="S85" s="15">
        <v>10082.449202437374</v>
      </c>
      <c r="T85" s="15">
        <v>10922.653302640489</v>
      </c>
      <c r="U85" s="15">
        <v>11762.857402843603</v>
      </c>
      <c r="V85" s="15">
        <v>12603.06150304672</v>
      </c>
      <c r="W85" s="15">
        <v>13443.265603249834</v>
      </c>
    </row>
    <row r="86" spans="2:23" ht="15.5" thickBot="1" x14ac:dyDescent="0.9">
      <c r="C86" t="s">
        <v>312</v>
      </c>
      <c r="D86" s="158">
        <f>D45</f>
        <v>55</v>
      </c>
      <c r="E86" s="158">
        <f>E45</f>
        <v>50</v>
      </c>
      <c r="F86" s="158">
        <f>F45</f>
        <v>45</v>
      </c>
      <c r="G86" t="s">
        <v>201</v>
      </c>
      <c r="I86" t="s">
        <v>415</v>
      </c>
      <c r="J86" t="s">
        <v>313</v>
      </c>
      <c r="K86" s="182"/>
      <c r="L86">
        <f t="shared" si="12"/>
        <v>24</v>
      </c>
      <c r="M86" s="15">
        <v>5499.5177467840222</v>
      </c>
      <c r="N86" s="15">
        <v>6416.1040379146925</v>
      </c>
      <c r="O86" s="15">
        <v>7332.690329045362</v>
      </c>
      <c r="P86" s="15">
        <v>8249.2766201760332</v>
      </c>
      <c r="Q86" s="15">
        <v>9165.8629113067018</v>
      </c>
      <c r="R86" s="15">
        <v>10082.449202437372</v>
      </c>
      <c r="S86" s="15">
        <v>10999.035493568044</v>
      </c>
      <c r="T86" s="15">
        <v>11915.621784698715</v>
      </c>
      <c r="U86" s="15">
        <v>12832.208075829387</v>
      </c>
      <c r="V86" s="15">
        <v>13748.794366960057</v>
      </c>
      <c r="W86" s="15">
        <v>14665.380658090729</v>
      </c>
    </row>
    <row r="87" spans="2:23" x14ac:dyDescent="0.75">
      <c r="C87" t="s">
        <v>231</v>
      </c>
      <c r="D87" s="2">
        <f>D83*D85*(1-D86/100)</f>
        <v>1486.4849999999997</v>
      </c>
      <c r="E87" s="2">
        <f>E83*E85*(1-E86/100)</f>
        <v>3627.3902471496276</v>
      </c>
      <c r="F87" s="2">
        <f>F83*F85*(1-F86/100)</f>
        <v>8131.2660000000024</v>
      </c>
      <c r="G87" t="s">
        <v>235</v>
      </c>
      <c r="J87" t="s">
        <v>224</v>
      </c>
      <c r="K87" s="182"/>
      <c r="L87">
        <f t="shared" si="12"/>
        <v>26</v>
      </c>
      <c r="M87" s="15">
        <v>5957.8108923493573</v>
      </c>
      <c r="N87" s="15">
        <v>6950.7793744075834</v>
      </c>
      <c r="O87" s="15">
        <v>7943.7478564658095</v>
      </c>
      <c r="P87" s="15">
        <v>8936.7163385240347</v>
      </c>
      <c r="Q87" s="15">
        <v>9929.6848205822607</v>
      </c>
      <c r="R87" s="15">
        <v>10922.653302640487</v>
      </c>
      <c r="S87" s="15">
        <v>11915.621784698715</v>
      </c>
      <c r="T87" s="15">
        <v>12908.590266756943</v>
      </c>
      <c r="U87" s="15">
        <v>13901.558748815169</v>
      </c>
      <c r="V87" s="15">
        <v>14894.527230873397</v>
      </c>
      <c r="W87" s="15">
        <v>15887.495712931623</v>
      </c>
    </row>
    <row r="88" spans="2:23" x14ac:dyDescent="0.75">
      <c r="C88" t="s">
        <v>427</v>
      </c>
      <c r="D88" s="66">
        <f t="shared" ref="D88" si="13">$I88/D87</f>
        <v>2.5375298102570834</v>
      </c>
      <c r="E88" s="66">
        <f t="shared" ref="E88" si="14">$I88/E87</f>
        <v>1.0398660587908912</v>
      </c>
      <c r="F88" s="66">
        <f t="shared" ref="F88" si="15">$I88/F87</f>
        <v>0.46388840310967555</v>
      </c>
      <c r="G88" t="s">
        <v>201</v>
      </c>
      <c r="I88" s="2">
        <f>Tower!$AJ$38</f>
        <v>3772</v>
      </c>
      <c r="K88" s="182"/>
      <c r="L88">
        <f t="shared" si="12"/>
        <v>28</v>
      </c>
      <c r="M88" s="15">
        <v>6416.1040379146925</v>
      </c>
      <c r="N88" s="15">
        <v>7485.4547109004743</v>
      </c>
      <c r="O88" s="15">
        <v>8554.8053838862561</v>
      </c>
      <c r="P88" s="15">
        <v>9624.1560568720379</v>
      </c>
      <c r="Q88" s="15">
        <v>10693.50672985782</v>
      </c>
      <c r="R88" s="15">
        <v>11762.857402843601</v>
      </c>
      <c r="S88" s="15">
        <v>12832.208075829385</v>
      </c>
      <c r="T88" s="15">
        <v>13901.558748815169</v>
      </c>
      <c r="U88" s="15">
        <v>14970.909421800952</v>
      </c>
      <c r="V88" s="15">
        <v>16040.260094786734</v>
      </c>
      <c r="W88" s="15">
        <v>17109.610767772519</v>
      </c>
    </row>
    <row r="89" spans="2:23" ht="15.5" thickBot="1" x14ac:dyDescent="0.9">
      <c r="E89" s="2"/>
    </row>
    <row r="90" spans="2:23" x14ac:dyDescent="0.75">
      <c r="C90" s="161" t="s">
        <v>275</v>
      </c>
      <c r="D90" s="162">
        <f>D87+D69</f>
        <v>2136.4849999999997</v>
      </c>
      <c r="E90" s="162">
        <f>E87+E69</f>
        <v>4784.2556499932298</v>
      </c>
      <c r="F90" s="162">
        <f>F87+F69</f>
        <v>10016.766000000003</v>
      </c>
      <c r="G90" s="163" t="s">
        <v>236</v>
      </c>
      <c r="J90" t="s">
        <v>224</v>
      </c>
    </row>
    <row r="91" spans="2:23" ht="15.5" thickBot="1" x14ac:dyDescent="0.9">
      <c r="C91" s="164" t="s">
        <v>416</v>
      </c>
      <c r="D91" s="170">
        <f>(1-D90/E90)*100*-1</f>
        <v>-55.343418991352955</v>
      </c>
      <c r="E91" s="158"/>
      <c r="F91" s="166">
        <f>(F90/E90-1)*100</f>
        <v>109.36937180633683</v>
      </c>
      <c r="G91" s="165" t="s">
        <v>201</v>
      </c>
    </row>
    <row r="92" spans="2:23" x14ac:dyDescent="0.75">
      <c r="M92" s="180" t="s">
        <v>433</v>
      </c>
      <c r="N92" s="180"/>
      <c r="O92" s="180"/>
      <c r="P92" s="180"/>
      <c r="Q92" s="180"/>
      <c r="R92" s="180"/>
      <c r="S92" s="180"/>
      <c r="T92" s="180"/>
      <c r="U92" s="180"/>
      <c r="V92" s="180"/>
      <c r="W92" s="180"/>
    </row>
    <row r="94" spans="2:23" x14ac:dyDescent="0.75">
      <c r="M94" s="180" t="s">
        <v>459</v>
      </c>
      <c r="N94" s="180"/>
      <c r="O94" s="180"/>
      <c r="P94" s="180"/>
      <c r="Q94" s="180"/>
      <c r="R94" s="180"/>
      <c r="S94" s="180"/>
      <c r="T94" s="180"/>
      <c r="U94" s="180"/>
      <c r="V94" s="180"/>
      <c r="W94" s="180"/>
    </row>
    <row r="95" spans="2:23" x14ac:dyDescent="0.75">
      <c r="L95" s="175">
        <f>E112</f>
        <v>9462.9219951478244</v>
      </c>
      <c r="M95" s="26">
        <v>0.35</v>
      </c>
      <c r="N95" s="177">
        <f>M95+5%</f>
        <v>0.39999999999999997</v>
      </c>
      <c r="O95" s="177">
        <f t="shared" ref="O95:W95" si="16">N95+5%</f>
        <v>0.44999999999999996</v>
      </c>
      <c r="P95" s="177">
        <f t="shared" si="16"/>
        <v>0.49999999999999994</v>
      </c>
      <c r="Q95" s="177">
        <f t="shared" si="16"/>
        <v>0.54999999999999993</v>
      </c>
      <c r="R95" s="177">
        <f t="shared" si="16"/>
        <v>0.6</v>
      </c>
      <c r="S95" s="177">
        <f t="shared" si="16"/>
        <v>0.65</v>
      </c>
      <c r="T95" s="177">
        <f t="shared" si="16"/>
        <v>0.70000000000000007</v>
      </c>
      <c r="U95" s="177">
        <f t="shared" si="16"/>
        <v>0.75000000000000011</v>
      </c>
      <c r="V95" s="177">
        <f t="shared" si="16"/>
        <v>0.80000000000000016</v>
      </c>
      <c r="W95" s="177">
        <f t="shared" si="16"/>
        <v>0.8500000000000002</v>
      </c>
    </row>
    <row r="96" spans="2:23" x14ac:dyDescent="0.75">
      <c r="B96" s="24" t="s">
        <v>428</v>
      </c>
      <c r="C96" s="24"/>
      <c r="D96" s="24"/>
      <c r="E96" s="24"/>
      <c r="F96" s="24"/>
      <c r="G96" s="24"/>
      <c r="H96" s="24"/>
      <c r="I96" s="24"/>
      <c r="J96" s="24"/>
      <c r="L96">
        <v>20</v>
      </c>
      <c r="M96" s="15">
        <f t="dataTable" ref="M96:W107" dt2D="1" dtr="1" r1="E107" r2="E101"/>
        <v>5961.6408569431287</v>
      </c>
      <c r="N96" s="15">
        <v>6813.3038365064331</v>
      </c>
      <c r="O96" s="15">
        <v>7664.9668160697374</v>
      </c>
      <c r="P96" s="15">
        <v>8516.62979563304</v>
      </c>
      <c r="Q96" s="15">
        <v>9368.2927751963452</v>
      </c>
      <c r="R96" s="15">
        <v>10219.955754759649</v>
      </c>
      <c r="S96" s="15">
        <v>11071.618734322954</v>
      </c>
      <c r="T96" s="15">
        <v>11923.281713886259</v>
      </c>
      <c r="U96" s="15">
        <v>12774.944693449563</v>
      </c>
      <c r="V96" s="15">
        <v>13626.60767301287</v>
      </c>
      <c r="W96" s="15">
        <v>14478.270652576173</v>
      </c>
    </row>
    <row r="97" spans="3:23" x14ac:dyDescent="0.75">
      <c r="C97" t="s">
        <v>429</v>
      </c>
      <c r="D97" s="15">
        <v>174340</v>
      </c>
      <c r="E97" s="15">
        <v>174340</v>
      </c>
      <c r="F97" s="15">
        <v>174340</v>
      </c>
      <c r="G97" t="s">
        <v>430</v>
      </c>
      <c r="J97" s="25" t="s">
        <v>439</v>
      </c>
      <c r="K97" s="182" t="s">
        <v>443</v>
      </c>
      <c r="L97">
        <f>L96-1</f>
        <v>19</v>
      </c>
      <c r="M97" s="15">
        <v>6275.4114283611889</v>
      </c>
      <c r="N97" s="15">
        <v>7171.8987752699286</v>
      </c>
      <c r="O97" s="15">
        <v>8068.386122178671</v>
      </c>
      <c r="P97" s="15">
        <v>8964.8734690874116</v>
      </c>
      <c r="Q97" s="15">
        <v>9861.3608159961532</v>
      </c>
      <c r="R97" s="15">
        <v>10757.848162904895</v>
      </c>
      <c r="S97" s="15">
        <v>11654.335509813636</v>
      </c>
      <c r="T97" s="15">
        <v>12550.82285672238</v>
      </c>
      <c r="U97" s="15">
        <v>13447.310203631121</v>
      </c>
      <c r="V97" s="15">
        <v>14343.797550539864</v>
      </c>
      <c r="W97" s="15">
        <v>15240.284897448602</v>
      </c>
    </row>
    <row r="98" spans="3:23" ht="15.5" thickBot="1" x14ac:dyDescent="0.9">
      <c r="C98" t="s">
        <v>440</v>
      </c>
      <c r="D98" s="171">
        <f>1/1.3</f>
        <v>0.76923076923076916</v>
      </c>
      <c r="E98" s="171">
        <f>1/1.3</f>
        <v>0.76923076923076916</v>
      </c>
      <c r="F98" s="171">
        <f>1/1.3</f>
        <v>0.76923076923076916</v>
      </c>
      <c r="I98" t="s">
        <v>414</v>
      </c>
      <c r="J98" s="25" t="s">
        <v>441</v>
      </c>
      <c r="K98" s="182"/>
      <c r="L98">
        <f t="shared" ref="L98:L107" si="17">L97-1</f>
        <v>18</v>
      </c>
      <c r="M98" s="15">
        <v>6624.0453966034765</v>
      </c>
      <c r="N98" s="15">
        <v>7570.3375961182592</v>
      </c>
      <c r="O98" s="15">
        <v>8516.62979563304</v>
      </c>
      <c r="P98" s="15">
        <v>9462.9219951478226</v>
      </c>
      <c r="Q98" s="15">
        <v>10409.214194662605</v>
      </c>
      <c r="R98" s="15">
        <v>11355.506394177391</v>
      </c>
      <c r="S98" s="15">
        <v>12301.798593692172</v>
      </c>
      <c r="T98" s="15">
        <v>13248.090793206955</v>
      </c>
      <c r="U98" s="15">
        <v>14194.382992721739</v>
      </c>
      <c r="V98" s="15">
        <v>15140.675192236522</v>
      </c>
      <c r="W98" s="15">
        <v>16086.967391751305</v>
      </c>
    </row>
    <row r="99" spans="3:23" x14ac:dyDescent="0.75">
      <c r="C99" t="s">
        <v>442</v>
      </c>
      <c r="D99" s="15">
        <f>D97*D98</f>
        <v>134107.69230769228</v>
      </c>
      <c r="E99" s="15">
        <f t="shared" ref="E99:F99" si="18">E97*E98</f>
        <v>134107.69230769228</v>
      </c>
      <c r="F99" s="15">
        <f t="shared" si="18"/>
        <v>134107.69230769228</v>
      </c>
      <c r="G99" t="s">
        <v>430</v>
      </c>
      <c r="J99" t="s">
        <v>224</v>
      </c>
      <c r="K99" s="182"/>
      <c r="L99">
        <f t="shared" si="17"/>
        <v>17</v>
      </c>
      <c r="M99" s="15">
        <v>7013.6951258154459</v>
      </c>
      <c r="N99" s="15">
        <v>8015.6515723605089</v>
      </c>
      <c r="O99" s="15">
        <v>9017.6080189055738</v>
      </c>
      <c r="P99" s="15">
        <v>10019.564465450636</v>
      </c>
      <c r="Q99" s="15">
        <v>11021.520911995698</v>
      </c>
      <c r="R99" s="15">
        <v>12023.477358540766</v>
      </c>
      <c r="S99" s="15">
        <v>13025.433805085828</v>
      </c>
      <c r="T99" s="15">
        <v>14027.390251630895</v>
      </c>
      <c r="U99" s="15">
        <v>15029.346698175959</v>
      </c>
      <c r="V99" s="15">
        <v>16031.30314472102</v>
      </c>
      <c r="W99" s="15">
        <v>17033.259591266087</v>
      </c>
    </row>
    <row r="100" spans="3:23" x14ac:dyDescent="0.75">
      <c r="K100" s="182"/>
      <c r="L100">
        <f t="shared" si="17"/>
        <v>16</v>
      </c>
      <c r="M100" s="15">
        <v>7452.0510711789111</v>
      </c>
      <c r="N100" s="15">
        <v>8516.6297956330418</v>
      </c>
      <c r="O100" s="15">
        <v>9581.2085200871716</v>
      </c>
      <c r="P100" s="15">
        <v>10645.7872445413</v>
      </c>
      <c r="Q100" s="15">
        <v>11710.365968995431</v>
      </c>
      <c r="R100" s="15">
        <v>12774.944693449563</v>
      </c>
      <c r="S100" s="15">
        <v>13839.523417903694</v>
      </c>
      <c r="T100" s="15">
        <v>14904.102142357824</v>
      </c>
      <c r="U100" s="15">
        <v>15968.680866811957</v>
      </c>
      <c r="V100" s="15">
        <v>17033.259591266087</v>
      </c>
      <c r="W100" s="15">
        <v>18097.838315720219</v>
      </c>
    </row>
    <row r="101" spans="3:23" x14ac:dyDescent="0.75">
      <c r="C101" t="s">
        <v>443</v>
      </c>
      <c r="D101">
        <v>20</v>
      </c>
      <c r="E101">
        <v>18</v>
      </c>
      <c r="F101">
        <v>16</v>
      </c>
      <c r="G101" t="s">
        <v>444</v>
      </c>
      <c r="I101" s="11" t="s">
        <v>415</v>
      </c>
      <c r="J101" s="25" t="s">
        <v>445</v>
      </c>
      <c r="K101" s="182"/>
      <c r="L101">
        <f t="shared" si="17"/>
        <v>15</v>
      </c>
      <c r="M101" s="15">
        <v>7948.8544759241722</v>
      </c>
      <c r="N101" s="15">
        <v>9084.4051153419114</v>
      </c>
      <c r="O101" s="15">
        <v>10219.955754759651</v>
      </c>
      <c r="P101" s="15">
        <v>11355.506394177388</v>
      </c>
      <c r="Q101" s="15">
        <v>12491.057033595129</v>
      </c>
      <c r="R101" s="15">
        <v>13626.607673012866</v>
      </c>
      <c r="S101" s="15">
        <v>14762.158312430609</v>
      </c>
      <c r="T101" s="15">
        <v>15897.708951848346</v>
      </c>
      <c r="U101" s="15">
        <v>17033.259591266087</v>
      </c>
      <c r="V101" s="15">
        <v>18168.810230683826</v>
      </c>
      <c r="W101" s="15">
        <v>19304.360870101566</v>
      </c>
    </row>
    <row r="102" spans="3:23" x14ac:dyDescent="0.75">
      <c r="C102" t="s">
        <v>446</v>
      </c>
      <c r="D102" s="15">
        <f>D99*60*1000*1000/D101</f>
        <v>402323076923.07684</v>
      </c>
      <c r="E102" s="15">
        <f>E99*60*1000*1000/E101</f>
        <v>447025641025.64093</v>
      </c>
      <c r="F102" s="15">
        <f>F99*60*1000*1000/F101</f>
        <v>502903846153.84607</v>
      </c>
      <c r="G102" t="s">
        <v>447</v>
      </c>
      <c r="J102" t="s">
        <v>224</v>
      </c>
      <c r="K102" s="182"/>
      <c r="L102">
        <f t="shared" si="17"/>
        <v>14</v>
      </c>
      <c r="M102" s="15">
        <v>8516.6297956330436</v>
      </c>
      <c r="N102" s="15">
        <v>9733.2911950091911</v>
      </c>
      <c r="O102" s="15">
        <v>10949.95259438534</v>
      </c>
      <c r="P102" s="15">
        <v>12166.613993761486</v>
      </c>
      <c r="Q102" s="15">
        <v>13383.275393137639</v>
      </c>
      <c r="R102" s="15">
        <v>14599.936792513789</v>
      </c>
      <c r="S102" s="15">
        <v>15816.598191889938</v>
      </c>
      <c r="T102" s="15">
        <v>17033.259591266087</v>
      </c>
      <c r="U102" s="15">
        <v>18249.92099064224</v>
      </c>
      <c r="V102" s="15">
        <v>19466.58239001839</v>
      </c>
      <c r="W102" s="15">
        <v>20683.243789394539</v>
      </c>
    </row>
    <row r="103" spans="3:23" x14ac:dyDescent="0.75">
      <c r="C103" t="s">
        <v>454</v>
      </c>
      <c r="D103" s="66">
        <f>27300/170233</f>
        <v>0.16036843620214647</v>
      </c>
      <c r="E103" s="66">
        <f>27300/170233</f>
        <v>0.16036843620214647</v>
      </c>
      <c r="F103" s="66">
        <f>27300/170233</f>
        <v>0.16036843620214647</v>
      </c>
      <c r="G103" t="s">
        <v>201</v>
      </c>
      <c r="I103" t="s">
        <v>414</v>
      </c>
      <c r="J103" s="25" t="s">
        <v>439</v>
      </c>
      <c r="K103" s="182"/>
      <c r="L103">
        <f t="shared" si="17"/>
        <v>13</v>
      </c>
      <c r="M103" s="15">
        <v>9171.7551645278927</v>
      </c>
      <c r="N103" s="15">
        <v>10482.005902317591</v>
      </c>
      <c r="O103" s="15">
        <v>11792.256640107289</v>
      </c>
      <c r="P103" s="15">
        <v>13102.507377896987</v>
      </c>
      <c r="Q103" s="15">
        <v>14412.758115686684</v>
      </c>
      <c r="R103" s="15">
        <v>15723.008853476387</v>
      </c>
      <c r="S103" s="15">
        <v>17033.259591266087</v>
      </c>
      <c r="T103" s="15">
        <v>18343.510329055785</v>
      </c>
      <c r="U103" s="15">
        <v>19653.761066845491</v>
      </c>
      <c r="V103" s="15">
        <v>20964.011804635189</v>
      </c>
      <c r="W103" s="15">
        <v>22274.262542424887</v>
      </c>
    </row>
    <row r="104" spans="3:23" x14ac:dyDescent="0.75">
      <c r="C104" t="s">
        <v>455</v>
      </c>
      <c r="D104" s="15">
        <f>D102*D103</f>
        <v>64519922694.189713</v>
      </c>
      <c r="E104" s="15">
        <f>E102*E103</f>
        <v>71688802993.544128</v>
      </c>
      <c r="F104" s="15">
        <f>F102*F103</f>
        <v>80649903367.737152</v>
      </c>
      <c r="J104" t="s">
        <v>224</v>
      </c>
      <c r="K104" s="182"/>
      <c r="L104">
        <f t="shared" si="17"/>
        <v>12</v>
      </c>
      <c r="M104" s="15">
        <v>9936.0680949052166</v>
      </c>
      <c r="N104" s="15">
        <v>11355.506394177391</v>
      </c>
      <c r="O104" s="15">
        <v>12774.944693449563</v>
      </c>
      <c r="P104" s="15">
        <v>14194.382992721736</v>
      </c>
      <c r="Q104" s="15">
        <v>15613.821291993909</v>
      </c>
      <c r="R104" s="15">
        <v>17033.259591266087</v>
      </c>
      <c r="S104" s="15">
        <v>18452.69789053826</v>
      </c>
      <c r="T104" s="15">
        <v>19872.136189810433</v>
      </c>
      <c r="U104" s="15">
        <v>21291.57448908261</v>
      </c>
      <c r="V104" s="15">
        <v>22711.012788354787</v>
      </c>
      <c r="W104" s="15">
        <v>24130.451087626956</v>
      </c>
    </row>
    <row r="105" spans="3:23" x14ac:dyDescent="0.75">
      <c r="C105" t="s">
        <v>456</v>
      </c>
      <c r="D105" s="22">
        <f>D104/(330000000*365)</f>
        <v>0.5356573075482749</v>
      </c>
      <c r="E105" s="22">
        <f>E104/(330000000*365)</f>
        <v>0.59517478616474995</v>
      </c>
      <c r="F105" s="22">
        <f>F104/(330000000*365)</f>
        <v>0.66957163443534373</v>
      </c>
      <c r="J105" t="s">
        <v>457</v>
      </c>
      <c r="K105" s="182"/>
      <c r="L105">
        <f t="shared" si="17"/>
        <v>11</v>
      </c>
      <c r="M105" s="15">
        <v>10839.347012623872</v>
      </c>
      <c r="N105" s="15">
        <v>12387.825157284426</v>
      </c>
      <c r="O105" s="15">
        <v>13936.303301944979</v>
      </c>
      <c r="P105" s="15">
        <v>15484.78144660553</v>
      </c>
      <c r="Q105" s="15">
        <v>17033.259591266084</v>
      </c>
      <c r="R105" s="15">
        <v>18581.737735926636</v>
      </c>
      <c r="S105" s="15">
        <v>20130.215880587191</v>
      </c>
      <c r="T105" s="15">
        <v>21678.694025247747</v>
      </c>
      <c r="U105" s="15">
        <v>23227.172169908303</v>
      </c>
      <c r="V105" s="15">
        <v>24775.650314568858</v>
      </c>
      <c r="W105" s="15">
        <v>26324.128459229414</v>
      </c>
    </row>
    <row r="106" spans="3:23" x14ac:dyDescent="0.75">
      <c r="C106" t="s">
        <v>448</v>
      </c>
      <c r="D106" s="26">
        <v>0.88</v>
      </c>
      <c r="E106" s="26">
        <v>0.88</v>
      </c>
      <c r="F106" s="26">
        <v>0.88</v>
      </c>
      <c r="I106" t="s">
        <v>414</v>
      </c>
      <c r="J106" t="s">
        <v>458</v>
      </c>
      <c r="K106" s="182"/>
      <c r="L106">
        <f t="shared" si="17"/>
        <v>10</v>
      </c>
      <c r="M106" s="15">
        <v>11923.281713886257</v>
      </c>
      <c r="N106" s="15">
        <v>13626.607673012866</v>
      </c>
      <c r="O106" s="15">
        <v>15329.933632139475</v>
      </c>
      <c r="P106" s="15">
        <v>17033.25959126608</v>
      </c>
      <c r="Q106" s="15">
        <v>18736.58555039269</v>
      </c>
      <c r="R106" s="15">
        <v>20439.911509519297</v>
      </c>
      <c r="S106" s="15">
        <v>22143.237468645908</v>
      </c>
      <c r="T106" s="15">
        <v>23846.563427772518</v>
      </c>
      <c r="U106" s="15">
        <v>25549.889386899125</v>
      </c>
      <c r="V106" s="15">
        <v>27253.21534602574</v>
      </c>
      <c r="W106" s="15">
        <v>28956.541305152346</v>
      </c>
    </row>
    <row r="107" spans="3:23" ht="15.5" thickBot="1" x14ac:dyDescent="0.9">
      <c r="C107" t="s">
        <v>449</v>
      </c>
      <c r="D107" s="176">
        <v>0.4</v>
      </c>
      <c r="E107" s="176">
        <v>0.5</v>
      </c>
      <c r="F107" s="176">
        <v>0.6</v>
      </c>
      <c r="I107" s="11" t="s">
        <v>415</v>
      </c>
      <c r="J107" t="s">
        <v>458</v>
      </c>
      <c r="K107" s="182"/>
      <c r="L107">
        <f t="shared" si="17"/>
        <v>9</v>
      </c>
      <c r="M107" s="15">
        <v>13248.090793206953</v>
      </c>
      <c r="N107" s="15">
        <v>15140.675192236518</v>
      </c>
      <c r="O107" s="15">
        <v>17033.25959126608</v>
      </c>
      <c r="P107" s="15">
        <v>18925.843990295645</v>
      </c>
      <c r="Q107" s="15">
        <v>20818.42838932521</v>
      </c>
      <c r="R107" s="15">
        <v>22711.012788354783</v>
      </c>
      <c r="S107" s="15">
        <v>24603.597187384345</v>
      </c>
      <c r="T107" s="15">
        <v>26496.18158641391</v>
      </c>
      <c r="U107" s="15">
        <v>28388.765985443479</v>
      </c>
      <c r="V107" s="15">
        <v>30281.350384473044</v>
      </c>
      <c r="W107" s="15">
        <v>32173.934783502609</v>
      </c>
    </row>
    <row r="108" spans="3:23" x14ac:dyDescent="0.75">
      <c r="C108" t="s">
        <v>453</v>
      </c>
      <c r="D108" s="15">
        <f>D104*D106*D107</f>
        <v>22711012788.354782</v>
      </c>
      <c r="E108" s="15">
        <f>E104*E106*E107</f>
        <v>31543073317.159416</v>
      </c>
      <c r="F108" s="15">
        <f>F104*F106*F107</f>
        <v>42583148978.165215</v>
      </c>
      <c r="J108" t="s">
        <v>224</v>
      </c>
    </row>
    <row r="110" spans="3:23" x14ac:dyDescent="0.75">
      <c r="C110" t="s">
        <v>450</v>
      </c>
      <c r="D110" s="22">
        <f t="shared" ref="D110:F111" si="19">D85</f>
        <v>0.55000000000000004</v>
      </c>
      <c r="E110" s="22">
        <f t="shared" si="19"/>
        <v>0.6</v>
      </c>
      <c r="F110" s="22">
        <f t="shared" si="19"/>
        <v>0.65</v>
      </c>
      <c r="G110" t="s">
        <v>209</v>
      </c>
      <c r="J110" t="s">
        <v>460</v>
      </c>
    </row>
    <row r="111" spans="3:23" ht="15.5" thickBot="1" x14ac:dyDescent="0.9">
      <c r="C111" t="s">
        <v>451</v>
      </c>
      <c r="D111" s="158">
        <f t="shared" si="19"/>
        <v>55</v>
      </c>
      <c r="E111" s="158">
        <f t="shared" si="19"/>
        <v>50</v>
      </c>
      <c r="F111" s="158">
        <f t="shared" si="19"/>
        <v>45</v>
      </c>
      <c r="G111" t="s">
        <v>201</v>
      </c>
      <c r="J111" t="s">
        <v>461</v>
      </c>
    </row>
    <row r="112" spans="3:23" x14ac:dyDescent="0.75">
      <c r="C112" t="s">
        <v>452</v>
      </c>
      <c r="D112" s="2">
        <f>D108*D110*D111/100/1000000</f>
        <v>6870.081368477322</v>
      </c>
      <c r="E112" s="2">
        <f>E108*E110*E111/100/1000000</f>
        <v>9462.9219951478244</v>
      </c>
      <c r="F112" s="2">
        <f>F108*F110*F111/100/1000000</f>
        <v>12455.571076113327</v>
      </c>
      <c r="G112" t="s">
        <v>235</v>
      </c>
      <c r="J112" t="s">
        <v>462</v>
      </c>
    </row>
    <row r="113" spans="2:10" x14ac:dyDescent="0.75">
      <c r="C113" t="s">
        <v>427</v>
      </c>
      <c r="D113" s="66">
        <f t="shared" ref="D113" si="20">$I113/D112</f>
        <v>0.54904735441816499</v>
      </c>
      <c r="E113" s="66">
        <f t="shared" ref="E113" si="21">$I113/E112</f>
        <v>0.39860837930758786</v>
      </c>
      <c r="F113" s="66">
        <f t="shared" ref="F113" si="22">$I113/F112</f>
        <v>0.3028363755423269</v>
      </c>
      <c r="G113" t="s">
        <v>201</v>
      </c>
      <c r="I113" s="2">
        <f>Tower!$AJ$38</f>
        <v>3772</v>
      </c>
      <c r="J113" t="s">
        <v>462</v>
      </c>
    </row>
    <row r="115" spans="2:10" x14ac:dyDescent="0.75">
      <c r="J115" t="s">
        <v>463</v>
      </c>
    </row>
    <row r="128" spans="2:10" x14ac:dyDescent="0.75">
      <c r="B128" t="s">
        <v>421</v>
      </c>
    </row>
    <row r="129" spans="2:2" x14ac:dyDescent="0.75">
      <c r="B129" t="s">
        <v>422</v>
      </c>
    </row>
  </sheetData>
  <mergeCells count="19">
    <mergeCell ref="C26:G26"/>
    <mergeCell ref="C5:G5"/>
    <mergeCell ref="M74:W74"/>
    <mergeCell ref="K29:K42"/>
    <mergeCell ref="M3:W3"/>
    <mergeCell ref="M25:W25"/>
    <mergeCell ref="M27:W27"/>
    <mergeCell ref="M5:W5"/>
    <mergeCell ref="K7:K16"/>
    <mergeCell ref="M72:W72"/>
    <mergeCell ref="K57:K66"/>
    <mergeCell ref="M55:W55"/>
    <mergeCell ref="M53:W53"/>
    <mergeCell ref="K97:K107"/>
    <mergeCell ref="M94:W94"/>
    <mergeCell ref="M92:W92"/>
    <mergeCell ref="C73:G73"/>
    <mergeCell ref="C54:G54"/>
    <mergeCell ref="K76:K88"/>
  </mergeCells>
  <conditionalFormatting sqref="M7:W16">
    <cfRule type="colorScale" priority="5">
      <colorScale>
        <cfvo type="min"/>
        <cfvo type="percentile" val="50"/>
        <cfvo type="max"/>
        <color rgb="FFF8696B"/>
        <color rgb="FFFFEB84"/>
        <color rgb="FF63BE7B"/>
      </colorScale>
    </cfRule>
  </conditionalFormatting>
  <conditionalFormatting sqref="M29:W42">
    <cfRule type="colorScale" priority="4">
      <colorScale>
        <cfvo type="min"/>
        <cfvo type="percentile" val="50"/>
        <cfvo type="max"/>
        <color rgb="FFF8696B"/>
        <color rgb="FFFFEB84"/>
        <color rgb="FF63BE7B"/>
      </colorScale>
    </cfRule>
  </conditionalFormatting>
  <conditionalFormatting sqref="M57:W66">
    <cfRule type="colorScale" priority="3">
      <colorScale>
        <cfvo type="min"/>
        <cfvo type="percentile" val="50"/>
        <cfvo type="max"/>
        <color rgb="FFF8696B"/>
        <color rgb="FFFFEB84"/>
        <color rgb="FF63BE7B"/>
      </colorScale>
    </cfRule>
  </conditionalFormatting>
  <conditionalFormatting sqref="M76:W88">
    <cfRule type="colorScale" priority="2">
      <colorScale>
        <cfvo type="min"/>
        <cfvo type="percentile" val="50"/>
        <cfvo type="max"/>
        <color rgb="FFF8696B"/>
        <color rgb="FFFFEB84"/>
        <color rgb="FF63BE7B"/>
      </colorScale>
    </cfRule>
  </conditionalFormatting>
  <conditionalFormatting sqref="M96:W107">
    <cfRule type="colorScale" priority="1">
      <colorScale>
        <cfvo type="min"/>
        <cfvo type="percentile" val="50"/>
        <cfvo type="max"/>
        <color rgb="FFF8696B"/>
        <color rgb="FFFFEB84"/>
        <color rgb="FF63BE7B"/>
      </colorScale>
    </cfRule>
  </conditionalFormatting>
  <hyperlinks>
    <hyperlink ref="J30" r:id="rId1" location=":~:text=74%25%20of%20Americans%20drink%20coffee,of%20people%20drink%20coffee%20sometimes." xr:uid="{58E57F3F-F460-4E11-A56C-76E251BD92A8}"/>
    <hyperlink ref="J39" r:id="rId2" display="NIH " xr:uid="{F87BE614-5F6F-430F-BE1C-439829F69F28}"/>
    <hyperlink ref="J14" r:id="rId3" location=":~:text=Households%20can%20family%20members%20and,2%20million%20households%20from%202021.&amp;text=Census%20Bureau." xr:uid="{6ED34D82-3528-497B-867A-11471C98A2AC}"/>
    <hyperlink ref="J97" r:id="rId4" xr:uid="{92F7D1A2-A4C5-4533-BAC1-BE06741C8DAD}"/>
    <hyperlink ref="J98" r:id="rId5" xr:uid="{0321DBDF-CCE8-46B8-AAFE-1734FCDF0B32}"/>
    <hyperlink ref="J101" r:id="rId6" xr:uid="{389FD734-93ED-481E-9CB4-0340119B86C9}"/>
    <hyperlink ref="J103" r:id="rId7" xr:uid="{B8129A22-5A61-47BE-ABD6-06F6204E2F28}"/>
  </hyperlinks>
  <pageMargins left="0.7" right="0.7" top="0.75" bottom="0.75" header="0.3" footer="0.3"/>
  <pageSetup orientation="portrait"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Tower</vt:lpstr>
      <vt:lpstr>Comps</vt:lpstr>
      <vt:lpstr>Figures</vt:lpstr>
      <vt:lpstr>Coffee Market TAM</vt:lpstr>
      <vt:lpstr>bbg_ticker</vt:lpstr>
      <vt:lpstr>text_ticker</vt:lpstr>
      <vt:lpstr>va_ticker</vt:lpstr>
    </vt:vector>
  </TitlesOfParts>
  <Company>Point72 Asset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Mariani, Zach</dc:creator>
  <cp:lastModifiedBy>Mariani, Zach</cp:lastModifiedBy>
  <dcterms:created xsi:type="dcterms:W3CDTF">2023-08-22T16:35:43Z</dcterms:created>
  <dcterms:modified xsi:type="dcterms:W3CDTF">2023-09-09T21:40:34Z</dcterms:modified>
</cp:coreProperties>
</file>