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rinterSettings/printerSettings1.bin" ContentType="application/vnd.openxmlformats-officedocument.spreadsheetml.printerSettings"/>
  <Override PartName="/xl/comments2.xml" ContentType="application/vnd.openxmlformats-officedocument.spreadsheetml.comments+xml"/>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xl/comments3.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rinterSettings/printerSettings4.bin" ContentType="application/vnd.openxmlformats-officedocument.spreadsheetml.printerSettings"/>
  <Override PartName="/xl/printerSettings/printerSettings5.bin" ContentType="application/vnd.openxmlformats-officedocument.spreadsheetml.printerSettings"/>
  <Override PartName="/xl/drawings/drawing2.xml" ContentType="application/vnd.openxmlformats-officedocument.drawing+xml"/>
  <Override PartName="/xl/comments4.xml" ContentType="application/vnd.openxmlformats-officedocument.spreadsheetml.comments+xml"/>
  <Override PartName="/xl/charts/chart12.xml" ContentType="application/vnd.openxmlformats-officedocument.drawingml.chart+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rinterSettings/printerSettings6.bin" ContentType="application/vnd.openxmlformats-officedocument.spreadsheetml.printerSettings"/>
  <Override PartName="/xl/printerSettings/printerSettings7.bin" ContentType="application/vnd.openxmlformats-officedocument.spreadsheetml.printerSettings"/>
  <Override PartName="/xl/comments5.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point72-my.sharepoint.com/personal/zach_mariani_point72_com/Documents/Stoinks/KDP/"/>
    </mc:Choice>
  </mc:AlternateContent>
  <xr:revisionPtr revIDLastSave="12645" documentId="8_{EA3229FE-5BF3-41DD-B47F-AEE0D0A1E3AE}" xr6:coauthVersionLast="47" xr6:coauthVersionMax="47" xr10:uidLastSave="{9B203413-B71E-4344-94F1-B82AE9CB13C9}"/>
  <bookViews>
    <workbookView xWindow="-76910" yWindow="-110" windowWidth="38620" windowHeight="21220" xr2:uid="{1815A471-8A6A-42D1-9ED1-9C59CE729CC6}"/>
  </bookViews>
  <sheets>
    <sheet name="Cover" sheetId="1" r:id="rId1"/>
    <sheet name="Tower" sheetId="2" r:id="rId2"/>
    <sheet name="Variance" sheetId="11" r:id="rId3"/>
    <sheet name="Investments" sheetId="8" r:id="rId4"/>
    <sheet name="Debt" sheetId="7" r:id="rId5"/>
    <sheet name="Comps" sheetId="5" r:id="rId6"/>
    <sheet name="Figures" sheetId="4" r:id="rId7"/>
    <sheet name="Coffee Market TAM (old)" sheetId="3" r:id="rId8"/>
    <sheet name="Coffee Market TAM (new)" sheetId="6" r:id="rId9"/>
    <sheet name="Estimates Upload Sheet" sheetId="10" r:id="rId10"/>
    <sheet name="Reference Data Upload Sheet" sheetId="13" r:id="rId11"/>
  </sheets>
  <externalReferences>
    <externalReference r:id="rId12"/>
  </externalReferences>
  <definedNames>
    <definedName name="bbg_ticker">Cover!$C$3</definedName>
    <definedName name="CIQWBGuid" localSheetId="10" hidden="1">"ReferenceDataUploadSheet.xls"</definedName>
    <definedName name="CIQWBGuid" hidden="1">"CompSheetUpload.xls"</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43873.7497569444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qdays">Tower!$C$434</definedName>
    <definedName name="SUPPORTED_DATASOURCES">[1]Supported!$D$9:$D$19</definedName>
    <definedName name="text_ticker">Cover!$C$5</definedName>
    <definedName name="va_ticker">Cover!$C$4</definedName>
    <definedName name="ydays">Tower!$C$435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445" i="2" l="1"/>
  <c r="O432" i="2"/>
  <c r="O431" i="2"/>
  <c r="Y114" i="2" l="1" a="1"/>
  <c r="Y114" i="2" l="1"/>
  <c r="AD113" i="2" a="1"/>
  <c r="AD113" i="2"/>
  <c r="H6" i="2" a="1"/>
  <c r="H6" i="2"/>
  <c r="K6" i="2" a="1"/>
  <c r="K6" i="2"/>
  <c r="AD6" i="2" a="1"/>
  <c r="AD6" i="2"/>
  <c r="X6" i="2" a="1"/>
  <c r="X6" i="2"/>
  <c r="Z6" i="2" a="1"/>
  <c r="Z6" i="2"/>
  <c r="AL6" i="2" a="1"/>
  <c r="AL6" i="2"/>
  <c r="E6" i="2" a="1"/>
  <c r="E6" i="2"/>
  <c r="P6" i="2" a="1"/>
  <c r="P6" i="2"/>
  <c r="AO6" i="2" a="1"/>
  <c r="AO6" i="2"/>
  <c r="I6" i="2" a="1"/>
  <c r="I6" i="2"/>
  <c r="AE6" i="2" a="1"/>
  <c r="AE6" i="2"/>
  <c r="R6" i="2" a="1"/>
  <c r="R6" i="2"/>
  <c r="W6" i="2" a="1"/>
  <c r="W6" i="2"/>
  <c r="AW164" i="2" a="1"/>
  <c r="AW164" i="2"/>
  <c r="AU164" i="2" a="1"/>
  <c r="AU164" i="2"/>
  <c r="AT164" i="2" a="1"/>
  <c r="AT164" i="2"/>
  <c r="X165" i="2" a="1"/>
  <c r="X165" i="2"/>
  <c r="N164" i="2" a="1"/>
  <c r="N164" i="2"/>
  <c r="AE164" i="2" a="1"/>
  <c r="AE164" i="2"/>
  <c r="F22" i="11" a="1"/>
  <c r="F22" i="11"/>
  <c r="AG114" i="2" a="1"/>
  <c r="AG114" i="2"/>
  <c r="AX114" i="2" a="1"/>
  <c r="AX114" i="2"/>
  <c r="AD114" i="2" a="1"/>
  <c r="AD114" i="2"/>
  <c r="X114" i="2" a="1"/>
  <c r="X114" i="2"/>
  <c r="AE114" i="2" a="1"/>
  <c r="AE114" i="2"/>
  <c r="AS114" i="2" a="1"/>
  <c r="AS114" i="2"/>
  <c r="AO114" i="2" a="1"/>
  <c r="AO114" i="2"/>
  <c r="AQ6" i="2" a="1"/>
  <c r="AQ6" i="2"/>
  <c r="T6" i="2" a="1"/>
  <c r="T6" i="2"/>
  <c r="AN6" i="2" a="1"/>
  <c r="AN6" i="2"/>
  <c r="Y6" i="2" a="1"/>
  <c r="Y6" i="2"/>
  <c r="M6" i="2" a="1"/>
  <c r="M6" i="2"/>
  <c r="AW6" i="2" a="1"/>
  <c r="AW6" i="2"/>
  <c r="AS6" i="2" a="1"/>
  <c r="AS6" i="2"/>
  <c r="L6" i="2" a="1"/>
  <c r="L6" i="2"/>
  <c r="V6" i="2" a="1"/>
  <c r="V6" i="2"/>
  <c r="AQ114" i="2" a="1"/>
  <c r="AQ114" i="2"/>
  <c r="AW114" i="2" a="1"/>
  <c r="AW114" i="2"/>
  <c r="AI113" i="2" a="1"/>
  <c r="AI113" i="2"/>
  <c r="T165" i="2" a="1"/>
  <c r="T165" i="2"/>
  <c r="P165" i="2" a="1"/>
  <c r="P165" i="2"/>
  <c r="AC114" i="2" a="1"/>
  <c r="AC114" i="2"/>
  <c r="AT114" i="2" a="1"/>
  <c r="AT114" i="2"/>
  <c r="AO164" i="2" a="1"/>
  <c r="AO164" i="2"/>
  <c r="AB114" i="2" a="1"/>
  <c r="AB114" i="2"/>
  <c r="AK113" i="2" a="1"/>
  <c r="AK113" i="2"/>
  <c r="W114" i="2" a="1"/>
  <c r="W114" i="2"/>
  <c r="AR114" i="2" a="1"/>
  <c r="AR114" i="2"/>
  <c r="AP164" i="2" a="1"/>
  <c r="AP164" i="2"/>
  <c r="AW165" i="2" a="1"/>
  <c r="AW165" i="2"/>
  <c r="AX164" i="2" a="1"/>
  <c r="AX164" i="2"/>
  <c r="AE165" i="2" a="1"/>
  <c r="AE165" i="2"/>
  <c r="AC113" i="2" a="1"/>
  <c r="AC113" i="2"/>
  <c r="AO165" i="2" a="1"/>
  <c r="AO165" i="2"/>
  <c r="AY165" i="2" a="1"/>
  <c r="AY165" i="2"/>
  <c r="Y164" i="2" a="1"/>
  <c r="Y164" i="2"/>
  <c r="Z165" i="2" a="1"/>
  <c r="Z165" i="2"/>
  <c r="AV165" i="2" a="1"/>
  <c r="AV165" i="2"/>
  <c r="P164" i="2" a="1"/>
  <c r="P164" i="2"/>
  <c r="AG164" i="2" a="1"/>
  <c r="AG164" i="2"/>
  <c r="M164" i="2" a="1"/>
  <c r="M164" i="2"/>
  <c r="AM165" i="2" a="1"/>
  <c r="AM165" i="2"/>
  <c r="AC6" i="2" a="1"/>
  <c r="AC6" i="2"/>
  <c r="AK6" i="2" a="1"/>
  <c r="AK6" i="2"/>
  <c r="AJ6" i="2" a="1"/>
  <c r="AJ6" i="2"/>
  <c r="AJ165" i="2" a="1"/>
  <c r="AJ165" i="2"/>
  <c r="AT165" i="2" a="1"/>
  <c r="AT165" i="2"/>
  <c r="AI164" i="2" a="1"/>
  <c r="AI164" i="2"/>
  <c r="AG6" i="2" a="1"/>
  <c r="AG6" i="2"/>
  <c r="AH165" i="2" a="1"/>
  <c r="AH165" i="2"/>
  <c r="AV6" i="2" a="1"/>
  <c r="AV6" i="2"/>
  <c r="G6" i="2" a="1"/>
  <c r="G6" i="2"/>
  <c r="AF6" i="2" a="1"/>
  <c r="AF6" i="2"/>
  <c r="AN165" i="2" a="1"/>
  <c r="AN165" i="2"/>
  <c r="R164" i="2" a="1"/>
  <c r="R164" i="2"/>
  <c r="M165" i="2" a="1"/>
  <c r="M165" i="2"/>
  <c r="U164" i="2" a="1"/>
  <c r="U164" i="2"/>
  <c r="R165" i="2" a="1"/>
  <c r="R165" i="2"/>
  <c r="E22" i="11" a="1"/>
  <c r="E22" i="11"/>
  <c r="AR164" i="2" a="1"/>
  <c r="AR164" i="2"/>
  <c r="S164" i="2" a="1"/>
  <c r="S164" i="2"/>
  <c r="Z164" i="2" a="1"/>
  <c r="Z164" i="2"/>
  <c r="AF113" i="2" a="1"/>
  <c r="AF113" i="2"/>
  <c r="AB113" i="2" a="1"/>
  <c r="AB113" i="2"/>
  <c r="AG113" i="2" a="1"/>
  <c r="AG113" i="2"/>
  <c r="T164" i="2" a="1"/>
  <c r="T164" i="2"/>
  <c r="AB165" i="2" a="1"/>
  <c r="AB165" i="2"/>
  <c r="AJ113" i="2" a="1"/>
  <c r="AJ113" i="2"/>
  <c r="AI114" i="2" a="1"/>
  <c r="AI114" i="2"/>
  <c r="AN114" i="2" a="1"/>
  <c r="AN114" i="2"/>
  <c r="AM113" i="2" a="1"/>
  <c r="AM113" i="2"/>
  <c r="AH164" i="2" a="1"/>
  <c r="AH164" i="2"/>
  <c r="AE113" i="2" a="1"/>
  <c r="AE113" i="2"/>
  <c r="AL164" i="2" a="1"/>
  <c r="AL164" i="2"/>
  <c r="AJ164" i="2" a="1"/>
  <c r="AJ164" i="2"/>
  <c r="U6" i="2" a="1"/>
  <c r="U6" i="2"/>
  <c r="AM6" i="2" a="1"/>
  <c r="AM6" i="2"/>
  <c r="AB6" i="2" a="1"/>
  <c r="AB6" i="2"/>
  <c r="AU6" i="2" a="1"/>
  <c r="AU6" i="2"/>
  <c r="AT6" i="2" a="1"/>
  <c r="AT6" i="2"/>
  <c r="AZ6" i="2" a="1"/>
  <c r="AZ6" i="2"/>
  <c r="AY6" i="2" a="1"/>
  <c r="AY6" i="2"/>
  <c r="J6" i="2" a="1"/>
  <c r="J6" i="2"/>
  <c r="AL113" i="2" a="1"/>
  <c r="AL113" i="2"/>
  <c r="AZ113" i="2" a="1"/>
  <c r="AZ113" i="2"/>
  <c r="AU113" i="2" a="1"/>
  <c r="AU113" i="2"/>
  <c r="AP113" i="2" a="1"/>
  <c r="AP113" i="2"/>
  <c r="AD165" i="2" a="1"/>
  <c r="AD165" i="2"/>
  <c r="AN164" i="2" a="1"/>
  <c r="AN164" i="2"/>
  <c r="AY114" i="2" a="1"/>
  <c r="AY114" i="2"/>
  <c r="W164" i="2" a="1"/>
  <c r="W164" i="2"/>
  <c r="AH114" i="2" a="1"/>
  <c r="AH114" i="2"/>
  <c r="AD164" i="2" a="1"/>
  <c r="AD164" i="2"/>
  <c r="AP6" i="2" a="1"/>
  <c r="AP6" i="2"/>
  <c r="O6" i="2" a="1"/>
  <c r="O6" i="2"/>
  <c r="AR6" i="2" a="1"/>
  <c r="AR6" i="2"/>
  <c r="AA6" i="2" a="1"/>
  <c r="AA6" i="2"/>
  <c r="AC164" i="2" a="1"/>
  <c r="AC164" i="2"/>
  <c r="Q6" i="2" a="1"/>
  <c r="Q6" i="2"/>
  <c r="AX6" i="2" a="1"/>
  <c r="AX6" i="2"/>
  <c r="AY164" i="2" a="1"/>
  <c r="AY164" i="2"/>
  <c r="N6" i="2" a="1"/>
  <c r="N6" i="2"/>
  <c r="S6" i="2" a="1"/>
  <c r="S6" i="2"/>
  <c r="F6" i="2" a="1"/>
  <c r="F6" i="2"/>
  <c r="AI6" i="2" a="1"/>
  <c r="AI6" i="2"/>
  <c r="AH6" i="2" a="1"/>
  <c r="AH6" i="2"/>
  <c r="C22" i="11" a="1"/>
  <c r="C22" i="11"/>
  <c r="AH113" i="2" a="1"/>
  <c r="AH113" i="2"/>
  <c r="AM114" i="2" a="1"/>
  <c r="AM114" i="2"/>
  <c r="AX165" i="2" a="1"/>
  <c r="AX165" i="2"/>
  <c r="AV114" i="2" a="1"/>
  <c r="AV114" i="2"/>
  <c r="U165" i="2" a="1"/>
  <c r="U165" i="2"/>
  <c r="AM164" i="2" a="1"/>
  <c r="AM164" i="2"/>
  <c r="AL114" i="2" a="1"/>
  <c r="AL114" i="2"/>
  <c r="AJ114" i="2" a="1"/>
  <c r="AJ114" i="2"/>
  <c r="S165" i="2" a="1"/>
  <c r="S165" i="2"/>
  <c r="AS165" i="2" a="1"/>
  <c r="AS165" i="2"/>
  <c r="AI165" i="2" a="1"/>
  <c r="AI165" i="2"/>
  <c r="AL165" i="2" a="1"/>
  <c r="AL165" i="2"/>
  <c r="O164" i="2" a="1"/>
  <c r="O164" i="2"/>
  <c r="AS164" i="2" a="1"/>
  <c r="AS164" i="2"/>
  <c r="AQ164" i="2" a="1"/>
  <c r="AQ164" i="2"/>
  <c r="D22" i="11" a="1"/>
  <c r="D22" i="11"/>
  <c r="AV164" i="2" a="1"/>
  <c r="AV164" i="2"/>
  <c r="Y165" i="2" a="1"/>
  <c r="Y165" i="2"/>
  <c r="X164" i="2" a="1"/>
  <c r="X164" i="2"/>
  <c r="W165" i="2" a="1"/>
  <c r="W165" i="2"/>
  <c r="AR165" i="2" a="1"/>
  <c r="AR165" i="2"/>
  <c r="AU165" i="2" a="1"/>
  <c r="AU165" i="2"/>
  <c r="AG165" i="2" a="1"/>
  <c r="AG165" i="2"/>
  <c r="AB164" i="2" a="1"/>
  <c r="AB164" i="2"/>
  <c r="AC165" i="2" a="1"/>
  <c r="AC165" i="2"/>
  <c r="AP165" i="2" a="1"/>
  <c r="AP165" i="2"/>
  <c r="O165" i="2" a="1"/>
  <c r="O165" i="2"/>
  <c r="N165" i="2" a="1"/>
  <c r="N165" i="2"/>
  <c r="AQ165" i="2" a="1"/>
  <c r="AQ165" i="2"/>
  <c r="AL382" i="2" a="1"/>
  <c r="AL382" i="2"/>
  <c r="Q382" i="2" a="1"/>
  <c r="Q382" i="2"/>
  <c r="AM368" i="2" a="1"/>
  <c r="AM368" i="2"/>
  <c r="AM382" i="2" a="1"/>
  <c r="AM382" i="2"/>
  <c r="AL368" i="2" a="1"/>
  <c r="AL368" i="2"/>
  <c r="O368" i="2" a="1"/>
  <c r="O368" i="2"/>
  <c r="AI368" i="2" a="1"/>
  <c r="AI368" i="2"/>
  <c r="Q368" i="2" a="1"/>
  <c r="Q368" i="2"/>
  <c r="P368" i="2" a="1"/>
  <c r="P368" i="2"/>
  <c r="T368" i="2" a="1"/>
  <c r="T368" i="2"/>
  <c r="AD368" i="2" a="1"/>
  <c r="AD368" i="2"/>
  <c r="V368" i="2" a="1"/>
  <c r="V368" i="2"/>
  <c r="U368" i="2" a="1"/>
  <c r="U368" i="2"/>
  <c r="Y368" i="2" a="1"/>
  <c r="Y368" i="2"/>
  <c r="X368" i="2" a="1"/>
  <c r="X368" i="2"/>
  <c r="AC382" i="2" a="1"/>
  <c r="AC382" i="2"/>
  <c r="W368" i="2" a="1"/>
  <c r="W368" i="2"/>
  <c r="AB382" i="2" a="1"/>
  <c r="AB382" i="2"/>
  <c r="W382" i="2" a="1"/>
  <c r="W382" i="2"/>
  <c r="AC368" i="2" a="1"/>
  <c r="AC368" i="2"/>
  <c r="S382" i="2" a="1"/>
  <c r="S382" i="2"/>
  <c r="Z382" i="2" a="1"/>
  <c r="Z382" i="2"/>
  <c r="AA382" i="2" a="1"/>
  <c r="AA382" i="2"/>
  <c r="V382" i="2" a="1"/>
  <c r="V382" i="2"/>
  <c r="U382" i="2" a="1"/>
  <c r="U382" i="2"/>
  <c r="AK382" i="2" a="1"/>
  <c r="AK382" i="2"/>
  <c r="AJ382" i="2" a="1"/>
  <c r="AJ382" i="2"/>
  <c r="AH368" i="2" a="1"/>
  <c r="AH368" i="2"/>
  <c r="AB368" i="2" a="1"/>
  <c r="AB368" i="2"/>
  <c r="Z368" i="2" a="1"/>
  <c r="Z368" i="2"/>
  <c r="AA368" i="2" a="1"/>
  <c r="AA368" i="2"/>
  <c r="S368" i="2" a="1"/>
  <c r="S368" i="2"/>
  <c r="X382" i="2" a="1"/>
  <c r="X382" i="2"/>
  <c r="AF382" i="2" a="1"/>
  <c r="AF382" i="2"/>
  <c r="AE382" i="2" a="1"/>
  <c r="AE382" i="2"/>
  <c r="AI382" i="2" a="1"/>
  <c r="AI382" i="2"/>
  <c r="R368" i="2" a="1"/>
  <c r="R368" i="2"/>
  <c r="AD382" i="2" a="1"/>
  <c r="AD382" i="2"/>
  <c r="AF368" i="2" a="1"/>
  <c r="AF368" i="2"/>
  <c r="AE368" i="2" a="1"/>
  <c r="AE368" i="2"/>
  <c r="T382" i="2" a="1"/>
  <c r="T382" i="2"/>
  <c r="AK368" i="2" a="1"/>
  <c r="AK368" i="2"/>
  <c r="AJ368" i="2" a="1"/>
  <c r="AJ368" i="2"/>
  <c r="AH382" i="2" a="1"/>
  <c r="AH382" i="2"/>
  <c r="AG382" i="2" a="1"/>
  <c r="AG382" i="2"/>
  <c r="AG368" i="2" a="1"/>
  <c r="AG368" i="2"/>
  <c r="Y382" i="2" a="1"/>
  <c r="Y382" i="2"/>
  <c r="R382" i="2" a="1"/>
  <c r="R382" i="2"/>
  <c r="E85" i="3" l="1"/>
  <c r="E82" i="3"/>
  <c r="E68" i="3"/>
  <c r="E39" i="3"/>
  <c r="E7" i="2" a="1"/>
  <c r="E7" i="2" l="1"/>
  <c r="D15" i="13"/>
  <c r="E110" i="3"/>
  <c r="D6" i="10"/>
  <c r="H72" i="6"/>
  <c r="G72" i="6" s="1"/>
  <c r="F72" i="6" s="1"/>
  <c r="E72" i="6" s="1"/>
  <c r="D72" i="6" s="1"/>
  <c r="Y65" i="6"/>
  <c r="X65" i="6"/>
  <c r="W65" i="6"/>
  <c r="V65" i="6"/>
  <c r="S65" i="6"/>
  <c r="R65" i="6"/>
  <c r="Q65" i="6"/>
  <c r="P65" i="6"/>
  <c r="AA64" i="6"/>
  <c r="T62" i="6"/>
  <c r="U65" i="6" s="1"/>
  <c r="N62" i="6"/>
  <c r="O65" i="6" s="1"/>
  <c r="V58" i="6"/>
  <c r="U58" i="6"/>
  <c r="T58" i="6"/>
  <c r="S58" i="6"/>
  <c r="R58" i="6"/>
  <c r="Y50" i="6"/>
  <c r="X50" i="6"/>
  <c r="W50" i="6"/>
  <c r="V50" i="6"/>
  <c r="U50" i="6"/>
  <c r="T50" i="6"/>
  <c r="S50" i="6"/>
  <c r="R50" i="6"/>
  <c r="Q50" i="6"/>
  <c r="P50" i="6"/>
  <c r="O50" i="6"/>
  <c r="N50" i="6"/>
  <c r="M50" i="6"/>
  <c r="L50" i="6"/>
  <c r="K50" i="6"/>
  <c r="J50" i="6"/>
  <c r="I50" i="6"/>
  <c r="Y47" i="6"/>
  <c r="X47" i="6"/>
  <c r="W47" i="6"/>
  <c r="V47" i="6"/>
  <c r="U47" i="6"/>
  <c r="T47" i="6"/>
  <c r="S47" i="6"/>
  <c r="R47" i="6"/>
  <c r="Q47" i="6"/>
  <c r="P47" i="6"/>
  <c r="O47" i="6"/>
  <c r="N47" i="6"/>
  <c r="M47" i="6"/>
  <c r="L47" i="6"/>
  <c r="K47" i="6"/>
  <c r="J47" i="6"/>
  <c r="I47" i="6"/>
  <c r="Y45" i="6"/>
  <c r="X45" i="6"/>
  <c r="W45" i="6"/>
  <c r="V45" i="6"/>
  <c r="U45" i="6"/>
  <c r="T45" i="6"/>
  <c r="S45" i="6"/>
  <c r="R45" i="6"/>
  <c r="J45" i="6"/>
  <c r="I45" i="6"/>
  <c r="K44" i="6"/>
  <c r="K45" i="6" s="1"/>
  <c r="N41" i="6"/>
  <c r="N42" i="6" s="1"/>
  <c r="M41" i="6"/>
  <c r="M42" i="6" s="1"/>
  <c r="L41" i="6"/>
  <c r="L42" i="6" s="1"/>
  <c r="I41" i="6"/>
  <c r="I42" i="6" s="1"/>
  <c r="U40" i="6"/>
  <c r="R40" i="6"/>
  <c r="U39" i="6"/>
  <c r="U42" i="6" s="1"/>
  <c r="R39" i="6"/>
  <c r="R42" i="6" s="1"/>
  <c r="S38" i="6"/>
  <c r="T38" i="6" s="1"/>
  <c r="U38" i="6" s="1"/>
  <c r="V38" i="6" s="1"/>
  <c r="W38" i="6" s="1"/>
  <c r="X38" i="6" s="1"/>
  <c r="Y38" i="6" s="1"/>
  <c r="Q38" i="6"/>
  <c r="P38" i="6" s="1"/>
  <c r="O38" i="6" s="1"/>
  <c r="N38" i="6" s="1"/>
  <c r="M38" i="6" s="1"/>
  <c r="L38" i="6" s="1"/>
  <c r="K38" i="6" s="1"/>
  <c r="J38" i="6" s="1"/>
  <c r="I38" i="6" s="1"/>
  <c r="H38" i="6" s="1"/>
  <c r="G38" i="6" s="1"/>
  <c r="F38" i="6" s="1"/>
  <c r="E38" i="6" s="1"/>
  <c r="D38" i="6" s="1"/>
  <c r="P32" i="6"/>
  <c r="Q32" i="6" s="1"/>
  <c r="Y29" i="6"/>
  <c r="X29" i="6"/>
  <c r="W29" i="6"/>
  <c r="V29" i="6"/>
  <c r="U29" i="6"/>
  <c r="T29" i="6"/>
  <c r="S29" i="6"/>
  <c r="R29" i="6"/>
  <c r="Q29" i="6"/>
  <c r="P29" i="6"/>
  <c r="O29" i="6"/>
  <c r="N29" i="6"/>
  <c r="M29" i="6"/>
  <c r="L29" i="6"/>
  <c r="K29" i="6"/>
  <c r="V22" i="6"/>
  <c r="U22" i="6"/>
  <c r="T22" i="6"/>
  <c r="S22" i="6"/>
  <c r="R22" i="6"/>
  <c r="O22" i="6"/>
  <c r="N22" i="6"/>
  <c r="M22" i="6"/>
  <c r="L22" i="6"/>
  <c r="K22" i="6"/>
  <c r="V13" i="6"/>
  <c r="T13" i="6"/>
  <c r="S13" i="6"/>
  <c r="U10" i="6"/>
  <c r="U12" i="6" s="1"/>
  <c r="R10" i="6"/>
  <c r="R12" i="6" s="1"/>
  <c r="P9" i="6"/>
  <c r="Q9" i="6" s="1"/>
  <c r="N8" i="6"/>
  <c r="N10" i="6" s="1"/>
  <c r="N12" i="6" s="1"/>
  <c r="M8" i="6"/>
  <c r="L8" i="6"/>
  <c r="L10" i="6" s="1"/>
  <c r="L12" i="6" s="1"/>
  <c r="I8" i="6"/>
  <c r="I10" i="6" s="1"/>
  <c r="I12" i="6" s="1"/>
  <c r="H8" i="6"/>
  <c r="V7" i="6"/>
  <c r="U7" i="6"/>
  <c r="T7" i="6"/>
  <c r="Q7" i="6"/>
  <c r="P7" i="6"/>
  <c r="O7" i="6"/>
  <c r="N7" i="6"/>
  <c r="M7" i="6"/>
  <c r="L7" i="6"/>
  <c r="K7" i="6"/>
  <c r="J7" i="6"/>
  <c r="W6" i="6"/>
  <c r="W13" i="6" s="1"/>
  <c r="Y5" i="6"/>
  <c r="X5" i="6"/>
  <c r="W5" i="6"/>
  <c r="V5" i="6"/>
  <c r="T5" i="6"/>
  <c r="S5" i="6"/>
  <c r="Q5" i="6"/>
  <c r="P5" i="6"/>
  <c r="O5" i="6"/>
  <c r="N5" i="6"/>
  <c r="L5" i="6"/>
  <c r="K5" i="6"/>
  <c r="J5" i="6"/>
  <c r="I5" i="6"/>
  <c r="H5" i="6"/>
  <c r="G5" i="6"/>
  <c r="F5" i="6"/>
  <c r="E5" i="6"/>
  <c r="D5" i="6"/>
  <c r="U4" i="6"/>
  <c r="R4" i="6"/>
  <c r="R5" i="6" s="1"/>
  <c r="S2" i="6"/>
  <c r="T2" i="6" s="1"/>
  <c r="U2" i="6" s="1"/>
  <c r="V2" i="6" s="1"/>
  <c r="W2" i="6" s="1"/>
  <c r="X2" i="6" s="1"/>
  <c r="Y2" i="6" s="1"/>
  <c r="Q2" i="6"/>
  <c r="P2" i="6" s="1"/>
  <c r="O2" i="6" s="1"/>
  <c r="N2" i="6" s="1"/>
  <c r="M2" i="6" s="1"/>
  <c r="L2" i="6" s="1"/>
  <c r="K2" i="6" s="1"/>
  <c r="J2" i="6" s="1"/>
  <c r="I2" i="6" s="1"/>
  <c r="H2" i="6" s="1"/>
  <c r="G2" i="6" s="1"/>
  <c r="F2" i="6" s="1"/>
  <c r="E2" i="6" s="1"/>
  <c r="D2" i="6" s="1"/>
  <c r="I113" i="3"/>
  <c r="F103" i="3"/>
  <c r="E103" i="3"/>
  <c r="D103" i="3"/>
  <c r="F98" i="3"/>
  <c r="F99" i="3" s="1"/>
  <c r="F102" i="3" s="1"/>
  <c r="E98" i="3"/>
  <c r="E99" i="3" s="1"/>
  <c r="E102" i="3" s="1"/>
  <c r="D98" i="3"/>
  <c r="D99" i="3" s="1"/>
  <c r="D102" i="3" s="1"/>
  <c r="L97" i="3"/>
  <c r="L98" i="3" s="1"/>
  <c r="L99" i="3" s="1"/>
  <c r="L100" i="3" s="1"/>
  <c r="L101" i="3" s="1"/>
  <c r="L102" i="3" s="1"/>
  <c r="L103" i="3" s="1"/>
  <c r="L104" i="3" s="1"/>
  <c r="L105" i="3" s="1"/>
  <c r="L106" i="3" s="1"/>
  <c r="L107" i="3" s="1"/>
  <c r="N95" i="3"/>
  <c r="O95" i="3" s="1"/>
  <c r="P95" i="3" s="1"/>
  <c r="Q95" i="3" s="1"/>
  <c r="R95" i="3" s="1"/>
  <c r="S95" i="3" s="1"/>
  <c r="T95" i="3" s="1"/>
  <c r="U95" i="3" s="1"/>
  <c r="V95" i="3" s="1"/>
  <c r="W95" i="3" s="1"/>
  <c r="I88" i="3"/>
  <c r="F86" i="3"/>
  <c r="F111" i="3" s="1"/>
  <c r="E86" i="3"/>
  <c r="E111" i="3" s="1"/>
  <c r="D86" i="3"/>
  <c r="D111" i="3" s="1"/>
  <c r="J85" i="3"/>
  <c r="F85" i="3"/>
  <c r="F110" i="3" s="1"/>
  <c r="D85" i="3"/>
  <c r="D110" i="3" s="1"/>
  <c r="L77" i="3"/>
  <c r="L78" i="3" s="1"/>
  <c r="L79" i="3" s="1"/>
  <c r="L80" i="3" s="1"/>
  <c r="L81" i="3" s="1"/>
  <c r="L82" i="3" s="1"/>
  <c r="L83" i="3" s="1"/>
  <c r="L84" i="3" s="1"/>
  <c r="L85" i="3" s="1"/>
  <c r="L86" i="3" s="1"/>
  <c r="L87" i="3" s="1"/>
  <c r="L88" i="3" s="1"/>
  <c r="F77" i="3"/>
  <c r="E77" i="3"/>
  <c r="D77" i="3"/>
  <c r="N75" i="3"/>
  <c r="O75" i="3" s="1"/>
  <c r="P75" i="3" s="1"/>
  <c r="Q75" i="3" s="1"/>
  <c r="R75" i="3" s="1"/>
  <c r="S75" i="3" s="1"/>
  <c r="T75" i="3" s="1"/>
  <c r="U75" i="3" s="1"/>
  <c r="V75" i="3" s="1"/>
  <c r="W75" i="3" s="1"/>
  <c r="I70" i="3"/>
  <c r="F67" i="3"/>
  <c r="E67" i="3"/>
  <c r="D67" i="3"/>
  <c r="F61" i="3"/>
  <c r="F62" i="3" s="1"/>
  <c r="E61" i="3"/>
  <c r="E62" i="3" s="1"/>
  <c r="D61" i="3"/>
  <c r="D62" i="3" s="1"/>
  <c r="L58" i="3"/>
  <c r="L59" i="3" s="1"/>
  <c r="L60" i="3" s="1"/>
  <c r="L61" i="3" s="1"/>
  <c r="L62" i="3" s="1"/>
  <c r="L63" i="3" s="1"/>
  <c r="L64" i="3" s="1"/>
  <c r="L65" i="3" s="1"/>
  <c r="L66" i="3" s="1"/>
  <c r="F57" i="3"/>
  <c r="F60" i="3" s="1"/>
  <c r="F64" i="3" s="1"/>
  <c r="E57" i="3"/>
  <c r="E60" i="3" s="1"/>
  <c r="E64" i="3" s="1"/>
  <c r="D57" i="3"/>
  <c r="D60" i="3" s="1"/>
  <c r="D64" i="3" s="1"/>
  <c r="N56" i="3"/>
  <c r="O56" i="3" s="1"/>
  <c r="P56" i="3" s="1"/>
  <c r="Q56" i="3" s="1"/>
  <c r="R56" i="3" s="1"/>
  <c r="S56" i="3" s="1"/>
  <c r="T56" i="3" s="1"/>
  <c r="U56" i="3" s="1"/>
  <c r="V56" i="3" s="1"/>
  <c r="W56" i="3" s="1"/>
  <c r="I47" i="3"/>
  <c r="F39" i="3"/>
  <c r="D39" i="3"/>
  <c r="F31" i="3"/>
  <c r="F34" i="3" s="1"/>
  <c r="F38" i="3" s="1"/>
  <c r="E31" i="3"/>
  <c r="E34" i="3" s="1"/>
  <c r="E38" i="3" s="1"/>
  <c r="D31" i="3"/>
  <c r="D34" i="3" s="1"/>
  <c r="D38" i="3" s="1"/>
  <c r="L30" i="3"/>
  <c r="L31" i="3" s="1"/>
  <c r="L32" i="3" s="1"/>
  <c r="L33" i="3" s="1"/>
  <c r="L34" i="3" s="1"/>
  <c r="L35" i="3" s="1"/>
  <c r="L36" i="3" s="1"/>
  <c r="L37" i="3" s="1"/>
  <c r="L38" i="3" s="1"/>
  <c r="L39" i="3" s="1"/>
  <c r="L40" i="3" s="1"/>
  <c r="L41" i="3" s="1"/>
  <c r="L42" i="3" s="1"/>
  <c r="N28" i="3"/>
  <c r="O28" i="3" s="1"/>
  <c r="P28" i="3" s="1"/>
  <c r="Q28" i="3" s="1"/>
  <c r="R28" i="3" s="1"/>
  <c r="S28" i="3" s="1"/>
  <c r="T28" i="3" s="1"/>
  <c r="U28" i="3" s="1"/>
  <c r="V28" i="3" s="1"/>
  <c r="W28" i="3" s="1"/>
  <c r="I24" i="3"/>
  <c r="F22" i="3"/>
  <c r="F68" i="3" s="1"/>
  <c r="D22" i="3"/>
  <c r="D68" i="3" s="1"/>
  <c r="F16" i="3"/>
  <c r="D16" i="3"/>
  <c r="E15" i="3"/>
  <c r="E16" i="3" s="1"/>
  <c r="F12" i="3"/>
  <c r="E12" i="3"/>
  <c r="D12" i="3"/>
  <c r="F8" i="3"/>
  <c r="E8" i="3"/>
  <c r="D8" i="3"/>
  <c r="O6" i="3"/>
  <c r="P6" i="3" s="1"/>
  <c r="Q6" i="3" s="1"/>
  <c r="R6" i="3" s="1"/>
  <c r="S6" i="3" s="1"/>
  <c r="T6" i="3" s="1"/>
  <c r="U6" i="3" s="1"/>
  <c r="V6" i="3" s="1"/>
  <c r="W6" i="3" s="1"/>
  <c r="C49" i="4"/>
  <c r="C48" i="4"/>
  <c r="C45" i="4"/>
  <c r="C43" i="4"/>
  <c r="C41" i="4"/>
  <c r="C39" i="4"/>
  <c r="C37" i="4"/>
  <c r="C36" i="4"/>
  <c r="C35" i="4"/>
  <c r="C33" i="4"/>
  <c r="C32" i="4"/>
  <c r="C31" i="4"/>
  <c r="C29" i="4"/>
  <c r="C28" i="4"/>
  <c r="C16" i="4"/>
  <c r="C15" i="4"/>
  <c r="C13" i="4"/>
  <c r="J13" i="4" s="1" a="1"/>
  <c r="J13" i="4" s="1"/>
  <c r="E8" i="4" a="1"/>
  <c r="E8" i="4" s="1"/>
  <c r="D8" i="4" a="1"/>
  <c r="D8" i="4" s="1"/>
  <c r="C6" i="4"/>
  <c r="AI6" i="4" s="1" a="1"/>
  <c r="AI6" i="4" s="1"/>
  <c r="C5" i="4"/>
  <c r="U5" i="4" s="1" a="1"/>
  <c r="U5" i="4" s="1"/>
  <c r="BJ15" i="5"/>
  <c r="CM15" i="5"/>
  <c r="BY15" i="5"/>
  <c r="BU15" i="5"/>
  <c r="CC15" i="5"/>
  <c r="BC15" i="5"/>
  <c r="DQ15" i="5"/>
  <c r="CI15" i="5"/>
  <c r="DE15" i="5"/>
  <c r="DK15" i="5"/>
  <c r="BW15" i="5"/>
  <c r="DO15" i="5"/>
  <c r="CK15" i="5"/>
  <c r="CU15" i="5"/>
  <c r="BF15" i="5"/>
  <c r="DG15" i="5"/>
  <c r="BM15" i="5"/>
  <c r="BO15" i="5"/>
  <c r="CE15" i="5"/>
  <c r="CQ15" i="5"/>
  <c r="BD15" i="5"/>
  <c r="CY15" i="5"/>
  <c r="DS15" i="5"/>
  <c r="CG15" i="5"/>
  <c r="CS15" i="5"/>
  <c r="BS15" i="5"/>
  <c r="DI15" i="5"/>
  <c r="CA15" i="5"/>
  <c r="R7" i="2" a="1"/>
  <c r="BQ15" i="5"/>
  <c r="DA15" i="5"/>
  <c r="DU15" i="5"/>
  <c r="BH15" i="5"/>
  <c r="DC15" i="5"/>
  <c r="BL15" i="5"/>
  <c r="CO15" i="5"/>
  <c r="CW15" i="5"/>
  <c r="DM15" i="5"/>
  <c r="R7" i="2" l="1"/>
  <c r="D104" i="3"/>
  <c r="E104" i="3"/>
  <c r="E105" i="3" s="1"/>
  <c r="F104" i="3"/>
  <c r="F18" i="3"/>
  <c r="F23" i="3" s="1"/>
  <c r="F24" i="3" s="1"/>
  <c r="T65" i="6"/>
  <c r="D40" i="3"/>
  <c r="D44" i="3" s="1"/>
  <c r="D46" i="3" s="1"/>
  <c r="D47" i="3" s="1"/>
  <c r="AC6" i="4" a="1"/>
  <c r="AC6" i="4" s="1"/>
  <c r="X6" i="6"/>
  <c r="Y6" i="6" s="1"/>
  <c r="Y13" i="6" s="1"/>
  <c r="AD6" i="4" a="1"/>
  <c r="AD6" i="4" s="1"/>
  <c r="L14" i="6"/>
  <c r="L16" i="6" s="1"/>
  <c r="L17" i="6" s="1"/>
  <c r="N14" i="6"/>
  <c r="N16" i="6" s="1"/>
  <c r="N18" i="6" s="1"/>
  <c r="U52" i="6"/>
  <c r="U55" i="6" s="1"/>
  <c r="AE6" i="4" a="1"/>
  <c r="AE6" i="4" s="1"/>
  <c r="AF6" i="4" a="1"/>
  <c r="AF6" i="4" s="1"/>
  <c r="H10" i="6"/>
  <c r="H12" i="6" s="1"/>
  <c r="I52" i="6"/>
  <c r="AB6" i="4" a="1"/>
  <c r="AB6" i="4" s="1"/>
  <c r="H14" i="6"/>
  <c r="H16" i="6" s="1"/>
  <c r="H17" i="6" s="1"/>
  <c r="D18" i="3"/>
  <c r="D23" i="3" s="1"/>
  <c r="D24" i="3" s="1"/>
  <c r="I14" i="6"/>
  <c r="I16" i="6" s="1"/>
  <c r="I18" i="6" s="1"/>
  <c r="L13" i="4" a="1"/>
  <c r="L13" i="4" s="1"/>
  <c r="Y5" i="4" a="1"/>
  <c r="Y5" i="4" s="1"/>
  <c r="AG6" i="4" a="1"/>
  <c r="AG6" i="4" s="1"/>
  <c r="F13" i="4" a="1"/>
  <c r="F13" i="4" s="1"/>
  <c r="N13" i="4" a="1"/>
  <c r="N13" i="4" s="1"/>
  <c r="E13" i="4" a="1"/>
  <c r="E13" i="4" s="1"/>
  <c r="M13" i="4" a="1"/>
  <c r="M13" i="4" s="1"/>
  <c r="Z6" i="4" a="1"/>
  <c r="Z6" i="4" s="1"/>
  <c r="AH6" i="4" a="1"/>
  <c r="AH6" i="4" s="1"/>
  <c r="G13" i="4" a="1"/>
  <c r="G13" i="4" s="1"/>
  <c r="O13" i="4" a="1"/>
  <c r="O13" i="4" s="1"/>
  <c r="K13" i="4" a="1"/>
  <c r="K13" i="4" s="1"/>
  <c r="D13" i="4" a="1"/>
  <c r="D13" i="4" s="1"/>
  <c r="AA6" i="4" a="1"/>
  <c r="AA6" i="4" s="1"/>
  <c r="H13" i="4" a="1"/>
  <c r="H13" i="4" s="1"/>
  <c r="I13" i="4" a="1"/>
  <c r="I13" i="4" s="1"/>
  <c r="E18" i="3"/>
  <c r="E23" i="3" s="1"/>
  <c r="L6" i="3" s="1"/>
  <c r="E40" i="3"/>
  <c r="E44" i="3" s="1"/>
  <c r="E46" i="3" s="1"/>
  <c r="X5" i="4" a="1"/>
  <c r="X5" i="4" s="1"/>
  <c r="T5" i="4" a="1"/>
  <c r="T5" i="4" s="1"/>
  <c r="D5" i="4" a="1"/>
  <c r="D5" i="4" s="1"/>
  <c r="E5" i="4" a="1"/>
  <c r="E5" i="4" s="1"/>
  <c r="E65" i="3"/>
  <c r="E69" i="3" s="1"/>
  <c r="E79" i="3"/>
  <c r="E81" i="3" s="1"/>
  <c r="E83" i="3" s="1"/>
  <c r="E87" i="3" s="1"/>
  <c r="E88" i="3" s="1"/>
  <c r="L120" i="3" s="1"/>
  <c r="M14" i="6"/>
  <c r="M16" i="6" s="1"/>
  <c r="M17" i="6" s="1"/>
  <c r="M10" i="6"/>
  <c r="M12" i="6" s="1"/>
  <c r="Q35" i="4" a="1"/>
  <c r="Q35" i="4" s="1"/>
  <c r="P35" i="4" a="1"/>
  <c r="P35" i="4" s="1"/>
  <c r="R35" i="4" a="1"/>
  <c r="R35" i="4" s="1"/>
  <c r="N31" i="6"/>
  <c r="N34" i="6" s="1"/>
  <c r="S35" i="4" a="1"/>
  <c r="S35" i="4" s="1"/>
  <c r="V35" i="4" a="1"/>
  <c r="V35" i="4" s="1"/>
  <c r="W35" i="4" a="1"/>
  <c r="W35" i="4" s="1"/>
  <c r="D79" i="3"/>
  <c r="D81" i="3" s="1"/>
  <c r="D83" i="3" s="1"/>
  <c r="D87" i="3" s="1"/>
  <c r="D88" i="3" s="1"/>
  <c r="D65" i="3"/>
  <c r="D69" i="3" s="1"/>
  <c r="D70" i="3" s="1"/>
  <c r="F105" i="3"/>
  <c r="F108" i="3"/>
  <c r="F112" i="3" s="1"/>
  <c r="F113" i="3" s="1"/>
  <c r="F79" i="3"/>
  <c r="F81" i="3" s="1"/>
  <c r="F83" i="3" s="1"/>
  <c r="F87" i="3" s="1"/>
  <c r="F65" i="3"/>
  <c r="F69" i="3" s="1"/>
  <c r="F70" i="3" s="1"/>
  <c r="U5" i="6"/>
  <c r="U14" i="6" s="1"/>
  <c r="U16" i="6" s="1"/>
  <c r="U13" i="6"/>
  <c r="R14" i="6"/>
  <c r="R16" i="6" s="1"/>
  <c r="R6" i="6"/>
  <c r="D108" i="3"/>
  <c r="D112" i="3" s="1"/>
  <c r="D113" i="3" s="1"/>
  <c r="D105" i="3"/>
  <c r="R52" i="6"/>
  <c r="I17" i="6"/>
  <c r="J8" i="6" s="1"/>
  <c r="F40" i="3"/>
  <c r="F44" i="3" s="1"/>
  <c r="F46" i="3" s="1"/>
  <c r="N17" i="6"/>
  <c r="O8" i="6" s="1"/>
  <c r="M62" i="6"/>
  <c r="N65" i="6" s="1"/>
  <c r="L44" i="6"/>
  <c r="AW15" i="5"/>
  <c r="AU15" i="5"/>
  <c r="AS15" i="5" a="1"/>
  <c r="E108" i="3" l="1"/>
  <c r="E112" i="3" s="1"/>
  <c r="X13" i="6"/>
  <c r="L18" i="6"/>
  <c r="L31" i="6" s="1"/>
  <c r="L34" i="6" s="1"/>
  <c r="F90" i="3"/>
  <c r="U53" i="6"/>
  <c r="U67" i="6" s="1"/>
  <c r="U17" i="6"/>
  <c r="V8" i="6" s="1"/>
  <c r="V14" i="6" s="1"/>
  <c r="V16" i="6" s="1"/>
  <c r="V17" i="6" s="1"/>
  <c r="W8" i="6" s="1"/>
  <c r="U18" i="6"/>
  <c r="U31" i="6" s="1"/>
  <c r="D49" i="3"/>
  <c r="I53" i="6"/>
  <c r="I55" i="6"/>
  <c r="H18" i="6"/>
  <c r="M18" i="6"/>
  <c r="N21" i="6" s="1"/>
  <c r="N24" i="6" s="1"/>
  <c r="E24" i="3"/>
  <c r="M119" i="3" s="1"/>
  <c r="M123" i="3" s="1"/>
  <c r="E49" i="3"/>
  <c r="L28" i="3" s="1"/>
  <c r="E47" i="3"/>
  <c r="L119" i="3" s="1"/>
  <c r="L123" i="3" s="1"/>
  <c r="AS15" i="5"/>
  <c r="L62" i="6"/>
  <c r="D90" i="3"/>
  <c r="E90" i="3"/>
  <c r="L75" i="3"/>
  <c r="J10" i="6"/>
  <c r="J12" i="6" s="1"/>
  <c r="J39" i="6"/>
  <c r="E70" i="3"/>
  <c r="M120" i="3" s="1"/>
  <c r="L56" i="3"/>
  <c r="O39" i="6"/>
  <c r="O10" i="6"/>
  <c r="O12" i="6" s="1"/>
  <c r="F88" i="3"/>
  <c r="R55" i="6"/>
  <c r="R53" i="6"/>
  <c r="J14" i="6"/>
  <c r="J16" i="6" s="1"/>
  <c r="J17" i="6" s="1"/>
  <c r="K8" i="6" s="1"/>
  <c r="L95" i="3"/>
  <c r="E113" i="3"/>
  <c r="L121" i="3" s="1"/>
  <c r="S7" i="6"/>
  <c r="R7" i="6"/>
  <c r="F49" i="3"/>
  <c r="F47" i="3"/>
  <c r="R17" i="6"/>
  <c r="S8" i="6" s="1"/>
  <c r="R18" i="6"/>
  <c r="L45" i="6"/>
  <c r="L52" i="6" s="1"/>
  <c r="M44" i="6"/>
  <c r="O14" i="6"/>
  <c r="O16" i="6" s="1"/>
  <c r="O17" i="6" s="1"/>
  <c r="P8" i="6" s="1"/>
  <c r="AP15" i="5" a="1"/>
  <c r="V39" i="6" l="1"/>
  <c r="V10" i="6"/>
  <c r="V12" i="6" s="1"/>
  <c r="F91" i="3"/>
  <c r="F50" i="3"/>
  <c r="V18" i="6"/>
  <c r="V31" i="6" s="1"/>
  <c r="M31" i="6"/>
  <c r="M34" i="6" s="1"/>
  <c r="M21" i="6"/>
  <c r="M24" i="6" s="1"/>
  <c r="D50" i="3"/>
  <c r="AP15" i="5"/>
  <c r="U73" i="6"/>
  <c r="U78" i="6"/>
  <c r="K10" i="6"/>
  <c r="K12" i="6" s="1"/>
  <c r="K39" i="6"/>
  <c r="K14" i="6"/>
  <c r="K16" i="6" s="1"/>
  <c r="K17" i="6" s="1"/>
  <c r="R31" i="6"/>
  <c r="J41" i="6"/>
  <c r="J42" i="6" s="1"/>
  <c r="J52" i="6" s="1"/>
  <c r="S39" i="6"/>
  <c r="S10" i="6"/>
  <c r="S12" i="6" s="1"/>
  <c r="S14" i="6"/>
  <c r="S16" i="6" s="1"/>
  <c r="S17" i="6" s="1"/>
  <c r="T8" i="6" s="1"/>
  <c r="J18" i="6"/>
  <c r="O18" i="6"/>
  <c r="L55" i="6"/>
  <c r="L53" i="6"/>
  <c r="W39" i="6"/>
  <c r="W10" i="6"/>
  <c r="W12" i="6" s="1"/>
  <c r="W14" i="6"/>
  <c r="W16" i="6" s="1"/>
  <c r="W17" i="6" s="1"/>
  <c r="X8" i="6" s="1"/>
  <c r="P10" i="6"/>
  <c r="P12" i="6" s="1"/>
  <c r="P39" i="6"/>
  <c r="P14" i="6"/>
  <c r="P16" i="6" s="1"/>
  <c r="P17" i="6" s="1"/>
  <c r="Q8" i="6" s="1"/>
  <c r="R67" i="6"/>
  <c r="O41" i="6"/>
  <c r="O42" i="6" s="1"/>
  <c r="D91" i="3"/>
  <c r="K62" i="6"/>
  <c r="L65" i="6" s="1"/>
  <c r="M45" i="6"/>
  <c r="M52" i="6" s="1"/>
  <c r="N44" i="6"/>
  <c r="V41" i="6"/>
  <c r="V42" i="6"/>
  <c r="V52" i="6" s="1"/>
  <c r="M65" i="6"/>
  <c r="AO15" i="5" a="1"/>
  <c r="K18" i="6" l="1"/>
  <c r="K31" i="6" s="1"/>
  <c r="K34" i="6" s="1"/>
  <c r="V21" i="6"/>
  <c r="V24" i="6" s="1"/>
  <c r="AO15" i="5"/>
  <c r="T39" i="6"/>
  <c r="T10" i="6"/>
  <c r="T12" i="6" s="1"/>
  <c r="T14" i="6"/>
  <c r="T16" i="6" s="1"/>
  <c r="T17" i="6" s="1"/>
  <c r="X10" i="6"/>
  <c r="X12" i="6" s="1"/>
  <c r="X14" i="6"/>
  <c r="X16" i="6" s="1"/>
  <c r="X17" i="6" s="1"/>
  <c r="Y8" i="6" s="1"/>
  <c r="X39" i="6"/>
  <c r="Q39" i="6"/>
  <c r="Q10" i="6"/>
  <c r="Q12" i="6" s="1"/>
  <c r="Q14" i="6"/>
  <c r="Q16" i="6" s="1"/>
  <c r="Q17" i="6" s="1"/>
  <c r="W18" i="6"/>
  <c r="S18" i="6"/>
  <c r="S41" i="6"/>
  <c r="S42" i="6" s="1"/>
  <c r="S52" i="6" s="1"/>
  <c r="O44" i="6"/>
  <c r="N45" i="6"/>
  <c r="N52" i="6" s="1"/>
  <c r="R73" i="6"/>
  <c r="R78" i="6"/>
  <c r="W41" i="6"/>
  <c r="W42" i="6" s="1"/>
  <c r="W52" i="6" s="1"/>
  <c r="K41" i="6"/>
  <c r="K42" i="6" s="1"/>
  <c r="K52" i="6" s="1"/>
  <c r="M55" i="6"/>
  <c r="M53" i="6"/>
  <c r="L67" i="6"/>
  <c r="K21" i="6"/>
  <c r="K24" i="6" s="1"/>
  <c r="O21" i="6"/>
  <c r="O24" i="6" s="1"/>
  <c r="O31" i="6"/>
  <c r="O34" i="6" s="1"/>
  <c r="V55" i="6"/>
  <c r="V53" i="6"/>
  <c r="J55" i="6"/>
  <c r="J53" i="6"/>
  <c r="P41" i="6"/>
  <c r="P42" i="6" s="1"/>
  <c r="J62" i="6"/>
  <c r="K65" i="6" s="1"/>
  <c r="P18" i="6"/>
  <c r="J31" i="6"/>
  <c r="J34" i="6" s="1"/>
  <c r="J21" i="6"/>
  <c r="AN15" i="5" a="1"/>
  <c r="L21" i="6" l="1"/>
  <c r="L24" i="6" s="1"/>
  <c r="T18" i="6"/>
  <c r="U21" i="6" s="1"/>
  <c r="U24" i="6" s="1"/>
  <c r="Q18" i="6"/>
  <c r="R21" i="6" s="1"/>
  <c r="R24" i="6" s="1"/>
  <c r="AN15" i="5"/>
  <c r="W53" i="6"/>
  <c r="W55" i="6"/>
  <c r="S53" i="6"/>
  <c r="S55" i="6"/>
  <c r="Y39" i="6"/>
  <c r="Y10" i="6"/>
  <c r="Y12" i="6" s="1"/>
  <c r="Y14" i="6"/>
  <c r="Y16" i="6" s="1"/>
  <c r="Y17" i="6" s="1"/>
  <c r="J67" i="6"/>
  <c r="J57" i="6"/>
  <c r="J77" i="6" s="1"/>
  <c r="I62" i="6"/>
  <c r="I67" i="6" s="1"/>
  <c r="L73" i="6"/>
  <c r="L70" i="6"/>
  <c r="S21" i="6"/>
  <c r="S24" i="6" s="1"/>
  <c r="S31" i="6"/>
  <c r="X18" i="6"/>
  <c r="N55" i="6"/>
  <c r="N53" i="6"/>
  <c r="M67" i="6"/>
  <c r="M57" i="6"/>
  <c r="W21" i="6"/>
  <c r="W31" i="6"/>
  <c r="L78" i="6"/>
  <c r="O45" i="6"/>
  <c r="O52" i="6" s="1"/>
  <c r="P44" i="6"/>
  <c r="Q21" i="6"/>
  <c r="Q31" i="6"/>
  <c r="Q34" i="6" s="1"/>
  <c r="K53" i="6"/>
  <c r="K55" i="6"/>
  <c r="T21" i="6"/>
  <c r="T24" i="6" s="1"/>
  <c r="Q41" i="6"/>
  <c r="Q42" i="6" s="1"/>
  <c r="T41" i="6"/>
  <c r="T42" i="6" s="1"/>
  <c r="T52" i="6" s="1"/>
  <c r="P31" i="6"/>
  <c r="P34" i="6" s="1"/>
  <c r="P21" i="6"/>
  <c r="V67" i="6"/>
  <c r="V57" i="6"/>
  <c r="X41" i="6"/>
  <c r="X42" i="6" s="1"/>
  <c r="X52" i="6" s="1"/>
  <c r="AM15" i="5" a="1"/>
  <c r="T31" i="6" l="1"/>
  <c r="AM15" i="5"/>
  <c r="X55" i="6"/>
  <c r="X53" i="6"/>
  <c r="T55" i="6"/>
  <c r="T53" i="6"/>
  <c r="K57" i="6"/>
  <c r="K67" i="6"/>
  <c r="L57" i="6"/>
  <c r="J70" i="6"/>
  <c r="J73" i="6"/>
  <c r="W67" i="6"/>
  <c r="W57" i="6"/>
  <c r="M60" i="6"/>
  <c r="M77" i="6"/>
  <c r="M73" i="6"/>
  <c r="M74" i="6" s="1"/>
  <c r="M70" i="6"/>
  <c r="M78" i="6"/>
  <c r="Y18" i="6"/>
  <c r="N67" i="6"/>
  <c r="N57" i="6"/>
  <c r="V60" i="6"/>
  <c r="Q44" i="6"/>
  <c r="Q45" i="6" s="1"/>
  <c r="Q52" i="6" s="1"/>
  <c r="P45" i="6"/>
  <c r="P52" i="6" s="1"/>
  <c r="Y41" i="6"/>
  <c r="Y42" i="6" s="1"/>
  <c r="Y52" i="6" s="1"/>
  <c r="V73" i="6"/>
  <c r="V74" i="6" s="1"/>
  <c r="V78" i="6"/>
  <c r="O53" i="6"/>
  <c r="O55" i="6"/>
  <c r="X31" i="6"/>
  <c r="X21" i="6"/>
  <c r="J65" i="6"/>
  <c r="J78" i="6" s="1"/>
  <c r="S57" i="6"/>
  <c r="S67" i="6"/>
  <c r="AL15" i="5" a="1"/>
  <c r="W77" i="6" l="1"/>
  <c r="AL15" i="5"/>
  <c r="Y53" i="6"/>
  <c r="Y55" i="6"/>
  <c r="Y21" i="6"/>
  <c r="Y31" i="6"/>
  <c r="X67" i="6"/>
  <c r="X57" i="6"/>
  <c r="P55" i="6"/>
  <c r="P53" i="6"/>
  <c r="O67" i="6"/>
  <c r="O57" i="6"/>
  <c r="Q53" i="6"/>
  <c r="Q55" i="6"/>
  <c r="L60" i="6"/>
  <c r="L77" i="6"/>
  <c r="S73" i="6"/>
  <c r="S74" i="6" s="1"/>
  <c r="S78" i="6"/>
  <c r="K70" i="6"/>
  <c r="K73" i="6"/>
  <c r="K78" i="6"/>
  <c r="S60" i="6"/>
  <c r="K60" i="6"/>
  <c r="K77" i="6"/>
  <c r="N60" i="6"/>
  <c r="N77" i="6"/>
  <c r="T67" i="6"/>
  <c r="T57" i="6"/>
  <c r="U57" i="6"/>
  <c r="N73" i="6"/>
  <c r="N74" i="6" s="1"/>
  <c r="N70" i="6"/>
  <c r="N78" i="6"/>
  <c r="W73" i="6"/>
  <c r="W74" i="6" s="1"/>
  <c r="W78" i="6"/>
  <c r="AK15" i="5" a="1"/>
  <c r="X77" i="6" l="1"/>
  <c r="AK15" i="5"/>
  <c r="O73" i="6"/>
  <c r="O74" i="6" s="1"/>
  <c r="O70" i="6"/>
  <c r="O78" i="6"/>
  <c r="Y67" i="6"/>
  <c r="Y57" i="6"/>
  <c r="P67" i="6"/>
  <c r="P57" i="6"/>
  <c r="O77" i="6"/>
  <c r="O60" i="6"/>
  <c r="U60" i="6"/>
  <c r="T60" i="6"/>
  <c r="X73" i="6"/>
  <c r="X74" i="6" s="1"/>
  <c r="X78" i="6"/>
  <c r="T73" i="6"/>
  <c r="T78" i="6"/>
  <c r="K74" i="6"/>
  <c r="L74" i="6"/>
  <c r="Q67" i="6"/>
  <c r="Q57" i="6"/>
  <c r="R57" i="6"/>
  <c r="AI15" i="5"/>
  <c r="AG15" i="5"/>
  <c r="AE15" i="5"/>
  <c r="AC15" i="5"/>
  <c r="AA15" i="5"/>
  <c r="Y15" i="5"/>
  <c r="CU14" i="5"/>
  <c r="BS14" i="5"/>
  <c r="CA14" i="5"/>
  <c r="BJ14" i="5"/>
  <c r="BD14" i="5"/>
  <c r="BM14" i="5"/>
  <c r="CO14" i="5"/>
  <c r="BY14" i="5"/>
  <c r="CQ14" i="5"/>
  <c r="CM14" i="5"/>
  <c r="DE14" i="5"/>
  <c r="DQ14" i="5"/>
  <c r="DA14" i="5"/>
  <c r="CS14" i="5"/>
  <c r="E15" i="5" a="1"/>
  <c r="DS14" i="5"/>
  <c r="DC14" i="5"/>
  <c r="BO14" i="5"/>
  <c r="BU14" i="5"/>
  <c r="BC14" i="5"/>
  <c r="BF14" i="5"/>
  <c r="CG14" i="5"/>
  <c r="CI14" i="5"/>
  <c r="BQ14" i="5"/>
  <c r="DO14" i="5"/>
  <c r="CK14" i="5"/>
  <c r="DK14" i="5"/>
  <c r="BH14" i="5"/>
  <c r="CW14" i="5"/>
  <c r="DG14" i="5"/>
  <c r="CC14" i="5"/>
  <c r="DU14" i="5"/>
  <c r="BL14" i="5"/>
  <c r="CE14" i="5"/>
  <c r="DM14" i="5"/>
  <c r="CY14" i="5"/>
  <c r="BW14" i="5"/>
  <c r="DI14" i="5"/>
  <c r="Y77" i="6" l="1"/>
  <c r="E15" i="5"/>
  <c r="T74" i="6"/>
  <c r="U74" i="6"/>
  <c r="R60" i="6"/>
  <c r="P73" i="6"/>
  <c r="P74" i="6" s="1"/>
  <c r="P78" i="6"/>
  <c r="Q73" i="6"/>
  <c r="Q78" i="6"/>
  <c r="Y73" i="6"/>
  <c r="Y74" i="6" s="1"/>
  <c r="Y78" i="6"/>
  <c r="AW14" i="5"/>
  <c r="AU14" i="5"/>
  <c r="AS14" i="5" a="1"/>
  <c r="AS14" i="5" l="1"/>
  <c r="I15" i="5"/>
  <c r="K15" i="5" s="1"/>
  <c r="M15" i="5" s="1"/>
  <c r="S15" i="5"/>
  <c r="Q74" i="6"/>
  <c r="R74" i="6"/>
  <c r="AP14" i="5" a="1"/>
  <c r="AP14" i="5" l="1"/>
  <c r="O15" i="5"/>
  <c r="Q15" i="5"/>
  <c r="W15" i="5"/>
  <c r="U15" i="5"/>
  <c r="AO14" i="5" a="1"/>
  <c r="AO14" i="5" l="1"/>
  <c r="AN14" i="5" a="1"/>
  <c r="AN14" i="5" l="1"/>
  <c r="AM14" i="5" a="1"/>
  <c r="AM14" i="5" l="1"/>
  <c r="AL14" i="5" a="1"/>
  <c r="AL14" i="5" l="1"/>
  <c r="AK14" i="5" a="1"/>
  <c r="AK14" i="5" l="1"/>
  <c r="AI14" i="5"/>
  <c r="AG14" i="5"/>
  <c r="AE14" i="5"/>
  <c r="AC14" i="5"/>
  <c r="AA14" i="5"/>
  <c r="Y14" i="5"/>
  <c r="BO13" i="5"/>
  <c r="CU13" i="5"/>
  <c r="BD13" i="5"/>
  <c r="CE13" i="5"/>
  <c r="BU13" i="5"/>
  <c r="BF13" i="5"/>
  <c r="DM13" i="5"/>
  <c r="DQ13" i="5"/>
  <c r="CW13" i="5"/>
  <c r="CS13" i="5"/>
  <c r="CK13" i="5"/>
  <c r="CG13" i="5"/>
  <c r="CY13" i="5"/>
  <c r="CA13" i="5"/>
  <c r="DO13" i="5"/>
  <c r="DA13" i="5"/>
  <c r="DU13" i="5"/>
  <c r="BH13" i="5"/>
  <c r="CI13" i="5"/>
  <c r="E14" i="5" a="1"/>
  <c r="CO13" i="5"/>
  <c r="BC13" i="5"/>
  <c r="BL13" i="5"/>
  <c r="CC13" i="5"/>
  <c r="DC13" i="5"/>
  <c r="DG13" i="5"/>
  <c r="BS13" i="5"/>
  <c r="BW13" i="5"/>
  <c r="BQ13" i="5"/>
  <c r="DI13" i="5"/>
  <c r="BY13" i="5"/>
  <c r="CQ13" i="5"/>
  <c r="DK13" i="5"/>
  <c r="BJ13" i="5"/>
  <c r="DS13" i="5"/>
  <c r="DE13" i="5"/>
  <c r="BM13" i="5"/>
  <c r="CM13" i="5"/>
  <c r="E14" i="5" l="1"/>
  <c r="AW13" i="5"/>
  <c r="AU13" i="5"/>
  <c r="AS13" i="5" a="1"/>
  <c r="AS13" i="5" l="1"/>
  <c r="S14" i="5"/>
  <c r="I14" i="5"/>
  <c r="K14" i="5" s="1"/>
  <c r="M14" i="5" s="1"/>
  <c r="AP13" i="5" a="1"/>
  <c r="AP13" i="5" l="1"/>
  <c r="Q14" i="5"/>
  <c r="O14" i="5"/>
  <c r="U14" i="5"/>
  <c r="W14" i="5"/>
  <c r="AO13" i="5" a="1"/>
  <c r="AO13" i="5" l="1"/>
  <c r="AN13" i="5" a="1"/>
  <c r="AN13" i="5" l="1"/>
  <c r="AM13" i="5" a="1"/>
  <c r="AM13" i="5" l="1"/>
  <c r="AL13" i="5" a="1"/>
  <c r="AL13" i="5" l="1"/>
  <c r="AK13" i="5" a="1"/>
  <c r="AK13" i="5" l="1"/>
  <c r="AI13" i="5"/>
  <c r="AG13" i="5"/>
  <c r="AE13" i="5"/>
  <c r="AC13" i="5"/>
  <c r="AA13" i="5"/>
  <c r="Y13" i="5"/>
  <c r="DA12" i="5"/>
  <c r="CE12" i="5"/>
  <c r="BH12" i="5"/>
  <c r="CS12" i="5"/>
  <c r="E13" i="5" a="1"/>
  <c r="CC12" i="5"/>
  <c r="DO12" i="5"/>
  <c r="BL12" i="5"/>
  <c r="BQ12" i="5"/>
  <c r="DE12" i="5"/>
  <c r="CG12" i="5"/>
  <c r="CU12" i="5"/>
  <c r="CK12" i="5"/>
  <c r="BD12" i="5"/>
  <c r="DK12" i="5"/>
  <c r="BF12" i="5"/>
  <c r="BM12" i="5"/>
  <c r="BO12" i="5"/>
  <c r="DQ12" i="5"/>
  <c r="CY12" i="5"/>
  <c r="CQ12" i="5"/>
  <c r="DM12" i="5"/>
  <c r="BJ12" i="5"/>
  <c r="BW12" i="5"/>
  <c r="BS12" i="5"/>
  <c r="DG12" i="5"/>
  <c r="BU12" i="5"/>
  <c r="CI12" i="5"/>
  <c r="CA12" i="5"/>
  <c r="CW12" i="5"/>
  <c r="DS12" i="5"/>
  <c r="BY12" i="5"/>
  <c r="DC12" i="5"/>
  <c r="CM12" i="5"/>
  <c r="BC12" i="5"/>
  <c r="DU12" i="5"/>
  <c r="DI12" i="5"/>
  <c r="CO12" i="5"/>
  <c r="E13" i="5" l="1"/>
  <c r="AW12" i="5"/>
  <c r="AU12" i="5"/>
  <c r="AS12" i="5" a="1"/>
  <c r="AS12" i="5" l="1"/>
  <c r="I13" i="5"/>
  <c r="K13" i="5" s="1"/>
  <c r="M13" i="5" s="1"/>
  <c r="S13" i="5"/>
  <c r="AP12" i="5" a="1"/>
  <c r="AP12" i="5" l="1"/>
  <c r="O13" i="5"/>
  <c r="Q13" i="5"/>
  <c r="W13" i="5"/>
  <c r="U13" i="5"/>
  <c r="AO12" i="5" a="1"/>
  <c r="AO12" i="5" l="1"/>
  <c r="AN12" i="5" a="1"/>
  <c r="AN12" i="5" l="1"/>
  <c r="AM12" i="5" a="1"/>
  <c r="AM12" i="5" l="1"/>
  <c r="AL12" i="5" a="1"/>
  <c r="AL12" i="5" l="1"/>
  <c r="AK12" i="5" a="1"/>
  <c r="AK12" i="5" l="1"/>
  <c r="AI12" i="5"/>
  <c r="AG12" i="5"/>
  <c r="AE12" i="5"/>
  <c r="AC12" i="5"/>
  <c r="AA12" i="5"/>
  <c r="Y12" i="5"/>
  <c r="DA11" i="5"/>
  <c r="CO11" i="5"/>
  <c r="BY11" i="5"/>
  <c r="CC11" i="5"/>
  <c r="E12" i="5" a="1"/>
  <c r="BQ11" i="5"/>
  <c r="BF11" i="5"/>
  <c r="DO11" i="5"/>
  <c r="BU11" i="5"/>
  <c r="BD11" i="5"/>
  <c r="CQ11" i="5"/>
  <c r="BL11" i="5"/>
  <c r="BM11" i="5"/>
  <c r="BW11" i="5"/>
  <c r="DK11" i="5"/>
  <c r="DM11" i="5"/>
  <c r="BS11" i="5"/>
  <c r="CY11" i="5"/>
  <c r="DE11" i="5"/>
  <c r="CU11" i="5"/>
  <c r="CW11" i="5"/>
  <c r="BO11" i="5"/>
  <c r="BC11" i="5"/>
  <c r="BH11" i="5"/>
  <c r="CE11" i="5"/>
  <c r="CK11" i="5"/>
  <c r="CA11" i="5"/>
  <c r="DC11" i="5"/>
  <c r="CG11" i="5"/>
  <c r="DG11" i="5"/>
  <c r="BJ11" i="5"/>
  <c r="DQ11" i="5"/>
  <c r="CS11" i="5"/>
  <c r="DU11" i="5"/>
  <c r="DS11" i="5"/>
  <c r="CM11" i="5"/>
  <c r="CI11" i="5"/>
  <c r="DI11" i="5"/>
  <c r="E12" i="5" l="1"/>
  <c r="AW11" i="5"/>
  <c r="AU11" i="5"/>
  <c r="AS11" i="5" a="1"/>
  <c r="AS11" i="5" l="1"/>
  <c r="AU20" i="5"/>
  <c r="AU21" i="5"/>
  <c r="AW21" i="5"/>
  <c r="AW20" i="5"/>
  <c r="S12" i="5"/>
  <c r="I12" i="5"/>
  <c r="K12" i="5" s="1"/>
  <c r="M12" i="5" s="1"/>
  <c r="AP11" i="5" a="1"/>
  <c r="AP11" i="5" l="1"/>
  <c r="Q12" i="5"/>
  <c r="O12" i="5"/>
  <c r="U12" i="5"/>
  <c r="W12" i="5"/>
  <c r="AS21" i="5"/>
  <c r="AS20" i="5"/>
  <c r="AO11" i="5" a="1"/>
  <c r="AO11" i="5" l="1"/>
  <c r="AP20" i="5"/>
  <c r="AP21" i="5"/>
  <c r="AN11" i="5" a="1"/>
  <c r="AN11" i="5" l="1"/>
  <c r="AO21" i="5"/>
  <c r="AO20" i="5"/>
  <c r="AM11" i="5" a="1"/>
  <c r="AM11" i="5" l="1"/>
  <c r="AN21" i="5"/>
  <c r="AN20" i="5"/>
  <c r="AL11" i="5" a="1"/>
  <c r="AL11" i="5" l="1"/>
  <c r="AM21" i="5"/>
  <c r="AM20" i="5"/>
  <c r="AK11" i="5" a="1"/>
  <c r="AK11" i="5" l="1"/>
  <c r="AL20" i="5"/>
  <c r="AL21" i="5"/>
  <c r="AI11" i="5"/>
  <c r="AG11" i="5"/>
  <c r="AE11" i="5"/>
  <c r="AC11" i="5"/>
  <c r="AA11" i="5"/>
  <c r="Y11" i="5"/>
  <c r="E11" i="5" a="1"/>
  <c r="E11" i="5" l="1"/>
  <c r="AA20" i="5"/>
  <c r="AA21" i="5"/>
  <c r="AE20" i="5"/>
  <c r="AE21" i="5"/>
  <c r="AC21" i="5"/>
  <c r="AC20" i="5"/>
  <c r="AG20" i="5"/>
  <c r="AG21" i="5"/>
  <c r="AI20" i="5"/>
  <c r="AI21" i="5"/>
  <c r="Y21" i="5"/>
  <c r="Y20" i="5"/>
  <c r="AK21" i="5"/>
  <c r="AK20" i="5"/>
  <c r="AP9" i="5" a="1"/>
  <c r="AP9" i="5" l="1"/>
  <c r="AP25" i="5" s="1"/>
  <c r="I11" i="5"/>
  <c r="K11" i="5" s="1"/>
  <c r="M11" i="5" s="1"/>
  <c r="S11" i="5"/>
  <c r="AO9" i="5" a="1"/>
  <c r="AO9" i="5" l="1"/>
  <c r="AO25" i="5" s="1"/>
  <c r="W11" i="5"/>
  <c r="U11" i="5"/>
  <c r="M21" i="5"/>
  <c r="M20" i="5"/>
  <c r="O11" i="5"/>
  <c r="Q11" i="5"/>
  <c r="AN9" i="5" a="1"/>
  <c r="AN9" i="5" l="1"/>
  <c r="AN25" i="5" s="1"/>
  <c r="O20" i="5"/>
  <c r="O21" i="5"/>
  <c r="U21" i="5"/>
  <c r="U20" i="5"/>
  <c r="W20" i="5"/>
  <c r="W21" i="5"/>
  <c r="Q21" i="5"/>
  <c r="Q20" i="5"/>
  <c r="AM9" i="5" a="1"/>
  <c r="AM9" i="5" l="1"/>
  <c r="AM25" i="5" s="1"/>
  <c r="AL9" i="5" a="1"/>
  <c r="AL9" i="5" l="1"/>
  <c r="AL25" i="5" s="1"/>
  <c r="AK9" i="5" a="1"/>
  <c r="AK9" i="5" l="1"/>
  <c r="AK25" i="5" s="1"/>
  <c r="AP8" i="5" a="1"/>
  <c r="AP8" i="5" l="1"/>
  <c r="AP24" i="5" s="1"/>
  <c r="AO8" i="5" a="1"/>
  <c r="AO8" i="5" l="1"/>
  <c r="AO24" i="5" s="1"/>
  <c r="AN8" i="5" a="1"/>
  <c r="AN8" i="5" l="1"/>
  <c r="AN24" i="5" s="1"/>
  <c r="AM8" i="5" a="1"/>
  <c r="AM8" i="5" l="1"/>
  <c r="AM24" i="5" s="1"/>
  <c r="AL8" i="5" a="1"/>
  <c r="AL8" i="5" l="1"/>
  <c r="AL24" i="5" s="1"/>
  <c r="AK8" i="5" a="1"/>
  <c r="CS7" i="5"/>
  <c r="CQ7" i="5"/>
  <c r="BS7" i="5"/>
  <c r="DQ7" i="5"/>
  <c r="BD7" i="5"/>
  <c r="CW7" i="5"/>
  <c r="CA7" i="5"/>
  <c r="BL7" i="5"/>
  <c r="BY7" i="5"/>
  <c r="BW7" i="5"/>
  <c r="BM7" i="5"/>
  <c r="BH7" i="5"/>
  <c r="BC7" i="5"/>
  <c r="DM7" i="5"/>
  <c r="DS7" i="5"/>
  <c r="DK7" i="5"/>
  <c r="CI7" i="5"/>
  <c r="DC7" i="5"/>
  <c r="CE7" i="5"/>
  <c r="BJ7" i="5"/>
  <c r="BU7" i="5"/>
  <c r="DE7" i="5"/>
  <c r="DA7" i="5"/>
  <c r="BQ7" i="5"/>
  <c r="CM7" i="5"/>
  <c r="BF7" i="5"/>
  <c r="CC7" i="5"/>
  <c r="DI7" i="5"/>
  <c r="CK7" i="5"/>
  <c r="CU7" i="5"/>
  <c r="CG7" i="5"/>
  <c r="BO7" i="5"/>
  <c r="DO7" i="5"/>
  <c r="DU7" i="5"/>
  <c r="CO7" i="5"/>
  <c r="DG7" i="5"/>
  <c r="CY7" i="5"/>
  <c r="AK8" i="5" l="1"/>
  <c r="AK24" i="5" s="1"/>
  <c r="AW7" i="5"/>
  <c r="AU7" i="5"/>
  <c r="AS7" i="5" a="1"/>
  <c r="AS7" i="5" l="1"/>
  <c r="AP7" i="5" a="1"/>
  <c r="AP7" i="5" l="1"/>
  <c r="AP23" i="5" s="1"/>
  <c r="AO7" i="5" a="1"/>
  <c r="AO7" i="5" l="1"/>
  <c r="AO23" i="5" s="1"/>
  <c r="AN7" i="5" a="1"/>
  <c r="AN7" i="5" l="1"/>
  <c r="AN23" i="5" s="1"/>
  <c r="AM7" i="5" a="1"/>
  <c r="AM7" i="5" l="1"/>
  <c r="AM23" i="5" s="1"/>
  <c r="AL7" i="5" a="1"/>
  <c r="AL7" i="5" l="1"/>
  <c r="AL23" i="5" s="1"/>
  <c r="AK7" i="5" a="1"/>
  <c r="AK7" i="5" l="1"/>
  <c r="AK23" i="5" s="1"/>
  <c r="AI7" i="5"/>
  <c r="AG7" i="5"/>
  <c r="AE7" i="5"/>
  <c r="AC7" i="5"/>
  <c r="AA7" i="5"/>
  <c r="Y7" i="5"/>
  <c r="E7" i="5" a="1"/>
  <c r="E7" i="5" l="1"/>
  <c r="E5" i="5"/>
  <c r="AE4" i="5"/>
  <c r="A1" i="5"/>
  <c r="O31" i="7" a="1"/>
  <c r="BA14" i="5"/>
  <c r="O31" i="7" l="1"/>
  <c r="G14" i="5"/>
  <c r="S7" i="5"/>
  <c r="I7" i="5"/>
  <c r="K7" i="5" s="1"/>
  <c r="M7" i="5" s="1"/>
  <c r="BA11" i="5"/>
  <c r="BA15" i="5"/>
  <c r="BA12" i="5"/>
  <c r="N31" i="7" a="1"/>
  <c r="BA7" i="5"/>
  <c r="BA13" i="5"/>
  <c r="G15" i="5" l="1"/>
  <c r="G7" i="5"/>
  <c r="G12" i="5"/>
  <c r="G11" i="5"/>
  <c r="G13" i="5"/>
  <c r="N31" i="7"/>
  <c r="Q7" i="5"/>
  <c r="O7" i="5"/>
  <c r="S18" i="5"/>
  <c r="S17" i="5"/>
  <c r="W7" i="5"/>
  <c r="U7" i="5"/>
  <c r="M31" i="7" a="1"/>
  <c r="M31" i="7" l="1"/>
  <c r="S20" i="5"/>
  <c r="S21" i="5"/>
  <c r="K31" i="7" a="1"/>
  <c r="K31" i="7" l="1"/>
  <c r="I31" i="7" a="1"/>
  <c r="I31" i="7" l="1"/>
  <c r="H31" i="7" a="1"/>
  <c r="H31" i="7" l="1"/>
  <c r="J31" i="7" s="1"/>
  <c r="G31" i="7" a="1"/>
  <c r="G31" i="7" l="1"/>
  <c r="F31" i="7" a="1"/>
  <c r="F31" i="7" l="1"/>
  <c r="E31" i="7" a="1"/>
  <c r="E31" i="7" l="1"/>
  <c r="O25" i="7" a="1"/>
  <c r="O25" i="7" l="1"/>
  <c r="N25" i="7" a="1"/>
  <c r="N25" i="7" l="1"/>
  <c r="M25" i="7" a="1"/>
  <c r="M25" i="7" l="1"/>
  <c r="K25" i="7" a="1"/>
  <c r="K25" i="7" l="1"/>
  <c r="I25" i="7" a="1"/>
  <c r="I25" i="7" l="1"/>
  <c r="H25" i="7" a="1"/>
  <c r="H25" i="7" l="1"/>
  <c r="J25" i="7" s="1"/>
  <c r="G25" i="7" a="1"/>
  <c r="G25" i="7" l="1"/>
  <c r="F25" i="7" a="1"/>
  <c r="F25" i="7" l="1"/>
  <c r="E25" i="7" a="1"/>
  <c r="E25" i="7" l="1"/>
  <c r="O24" i="7" a="1"/>
  <c r="O24" i="7" l="1"/>
  <c r="N24" i="7" a="1"/>
  <c r="N24" i="7" l="1"/>
  <c r="M24" i="7" a="1"/>
  <c r="M24" i="7" l="1"/>
  <c r="K24" i="7" a="1"/>
  <c r="K24" i="7" l="1"/>
  <c r="I24" i="7" a="1"/>
  <c r="I24" i="7" l="1"/>
  <c r="H24" i="7" a="1"/>
  <c r="H24" i="7" l="1"/>
  <c r="J24" i="7" s="1"/>
  <c r="G24" i="7" a="1"/>
  <c r="G24" i="7" l="1"/>
  <c r="F24" i="7" a="1"/>
  <c r="F24" i="7" l="1"/>
  <c r="E24" i="7" a="1"/>
  <c r="E24" i="7" l="1"/>
  <c r="O23" i="7" a="1"/>
  <c r="O23" i="7" l="1"/>
  <c r="N23" i="7" a="1"/>
  <c r="N23" i="7" l="1"/>
  <c r="M23" i="7" a="1"/>
  <c r="M23" i="7" l="1"/>
  <c r="K23" i="7" a="1"/>
  <c r="K23" i="7" l="1"/>
  <c r="I23" i="7" a="1"/>
  <c r="I23" i="7" l="1"/>
  <c r="H23" i="7" a="1"/>
  <c r="H23" i="7" l="1"/>
  <c r="J23" i="7"/>
  <c r="G23" i="7" a="1"/>
  <c r="G23" i="7" l="1"/>
  <c r="F23" i="7" a="1"/>
  <c r="F23" i="7" l="1"/>
  <c r="E23" i="7" a="1"/>
  <c r="E23" i="7" l="1"/>
  <c r="O22" i="7" a="1"/>
  <c r="O22" i="7" l="1"/>
  <c r="N22" i="7" a="1"/>
  <c r="N22" i="7" l="1"/>
  <c r="M22" i="7" a="1"/>
  <c r="M22" i="7" l="1"/>
  <c r="K22" i="7" a="1"/>
  <c r="K22" i="7" l="1"/>
  <c r="I22" i="7" a="1"/>
  <c r="I22" i="7" l="1"/>
  <c r="H22" i="7" a="1"/>
  <c r="H22" i="7" l="1"/>
  <c r="J22" i="7"/>
  <c r="G22" i="7" a="1"/>
  <c r="G22" i="7" l="1"/>
  <c r="F22" i="7" a="1"/>
  <c r="F22" i="7" l="1"/>
  <c r="E22" i="7" a="1"/>
  <c r="E22" i="7" l="1"/>
  <c r="O21" i="7" a="1"/>
  <c r="O21" i="7" l="1"/>
  <c r="N21" i="7" a="1"/>
  <c r="N21" i="7" l="1"/>
  <c r="M21" i="7" a="1"/>
  <c r="M21" i="7" l="1"/>
  <c r="K21" i="7" a="1"/>
  <c r="K21" i="7" l="1"/>
  <c r="I21" i="7" a="1"/>
  <c r="I21" i="7" l="1"/>
  <c r="H21" i="7" a="1"/>
  <c r="H21" i="7" l="1"/>
  <c r="J21" i="7" s="1"/>
  <c r="G21" i="7" a="1"/>
  <c r="G21" i="7" l="1"/>
  <c r="F21" i="7" a="1"/>
  <c r="F21" i="7" l="1"/>
  <c r="E21" i="7" a="1"/>
  <c r="E21" i="7" l="1"/>
  <c r="O20" i="7" a="1"/>
  <c r="O20" i="7" l="1"/>
  <c r="N20" i="7" a="1"/>
  <c r="N20" i="7" l="1"/>
  <c r="M20" i="7" a="1"/>
  <c r="M20" i="7" l="1"/>
  <c r="K20" i="7" a="1"/>
  <c r="K20" i="7" l="1"/>
  <c r="I20" i="7" a="1"/>
  <c r="I20" i="7" l="1"/>
  <c r="H20" i="7" a="1"/>
  <c r="H20" i="7" l="1"/>
  <c r="J20" i="7" s="1"/>
  <c r="G20" i="7" a="1"/>
  <c r="G20" i="7" l="1"/>
  <c r="F20" i="7" a="1"/>
  <c r="F20" i="7" l="1"/>
  <c r="E20" i="7" a="1"/>
  <c r="E20" i="7" l="1"/>
  <c r="O19" i="7" a="1"/>
  <c r="O19" i="7" l="1"/>
  <c r="N19" i="7" a="1"/>
  <c r="N19" i="7" l="1"/>
  <c r="M19" i="7" a="1"/>
  <c r="M19" i="7" l="1"/>
  <c r="K19" i="7" a="1"/>
  <c r="K19" i="7" l="1"/>
  <c r="I19" i="7" a="1"/>
  <c r="I19" i="7" l="1"/>
  <c r="H19" i="7" a="1"/>
  <c r="H19" i="7" l="1"/>
  <c r="J19" i="7"/>
  <c r="G19" i="7" a="1"/>
  <c r="G19" i="7" l="1"/>
  <c r="F19" i="7" a="1"/>
  <c r="F19" i="7" l="1"/>
  <c r="E19" i="7" a="1"/>
  <c r="E19" i="7" l="1"/>
  <c r="O18" i="7" a="1"/>
  <c r="O18" i="7" l="1"/>
  <c r="N18" i="7" a="1"/>
  <c r="N18" i="7" l="1"/>
  <c r="M18" i="7" a="1"/>
  <c r="M18" i="7" l="1"/>
  <c r="K18" i="7" a="1"/>
  <c r="K18" i="7" l="1"/>
  <c r="I18" i="7" a="1"/>
  <c r="I18" i="7" l="1"/>
  <c r="H18" i="7" a="1"/>
  <c r="H18" i="7" l="1"/>
  <c r="J18" i="7" s="1"/>
  <c r="G18" i="7" a="1"/>
  <c r="G18" i="7" l="1"/>
  <c r="F18" i="7" a="1"/>
  <c r="F18" i="7" l="1"/>
  <c r="E18" i="7" a="1"/>
  <c r="E18" i="7" l="1"/>
  <c r="O17" i="7" a="1"/>
  <c r="O17" i="7" l="1"/>
  <c r="N17" i="7" a="1"/>
  <c r="N17" i="7" l="1"/>
  <c r="M17" i="7" a="1"/>
  <c r="M17" i="7" l="1"/>
  <c r="K17" i="7" a="1"/>
  <c r="K17" i="7" l="1"/>
  <c r="I17" i="7" a="1"/>
  <c r="I17" i="7" l="1"/>
  <c r="H17" i="7" a="1"/>
  <c r="H17" i="7" l="1"/>
  <c r="J17" i="7" s="1"/>
  <c r="G17" i="7" a="1"/>
  <c r="G17" i="7" l="1"/>
  <c r="F17" i="7" a="1"/>
  <c r="F17" i="7" l="1"/>
  <c r="E17" i="7" a="1"/>
  <c r="E17" i="7" l="1"/>
  <c r="O16" i="7" a="1"/>
  <c r="O16" i="7" l="1"/>
  <c r="N16" i="7" a="1"/>
  <c r="N16" i="7" l="1"/>
  <c r="M16" i="7" a="1"/>
  <c r="M16" i="7" l="1"/>
  <c r="K16" i="7" a="1"/>
  <c r="K16" i="7" l="1"/>
  <c r="I16" i="7" a="1"/>
  <c r="I16" i="7" l="1"/>
  <c r="H16" i="7" a="1"/>
  <c r="H16" i="7" l="1"/>
  <c r="J16" i="7"/>
  <c r="G16" i="7" a="1"/>
  <c r="G16" i="7" l="1"/>
  <c r="F16" i="7" a="1"/>
  <c r="F16" i="7" l="1"/>
  <c r="E16" i="7" a="1"/>
  <c r="E16" i="7" l="1"/>
  <c r="O15" i="7" a="1"/>
  <c r="O15" i="7" l="1"/>
  <c r="N15" i="7" a="1"/>
  <c r="N15" i="7" l="1"/>
  <c r="M15" i="7" a="1"/>
  <c r="M15" i="7" l="1"/>
  <c r="K15" i="7" a="1"/>
  <c r="K15" i="7" l="1"/>
  <c r="I15" i="7" a="1"/>
  <c r="I15" i="7" l="1"/>
  <c r="H15" i="7" a="1"/>
  <c r="H15" i="7" l="1"/>
  <c r="J15" i="7" s="1"/>
  <c r="G15" i="7" a="1"/>
  <c r="G15" i="7" l="1"/>
  <c r="F15" i="7" a="1"/>
  <c r="F15" i="7" l="1"/>
  <c r="E15" i="7" a="1"/>
  <c r="E15" i="7" l="1"/>
  <c r="O14" i="7" a="1"/>
  <c r="O14" i="7" l="1"/>
  <c r="N14" i="7" a="1"/>
  <c r="N14" i="7" l="1"/>
  <c r="M14" i="7" a="1"/>
  <c r="M14" i="7" l="1"/>
  <c r="K14" i="7" a="1"/>
  <c r="K14" i="7" l="1"/>
  <c r="I14" i="7" a="1"/>
  <c r="I14" i="7" l="1"/>
  <c r="H14" i="7" a="1"/>
  <c r="H14" i="7" l="1"/>
  <c r="J14" i="7"/>
  <c r="G14" i="7" a="1"/>
  <c r="G14" i="7" l="1"/>
  <c r="F14" i="7" a="1"/>
  <c r="F14" i="7" l="1"/>
  <c r="E14" i="7" a="1"/>
  <c r="E14" i="7" l="1"/>
  <c r="O13" i="7" a="1"/>
  <c r="O13" i="7" l="1"/>
  <c r="N13" i="7" a="1"/>
  <c r="N13" i="7" l="1"/>
  <c r="M13" i="7" a="1"/>
  <c r="M13" i="7" l="1"/>
  <c r="K13" i="7" a="1"/>
  <c r="K13" i="7" l="1"/>
  <c r="I13" i="7" a="1"/>
  <c r="I13" i="7" l="1"/>
  <c r="H13" i="7" a="1"/>
  <c r="H13" i="7" l="1"/>
  <c r="J13" i="7" s="1"/>
  <c r="G13" i="7" a="1"/>
  <c r="G13" i="7" l="1"/>
  <c r="F13" i="7" a="1"/>
  <c r="F13" i="7" l="1"/>
  <c r="E13" i="7" a="1"/>
  <c r="E13" i="7" l="1"/>
  <c r="O12" i="7" a="1"/>
  <c r="O12" i="7" l="1"/>
  <c r="N12" i="7" a="1"/>
  <c r="N12" i="7" l="1"/>
  <c r="M12" i="7" a="1"/>
  <c r="M12" i="7" l="1"/>
  <c r="K12" i="7" a="1"/>
  <c r="K12" i="7" l="1"/>
  <c r="I12" i="7" a="1"/>
  <c r="I12" i="7" l="1"/>
  <c r="H12" i="7" a="1"/>
  <c r="H12" i="7" l="1"/>
  <c r="J12" i="7" s="1"/>
  <c r="G12" i="7" a="1"/>
  <c r="G12" i="7" l="1"/>
  <c r="F12" i="7" a="1"/>
  <c r="F12" i="7" l="1"/>
  <c r="E12" i="7" a="1"/>
  <c r="E12" i="7" l="1"/>
  <c r="O11" i="7" a="1"/>
  <c r="O11" i="7" l="1"/>
  <c r="N11" i="7" a="1"/>
  <c r="N11" i="7" l="1"/>
  <c r="M11" i="7" a="1"/>
  <c r="M11" i="7" l="1"/>
  <c r="K11" i="7" a="1"/>
  <c r="K11" i="7" l="1"/>
  <c r="I11" i="7" a="1"/>
  <c r="I11" i="7" l="1"/>
  <c r="H11" i="7" a="1"/>
  <c r="H11" i="7" l="1"/>
  <c r="J11" i="7"/>
  <c r="G11" i="7" a="1"/>
  <c r="G11" i="7" l="1"/>
  <c r="F11" i="7" a="1"/>
  <c r="F11" i="7" l="1"/>
  <c r="E11" i="7" a="1"/>
  <c r="E11" i="7" l="1"/>
  <c r="O10" i="7" a="1"/>
  <c r="O10" i="7" l="1"/>
  <c r="N10" i="7" a="1"/>
  <c r="N10" i="7" l="1"/>
  <c r="M10" i="7" a="1"/>
  <c r="M10" i="7" l="1"/>
  <c r="K10" i="7" a="1"/>
  <c r="K10" i="7" l="1"/>
  <c r="I10" i="7" a="1"/>
  <c r="I10" i="7" l="1"/>
  <c r="H10" i="7" a="1"/>
  <c r="H10" i="7" l="1"/>
  <c r="J10" i="7" s="1"/>
  <c r="G10" i="7" a="1"/>
  <c r="G10" i="7" l="1"/>
  <c r="F10" i="7" a="1"/>
  <c r="F10" i="7" l="1"/>
  <c r="E10" i="7" a="1"/>
  <c r="E10" i="7" l="1"/>
  <c r="O9" i="7" a="1"/>
  <c r="O9" i="7" l="1"/>
  <c r="N9" i="7" a="1"/>
  <c r="N9" i="7" l="1"/>
  <c r="M9" i="7" a="1"/>
  <c r="M9" i="7" l="1"/>
  <c r="K9" i="7" a="1"/>
  <c r="K9" i="7" l="1"/>
  <c r="I9" i="7" a="1"/>
  <c r="I9" i="7" l="1"/>
  <c r="H9" i="7" a="1"/>
  <c r="H9" i="7" l="1"/>
  <c r="J9" i="7" s="1"/>
  <c r="G9" i="7" a="1"/>
  <c r="G9" i="7" l="1"/>
  <c r="F9" i="7" a="1"/>
  <c r="F9" i="7" l="1"/>
  <c r="E9" i="7" a="1"/>
  <c r="E9" i="7" l="1"/>
  <c r="O8" i="7" a="1"/>
  <c r="O8" i="7" l="1"/>
  <c r="N8" i="7" a="1"/>
  <c r="N8" i="7" l="1"/>
  <c r="M8" i="7" a="1"/>
  <c r="M8" i="7" l="1"/>
  <c r="K8" i="7" a="1"/>
  <c r="K8" i="7" l="1"/>
  <c r="I8" i="7" a="1"/>
  <c r="I8" i="7" l="1"/>
  <c r="H8" i="7" a="1"/>
  <c r="H8" i="7" l="1"/>
  <c r="J8" i="7" s="1"/>
  <c r="G8" i="7" a="1"/>
  <c r="G8" i="7" l="1"/>
  <c r="F8" i="7" a="1"/>
  <c r="F8" i="7" l="1"/>
  <c r="E8" i="7" a="1"/>
  <c r="E8" i="7" l="1"/>
  <c r="O7" i="7" a="1"/>
  <c r="O7" i="7" l="1"/>
  <c r="N7" i="7" a="1"/>
  <c r="N7" i="7" l="1"/>
  <c r="M7" i="7" a="1"/>
  <c r="M7" i="7" l="1"/>
  <c r="K7" i="7" a="1"/>
  <c r="K7" i="7" l="1"/>
  <c r="I7" i="7" a="1"/>
  <c r="I7" i="7" l="1"/>
  <c r="H7" i="7" a="1"/>
  <c r="H7" i="7" l="1"/>
  <c r="E37" i="7"/>
  <c r="E39" i="7" s="1"/>
  <c r="E40" i="7" s="1"/>
  <c r="E36" i="7"/>
  <c r="J7" i="7"/>
  <c r="G7" i="7" a="1"/>
  <c r="G7" i="7" l="1"/>
  <c r="F7" i="7" a="1"/>
  <c r="F7" i="7" l="1"/>
  <c r="E7" i="7" a="1"/>
  <c r="E7" i="7" l="1"/>
  <c r="E3" i="8"/>
  <c r="F3" i="8" s="1"/>
  <c r="G3" i="8" s="1"/>
  <c r="F27" i="11" a="1"/>
  <c r="F27" i="11" l="1"/>
  <c r="E27" i="11" a="1"/>
  <c r="E27" i="11" l="1"/>
  <c r="D27" i="11" a="1"/>
  <c r="D27" i="11" l="1"/>
  <c r="C27" i="11" a="1"/>
  <c r="C27" i="11" l="1"/>
  <c r="F17" i="11" a="1"/>
  <c r="F17" i="11" l="1"/>
  <c r="E17" i="11" a="1"/>
  <c r="E17" i="11" l="1"/>
  <c r="D17" i="11" a="1"/>
  <c r="D17" i="11" l="1"/>
  <c r="C17" i="11" a="1"/>
  <c r="C17" i="11" l="1"/>
  <c r="F12" i="11" a="1"/>
  <c r="F12" i="11" l="1"/>
  <c r="E12" i="11" a="1"/>
  <c r="E12" i="11" l="1"/>
  <c r="D12" i="11" a="1"/>
  <c r="D12" i="11" l="1"/>
  <c r="C12" i="11" a="1"/>
  <c r="C12" i="11" l="1"/>
  <c r="F7" i="11" a="1"/>
  <c r="F7" i="11" l="1"/>
  <c r="E7" i="11" a="1"/>
  <c r="E7" i="11" l="1"/>
  <c r="D7" i="11" a="1"/>
  <c r="D7" i="11" l="1"/>
  <c r="C7" i="11" a="1"/>
  <c r="C7" i="11" l="1"/>
  <c r="AP467" i="2"/>
  <c r="AN467" i="2"/>
  <c r="AZ465" i="2"/>
  <c r="AU465" i="2"/>
  <c r="AP465" i="2"/>
  <c r="AZ462" i="2"/>
  <c r="AU462" i="2"/>
  <c r="AP462" i="2"/>
  <c r="AZ460" i="2"/>
  <c r="AU460" i="2"/>
  <c r="AP460" i="2"/>
  <c r="AZ455" i="2"/>
  <c r="AU455" i="2"/>
  <c r="AP455" i="2"/>
  <c r="AZ454" i="2"/>
  <c r="AU454" i="2"/>
  <c r="AP454" i="2"/>
  <c r="AZ443" i="2"/>
  <c r="AU443" i="2"/>
  <c r="AP443" i="2"/>
  <c r="AN441" i="2"/>
  <c r="AN396" i="2" s="1"/>
  <c r="AN439" i="2"/>
  <c r="AY432" i="2"/>
  <c r="AX432" i="2"/>
  <c r="AW432" i="2"/>
  <c r="AV432" i="2"/>
  <c r="AT432" i="2"/>
  <c r="AS432" i="2"/>
  <c r="AR432" i="2"/>
  <c r="AQ432" i="2"/>
  <c r="AO432" i="2"/>
  <c r="AN432" i="2"/>
  <c r="AM431" i="2"/>
  <c r="AL431" i="2"/>
  <c r="AK431" i="2"/>
  <c r="AJ431" i="2"/>
  <c r="AI431" i="2"/>
  <c r="AH431" i="2"/>
  <c r="AG431" i="2"/>
  <c r="AF431" i="2"/>
  <c r="AE431" i="2"/>
  <c r="AD431" i="2"/>
  <c r="AC431" i="2"/>
  <c r="AB431" i="2"/>
  <c r="AA431" i="2"/>
  <c r="Z431" i="2"/>
  <c r="Y431" i="2"/>
  <c r="X431" i="2"/>
  <c r="W431" i="2"/>
  <c r="V431" i="2"/>
  <c r="U431" i="2"/>
  <c r="T431" i="2"/>
  <c r="S431" i="2"/>
  <c r="R431" i="2"/>
  <c r="Q431" i="2"/>
  <c r="P431" i="2"/>
  <c r="AM430" i="2"/>
  <c r="AL430" i="2"/>
  <c r="AK430" i="2"/>
  <c r="AJ430" i="2"/>
  <c r="AI430" i="2"/>
  <c r="AH430" i="2"/>
  <c r="AG430" i="2"/>
  <c r="AF430" i="2"/>
  <c r="AE430" i="2"/>
  <c r="AD430" i="2"/>
  <c r="AC430" i="2"/>
  <c r="AB430" i="2"/>
  <c r="AA430" i="2"/>
  <c r="Z430" i="2"/>
  <c r="Y430" i="2"/>
  <c r="X430" i="2"/>
  <c r="W430" i="2"/>
  <c r="V430" i="2"/>
  <c r="U430" i="2"/>
  <c r="T430" i="2"/>
  <c r="S430" i="2"/>
  <c r="R430" i="2"/>
  <c r="Q430" i="2"/>
  <c r="P430" i="2"/>
  <c r="O430" i="2"/>
  <c r="AZ423" i="2"/>
  <c r="AU423" i="2"/>
  <c r="AP423" i="2"/>
  <c r="AM422" i="2"/>
  <c r="AM424" i="2" s="1"/>
  <c r="AL422" i="2"/>
  <c r="AL424" i="2" s="1"/>
  <c r="AK422" i="2"/>
  <c r="AK424" i="2" s="1"/>
  <c r="AJ422" i="2"/>
  <c r="AJ424" i="2" s="1"/>
  <c r="AI422" i="2"/>
  <c r="AI424" i="2" s="1"/>
  <c r="AH422" i="2"/>
  <c r="AH424" i="2" s="1"/>
  <c r="AG422" i="2"/>
  <c r="AG424" i="2" s="1"/>
  <c r="AF422" i="2"/>
  <c r="AF424" i="2" s="1"/>
  <c r="AE422" i="2"/>
  <c r="AE424" i="2" s="1"/>
  <c r="AD422" i="2"/>
  <c r="AD424" i="2" s="1"/>
  <c r="AC422" i="2"/>
  <c r="AC424" i="2" s="1"/>
  <c r="AB422" i="2"/>
  <c r="AB424" i="2" s="1"/>
  <c r="AA422" i="2"/>
  <c r="AA424" i="2" s="1"/>
  <c r="Z422" i="2"/>
  <c r="Z424" i="2" s="1"/>
  <c r="Y422" i="2"/>
  <c r="Y424" i="2" s="1"/>
  <c r="X422" i="2"/>
  <c r="X424" i="2" s="1"/>
  <c r="W422" i="2"/>
  <c r="W424" i="2" s="1"/>
  <c r="V422" i="2"/>
  <c r="V424" i="2" s="1"/>
  <c r="U422" i="2"/>
  <c r="U424" i="2" s="1"/>
  <c r="T422" i="2"/>
  <c r="T424" i="2" s="1"/>
  <c r="S422" i="2"/>
  <c r="S424" i="2" s="1"/>
  <c r="R422" i="2"/>
  <c r="R424" i="2" s="1"/>
  <c r="Q422" i="2"/>
  <c r="Q424" i="2" s="1"/>
  <c r="P422" i="2"/>
  <c r="P424" i="2" s="1"/>
  <c r="O422" i="2"/>
  <c r="O424" i="2" s="1"/>
  <c r="AN421" i="2"/>
  <c r="AO421" i="2" s="1"/>
  <c r="AP421" i="2" s="1"/>
  <c r="AQ421" i="2" s="1"/>
  <c r="AR421" i="2" s="1"/>
  <c r="AS421" i="2" s="1"/>
  <c r="AT421" i="2" s="1"/>
  <c r="AU421" i="2" s="1"/>
  <c r="AV421" i="2" s="1"/>
  <c r="AW421" i="2" s="1"/>
  <c r="AX421" i="2" s="1"/>
  <c r="AY421" i="2" s="1"/>
  <c r="AZ421" i="2" s="1"/>
  <c r="AN419" i="2"/>
  <c r="AO419" i="2" s="1"/>
  <c r="AP419" i="2" s="1"/>
  <c r="AQ419" i="2" s="1"/>
  <c r="AR419" i="2" s="1"/>
  <c r="AS419" i="2" s="1"/>
  <c r="AT419" i="2" s="1"/>
  <c r="AU419" i="2" s="1"/>
  <c r="AV419" i="2" s="1"/>
  <c r="AW419" i="2" s="1"/>
  <c r="AX419" i="2" s="1"/>
  <c r="AY419" i="2" s="1"/>
  <c r="AZ419" i="2" s="1"/>
  <c r="AN418" i="2"/>
  <c r="AO418" i="2" s="1"/>
  <c r="AP418" i="2" s="1"/>
  <c r="AQ418" i="2" s="1"/>
  <c r="AR418" i="2" s="1"/>
  <c r="AS418" i="2" s="1"/>
  <c r="AT418" i="2" s="1"/>
  <c r="AU418" i="2" s="1"/>
  <c r="AV418" i="2" s="1"/>
  <c r="AW418" i="2" s="1"/>
  <c r="AX418" i="2" s="1"/>
  <c r="AY418" i="2" s="1"/>
  <c r="AZ418" i="2" s="1"/>
  <c r="AN417" i="2"/>
  <c r="AO417" i="2" s="1"/>
  <c r="AP417" i="2" s="1"/>
  <c r="AQ417" i="2" s="1"/>
  <c r="AR417" i="2" s="1"/>
  <c r="AS417" i="2" s="1"/>
  <c r="AT417" i="2" s="1"/>
  <c r="AU417" i="2" s="1"/>
  <c r="AV417" i="2" s="1"/>
  <c r="AW417" i="2" s="1"/>
  <c r="AX417" i="2" s="1"/>
  <c r="AY417" i="2" s="1"/>
  <c r="AZ417" i="2" s="1"/>
  <c r="AN415" i="2"/>
  <c r="AO415" i="2" s="1"/>
  <c r="AP415" i="2" s="1"/>
  <c r="AQ415" i="2" s="1"/>
  <c r="AR415" i="2" s="1"/>
  <c r="AS415" i="2" s="1"/>
  <c r="AT415" i="2" s="1"/>
  <c r="AU415" i="2" s="1"/>
  <c r="AV415" i="2" s="1"/>
  <c r="AW415" i="2" s="1"/>
  <c r="AX415" i="2" s="1"/>
  <c r="AY415" i="2" s="1"/>
  <c r="AZ415" i="2" s="1"/>
  <c r="AN414" i="2"/>
  <c r="AO414" i="2" s="1"/>
  <c r="AP414" i="2" s="1"/>
  <c r="AQ414" i="2" s="1"/>
  <c r="AN409" i="2"/>
  <c r="AO409" i="2" s="1"/>
  <c r="AP409" i="2" s="1"/>
  <c r="AQ409" i="2" s="1"/>
  <c r="AR409" i="2" s="1"/>
  <c r="AS409" i="2" s="1"/>
  <c r="AT409" i="2" s="1"/>
  <c r="AU409" i="2" s="1"/>
  <c r="AV409" i="2" s="1"/>
  <c r="AW409" i="2" s="1"/>
  <c r="AX409" i="2" s="1"/>
  <c r="AY409" i="2" s="1"/>
  <c r="AZ409" i="2" s="1"/>
  <c r="AN408" i="2"/>
  <c r="AO408" i="2" s="1"/>
  <c r="AP408" i="2" s="1"/>
  <c r="AQ408" i="2" s="1"/>
  <c r="AR408" i="2" s="1"/>
  <c r="AS408" i="2" s="1"/>
  <c r="AT408" i="2" s="1"/>
  <c r="AU408" i="2" s="1"/>
  <c r="AV408" i="2" s="1"/>
  <c r="AW408" i="2" s="1"/>
  <c r="AX408" i="2" s="1"/>
  <c r="AY408" i="2" s="1"/>
  <c r="AZ408" i="2" s="1"/>
  <c r="AN407" i="2"/>
  <c r="AO407" i="2" s="1"/>
  <c r="AP407" i="2" s="1"/>
  <c r="AQ407" i="2" s="1"/>
  <c r="AR407" i="2" s="1"/>
  <c r="AS407" i="2" s="1"/>
  <c r="AT407" i="2" s="1"/>
  <c r="AU407" i="2" s="1"/>
  <c r="AV407" i="2" s="1"/>
  <c r="AW407" i="2" s="1"/>
  <c r="AX407" i="2" s="1"/>
  <c r="AY407" i="2" s="1"/>
  <c r="AZ407" i="2" s="1"/>
  <c r="AN404" i="2"/>
  <c r="AO404" i="2" s="1"/>
  <c r="AP404" i="2" s="1"/>
  <c r="AQ404" i="2" s="1"/>
  <c r="AR404" i="2" s="1"/>
  <c r="AS404" i="2" s="1"/>
  <c r="AT404" i="2" s="1"/>
  <c r="AU404" i="2" s="1"/>
  <c r="AV404" i="2" s="1"/>
  <c r="AW404" i="2" s="1"/>
  <c r="AX404" i="2" s="1"/>
  <c r="AY404" i="2" s="1"/>
  <c r="AZ404" i="2" s="1"/>
  <c r="AN402" i="2"/>
  <c r="AO402" i="2" s="1"/>
  <c r="AN397" i="2"/>
  <c r="AO397" i="2" s="1"/>
  <c r="AP397" i="2" s="1"/>
  <c r="AQ397" i="2" s="1"/>
  <c r="AR397" i="2" s="1"/>
  <c r="AS397" i="2" s="1"/>
  <c r="AT397" i="2" s="1"/>
  <c r="AU397" i="2" s="1"/>
  <c r="AV397" i="2" s="1"/>
  <c r="AW397" i="2" s="1"/>
  <c r="AX397" i="2" s="1"/>
  <c r="AY397" i="2" s="1"/>
  <c r="AZ397" i="2" s="1"/>
  <c r="AM393" i="2"/>
  <c r="AM398" i="2" s="1"/>
  <c r="AL393" i="2"/>
  <c r="AL398" i="2" s="1"/>
  <c r="AK393" i="2"/>
  <c r="AK398" i="2" s="1"/>
  <c r="AJ393" i="2"/>
  <c r="AJ398" i="2" s="1"/>
  <c r="AI393" i="2"/>
  <c r="AI398" i="2" s="1"/>
  <c r="AH393" i="2"/>
  <c r="AH398" i="2" s="1"/>
  <c r="AG393" i="2"/>
  <c r="AG398" i="2" s="1"/>
  <c r="AF393" i="2"/>
  <c r="AF398" i="2" s="1"/>
  <c r="AE393" i="2"/>
  <c r="AE398" i="2" s="1"/>
  <c r="AD393" i="2"/>
  <c r="AD398" i="2" s="1"/>
  <c r="AC393" i="2"/>
  <c r="AC398" i="2" s="1"/>
  <c r="AB393" i="2"/>
  <c r="AB398" i="2" s="1"/>
  <c r="AA393" i="2"/>
  <c r="AA398" i="2" s="1"/>
  <c r="Z393" i="2"/>
  <c r="Z398" i="2" s="1"/>
  <c r="Y393" i="2"/>
  <c r="Y398" i="2" s="1"/>
  <c r="X393" i="2"/>
  <c r="X398" i="2" s="1"/>
  <c r="W393" i="2"/>
  <c r="W398" i="2" s="1"/>
  <c r="V393" i="2"/>
  <c r="V398" i="2" s="1"/>
  <c r="U393" i="2"/>
  <c r="U398" i="2" s="1"/>
  <c r="T393" i="2"/>
  <c r="T398" i="2" s="1"/>
  <c r="S393" i="2"/>
  <c r="S398" i="2" s="1"/>
  <c r="R393" i="2"/>
  <c r="R398" i="2" s="1"/>
  <c r="Q393" i="2"/>
  <c r="Q398" i="2" s="1"/>
  <c r="P393" i="2"/>
  <c r="P398" i="2" s="1"/>
  <c r="O393" i="2"/>
  <c r="O398" i="2" s="1"/>
  <c r="AN392" i="2"/>
  <c r="AO392" i="2" s="1"/>
  <c r="AP392" i="2" s="1"/>
  <c r="AQ392" i="2" s="1"/>
  <c r="AR392" i="2" s="1"/>
  <c r="AS392" i="2" s="1"/>
  <c r="AT392" i="2" s="1"/>
  <c r="AU392" i="2" s="1"/>
  <c r="AV392" i="2" s="1"/>
  <c r="AW392" i="2" s="1"/>
  <c r="AX392" i="2" s="1"/>
  <c r="AY392" i="2" s="1"/>
  <c r="AZ392" i="2" s="1"/>
  <c r="AB426" i="2" l="1"/>
  <c r="AJ426" i="2"/>
  <c r="AK426" i="2"/>
  <c r="U426" i="2"/>
  <c r="AC426" i="2"/>
  <c r="S426" i="2"/>
  <c r="AA426" i="2"/>
  <c r="AI426" i="2"/>
  <c r="AE426" i="2"/>
  <c r="AM426" i="2"/>
  <c r="AL426" i="2"/>
  <c r="O426" i="2"/>
  <c r="P426" i="2"/>
  <c r="X426" i="2"/>
  <c r="AF426" i="2"/>
  <c r="Q426" i="2"/>
  <c r="Y426" i="2"/>
  <c r="AG426" i="2"/>
  <c r="R426" i="2"/>
  <c r="Z426" i="2"/>
  <c r="AH426" i="2"/>
  <c r="V426" i="2"/>
  <c r="AD426" i="2"/>
  <c r="W426" i="2"/>
  <c r="T426" i="2"/>
  <c r="AR414" i="2"/>
  <c r="AP402" i="2"/>
  <c r="AN452" i="2"/>
  <c r="AO441" i="2"/>
  <c r="AO396" i="2" s="1"/>
  <c r="AP396" i="2" s="1"/>
  <c r="AQ441" i="2" l="1"/>
  <c r="AP441" i="2"/>
  <c r="AP442" i="2" s="1"/>
  <c r="AQ402" i="2"/>
  <c r="AS414" i="2"/>
  <c r="AN456" i="2"/>
  <c r="AN395" i="2"/>
  <c r="AR402" i="2" l="1"/>
  <c r="AT414" i="2"/>
  <c r="AO439" i="2"/>
  <c r="AQ396" i="2"/>
  <c r="AR441" i="2" l="1"/>
  <c r="AS402" i="2"/>
  <c r="AO452" i="2"/>
  <c r="AP439" i="2"/>
  <c r="AU414" i="2"/>
  <c r="AV414" i="2" s="1"/>
  <c r="AW414" i="2" l="1"/>
  <c r="AT402" i="2"/>
  <c r="AO456" i="2"/>
  <c r="AP452" i="2"/>
  <c r="AO395" i="2"/>
  <c r="AR396" i="2"/>
  <c r="AP453" i="2" l="1"/>
  <c r="AP456" i="2"/>
  <c r="AP395" i="2"/>
  <c r="AU402" i="2"/>
  <c r="AX414" i="2"/>
  <c r="AS441" i="2"/>
  <c r="AQ439" i="2" l="1"/>
  <c r="AP440" i="2"/>
  <c r="AY414" i="2"/>
  <c r="AV402" i="2"/>
  <c r="AS396" i="2"/>
  <c r="AT441" i="2" l="1"/>
  <c r="AU441" i="2" s="1"/>
  <c r="AW402" i="2"/>
  <c r="AZ414" i="2"/>
  <c r="AQ452" i="2"/>
  <c r="AQ456" i="2" l="1"/>
  <c r="AX402" i="2"/>
  <c r="AQ395" i="2"/>
  <c r="AT396" i="2"/>
  <c r="AU396" i="2" s="1"/>
  <c r="AV441" i="2" l="1"/>
  <c r="AY402" i="2"/>
  <c r="AU442" i="2"/>
  <c r="AR439" i="2"/>
  <c r="AR452" i="2" l="1"/>
  <c r="AR395" i="2" s="1"/>
  <c r="AZ402" i="2"/>
  <c r="AV396" i="2"/>
  <c r="AW441" i="2" l="1"/>
  <c r="AS439" i="2"/>
  <c r="AR456" i="2"/>
  <c r="AS452" i="2" l="1"/>
  <c r="AW396" i="2"/>
  <c r="AX441" i="2" l="1"/>
  <c r="AX396" i="2" s="1"/>
  <c r="AS456" i="2"/>
  <c r="AS395" i="2"/>
  <c r="AY441" i="2" l="1"/>
  <c r="AY396" i="2" s="1"/>
  <c r="AZ396" i="2" s="1"/>
  <c r="AT439" i="2"/>
  <c r="AZ441" i="2" l="1"/>
  <c r="AZ442" i="2" s="1"/>
  <c r="AT452" i="2"/>
  <c r="AT395" i="2" s="1"/>
  <c r="AU439" i="2"/>
  <c r="AU395" i="2" l="1"/>
  <c r="AV439" i="2" s="1"/>
  <c r="AT456" i="2"/>
  <c r="AU452" i="2"/>
  <c r="AU440" i="2" l="1"/>
  <c r="AU453" i="2"/>
  <c r="AU456" i="2"/>
  <c r="AV452" i="2"/>
  <c r="AV395" i="2" s="1"/>
  <c r="AW439" i="2" l="1"/>
  <c r="AV456" i="2"/>
  <c r="AW452" i="2" l="1"/>
  <c r="AW456" i="2" l="1"/>
  <c r="AW395" i="2"/>
  <c r="AX439" i="2" l="1"/>
  <c r="AX452" i="2" l="1"/>
  <c r="S381" i="2"/>
  <c r="R381" i="2"/>
  <c r="Q381" i="2"/>
  <c r="AJ377" i="2"/>
  <c r="Z377" i="2"/>
  <c r="AJ376" i="2"/>
  <c r="AO370" i="2"/>
  <c r="AN370" i="2"/>
  <c r="AM370" i="2"/>
  <c r="AL370" i="2"/>
  <c r="AJ370" i="2"/>
  <c r="AI370" i="2"/>
  <c r="AH370" i="2"/>
  <c r="AG370" i="2"/>
  <c r="AE370" i="2"/>
  <c r="AD370" i="2"/>
  <c r="AC370" i="2"/>
  <c r="AB370" i="2"/>
  <c r="Z370" i="2"/>
  <c r="Y370" i="2"/>
  <c r="X370" i="2"/>
  <c r="W370" i="2"/>
  <c r="U370" i="2"/>
  <c r="T370" i="2"/>
  <c r="S370" i="2"/>
  <c r="R370" i="2"/>
  <c r="P370" i="2"/>
  <c r="AZ369" i="2"/>
  <c r="AU369" i="2"/>
  <c r="AP369" i="2"/>
  <c r="AX456" i="2" l="1"/>
  <c r="AX395" i="2"/>
  <c r="AY439" i="2" l="1"/>
  <c r="AY452" i="2" l="1"/>
  <c r="AY395" i="2" s="1"/>
  <c r="AZ395" i="2" s="1"/>
  <c r="AZ439" i="2"/>
  <c r="AZ440" i="2" l="1"/>
  <c r="AY456" i="2"/>
  <c r="AZ452" i="2"/>
  <c r="AZ456" i="2" l="1"/>
  <c r="AZ453" i="2"/>
  <c r="AZ362" i="2" a="1"/>
  <c r="AZ362" i="2" l="1"/>
  <c r="AY362" i="2" a="1"/>
  <c r="AY362" i="2" l="1"/>
  <c r="AX362" i="2" a="1"/>
  <c r="AX362" i="2" l="1"/>
  <c r="AW362" i="2" a="1"/>
  <c r="AW362" i="2" l="1"/>
  <c r="AV362" i="2" a="1"/>
  <c r="AV362" i="2" l="1"/>
  <c r="AU362" i="2" a="1"/>
  <c r="AU362" i="2" l="1"/>
  <c r="AT362" i="2" a="1"/>
  <c r="AT362" i="2" l="1"/>
  <c r="AZ363" i="2"/>
  <c r="AS362" i="2" a="1"/>
  <c r="AS362" i="2" l="1"/>
  <c r="AY363" i="2"/>
  <c r="AR362" i="2" a="1"/>
  <c r="AR362" i="2" l="1"/>
  <c r="AX363" i="2"/>
  <c r="AQ362" i="2" a="1"/>
  <c r="AQ362" i="2" l="1"/>
  <c r="AW363" i="2"/>
  <c r="AP362" i="2" a="1"/>
  <c r="AP362" i="2" l="1"/>
  <c r="AV363" i="2"/>
  <c r="AO362" i="2" a="1"/>
  <c r="AO362" i="2" l="1"/>
  <c r="AU363" i="2"/>
  <c r="AN362" i="2" a="1"/>
  <c r="AN362" i="2" l="1"/>
  <c r="AT363" i="2"/>
  <c r="AM362" i="2" a="1"/>
  <c r="AM362" i="2" l="1"/>
  <c r="AS363" i="2"/>
  <c r="AL362" i="2" a="1"/>
  <c r="AL362" i="2" l="1"/>
  <c r="AR363" i="2"/>
  <c r="AK362" i="2" a="1"/>
  <c r="AK362" i="2" l="1"/>
  <c r="AQ363" i="2"/>
  <c r="AJ362" i="2" a="1"/>
  <c r="AJ362" i="2" l="1"/>
  <c r="AP363" i="2"/>
  <c r="AI362" i="2" a="1"/>
  <c r="AI362" i="2" l="1"/>
  <c r="AO363" i="2"/>
  <c r="AH362" i="2" a="1"/>
  <c r="AH362" i="2" l="1"/>
  <c r="AN363" i="2"/>
  <c r="AG362" i="2" a="1"/>
  <c r="AG362" i="2" l="1"/>
  <c r="AM363" i="2"/>
  <c r="AF362" i="2" a="1"/>
  <c r="AF362" i="2" l="1"/>
  <c r="AL363" i="2"/>
  <c r="AE362" i="2" a="1"/>
  <c r="AE362" i="2" l="1"/>
  <c r="AK363" i="2"/>
  <c r="AD362" i="2" a="1"/>
  <c r="AD362" i="2" l="1"/>
  <c r="AJ363" i="2"/>
  <c r="AC362" i="2" a="1"/>
  <c r="AC362" i="2" l="1"/>
  <c r="AI363" i="2"/>
  <c r="AB362" i="2" a="1"/>
  <c r="AB362" i="2" l="1"/>
  <c r="AH363" i="2"/>
  <c r="AA362" i="2" a="1"/>
  <c r="AA362" i="2" l="1"/>
  <c r="AG363" i="2"/>
  <c r="Z362" i="2" a="1"/>
  <c r="Z362" i="2" l="1"/>
  <c r="AF363" i="2"/>
  <c r="Y362" i="2" a="1"/>
  <c r="Y362" i="2" l="1"/>
  <c r="AE363" i="2"/>
  <c r="X362" i="2" a="1"/>
  <c r="X362" i="2" l="1"/>
  <c r="AD363" i="2"/>
  <c r="W362" i="2" a="1"/>
  <c r="W362" i="2" l="1"/>
  <c r="AC363" i="2"/>
  <c r="V362" i="2" a="1"/>
  <c r="V362" i="2" l="1"/>
  <c r="AB363" i="2"/>
  <c r="U362" i="2" a="1"/>
  <c r="U362" i="2" l="1"/>
  <c r="AA363" i="2"/>
  <c r="T362" i="2" a="1"/>
  <c r="T362" i="2" l="1"/>
  <c r="Z363" i="2"/>
  <c r="S362" i="2" a="1"/>
  <c r="S362" i="2" l="1"/>
  <c r="X363" i="2" s="1"/>
  <c r="Y363" i="2"/>
  <c r="R362" i="2" a="1"/>
  <c r="R362" i="2" l="1"/>
  <c r="W363" i="2" s="1"/>
  <c r="Q362" i="2" a="1"/>
  <c r="Q362" i="2" l="1"/>
  <c r="V363" i="2" s="1"/>
  <c r="P362" i="2" a="1"/>
  <c r="P362" i="2" l="1"/>
  <c r="U363" i="2" s="1"/>
  <c r="O362" i="2" a="1"/>
  <c r="O362" i="2" l="1"/>
  <c r="T363" i="2" s="1"/>
  <c r="AN357" i="2"/>
  <c r="AN461" i="2" s="1"/>
  <c r="AY356" i="2"/>
  <c r="AY459" i="2" s="1"/>
  <c r="AX356" i="2"/>
  <c r="AX459" i="2" s="1"/>
  <c r="AW356" i="2"/>
  <c r="AW459" i="2" s="1"/>
  <c r="AV356" i="2"/>
  <c r="AV459" i="2" s="1"/>
  <c r="AT356" i="2"/>
  <c r="AT459" i="2" s="1"/>
  <c r="AS356" i="2"/>
  <c r="AS459" i="2" s="1"/>
  <c r="AR356" i="2"/>
  <c r="AR459" i="2" s="1"/>
  <c r="AQ356" i="2"/>
  <c r="AQ459" i="2" s="1"/>
  <c r="AO356" i="2"/>
  <c r="AO459" i="2" s="1"/>
  <c r="AN356" i="2"/>
  <c r="AN459" i="2" s="1"/>
  <c r="AZ354" i="2"/>
  <c r="AU354" i="2"/>
  <c r="AP354" i="2"/>
  <c r="AZ347" i="2"/>
  <c r="AU347" i="2"/>
  <c r="AP347" i="2"/>
  <c r="AZ342" i="2"/>
  <c r="AU342" i="2"/>
  <c r="AO341" i="2"/>
  <c r="AM341" i="2"/>
  <c r="AL341" i="2"/>
  <c r="AK341" i="2"/>
  <c r="AJ341" i="2"/>
  <c r="AI341" i="2"/>
  <c r="AH341" i="2"/>
  <c r="AG341" i="2"/>
  <c r="AF341" i="2"/>
  <c r="AE341" i="2"/>
  <c r="AD341" i="2"/>
  <c r="AC341" i="2"/>
  <c r="AB341" i="2"/>
  <c r="AA341" i="2"/>
  <c r="Z341" i="2"/>
  <c r="Y341" i="2"/>
  <c r="X341" i="2"/>
  <c r="W341" i="2"/>
  <c r="V341" i="2"/>
  <c r="U341" i="2"/>
  <c r="T341" i="2"/>
  <c r="S341" i="2"/>
  <c r="R341" i="2"/>
  <c r="Q341" i="2"/>
  <c r="P341" i="2"/>
  <c r="O341" i="2"/>
  <c r="AY340" i="2"/>
  <c r="AX340" i="2"/>
  <c r="AW340" i="2"/>
  <c r="AV340" i="2"/>
  <c r="AT340" i="2"/>
  <c r="AS340" i="2"/>
  <c r="AR340" i="2"/>
  <c r="AQ340" i="2"/>
  <c r="AO340" i="2"/>
  <c r="AN340" i="2"/>
  <c r="AL335" i="2"/>
  <c r="AJ335" i="2"/>
  <c r="AI335" i="2"/>
  <c r="AH335" i="2"/>
  <c r="AG335" i="2"/>
  <c r="AE335" i="2"/>
  <c r="AD335" i="2"/>
  <c r="AC335" i="2"/>
  <c r="AB335" i="2"/>
  <c r="C335" i="2"/>
  <c r="AL334" i="2"/>
  <c r="AJ334" i="2"/>
  <c r="AI334" i="2"/>
  <c r="AH334" i="2"/>
  <c r="AG334" i="2"/>
  <c r="AE334" i="2"/>
  <c r="AD334" i="2"/>
  <c r="AC334" i="2"/>
  <c r="AB334" i="2"/>
  <c r="C334" i="2"/>
  <c r="AA326" i="2"/>
  <c r="Z326" i="2"/>
  <c r="Y326" i="2"/>
  <c r="X326" i="2"/>
  <c r="W326" i="2"/>
  <c r="V326" i="2"/>
  <c r="U326" i="2"/>
  <c r="T326" i="2"/>
  <c r="S326" i="2"/>
  <c r="R326" i="2"/>
  <c r="Q326" i="2"/>
  <c r="P326" i="2"/>
  <c r="O326" i="2"/>
  <c r="AA325" i="2"/>
  <c r="Z325" i="2"/>
  <c r="Y325" i="2"/>
  <c r="X325" i="2"/>
  <c r="W325" i="2"/>
  <c r="V325" i="2"/>
  <c r="U325" i="2"/>
  <c r="T325" i="2"/>
  <c r="S325" i="2"/>
  <c r="R325" i="2"/>
  <c r="Q325" i="2"/>
  <c r="P325" i="2"/>
  <c r="O325" i="2"/>
  <c r="AJ324" i="2"/>
  <c r="AJ326" i="2" s="1"/>
  <c r="AI324" i="2"/>
  <c r="AI326" i="2" s="1"/>
  <c r="AH324" i="2"/>
  <c r="AH326" i="2" s="1"/>
  <c r="AG324" i="2"/>
  <c r="AG326" i="2" s="1"/>
  <c r="AE324" i="2"/>
  <c r="AE326" i="2" s="1"/>
  <c r="AD324" i="2"/>
  <c r="AD326" i="2" s="1"/>
  <c r="AC324" i="2"/>
  <c r="AC326" i="2" s="1"/>
  <c r="AB324" i="2"/>
  <c r="AB326" i="2" s="1"/>
  <c r="AJ323" i="2"/>
  <c r="AJ325" i="2" s="1"/>
  <c r="AI323" i="2"/>
  <c r="AI325" i="2" s="1"/>
  <c r="AH323" i="2"/>
  <c r="AH325" i="2" s="1"/>
  <c r="AG323" i="2"/>
  <c r="AG325" i="2" s="1"/>
  <c r="AE323" i="2"/>
  <c r="AE325" i="2" s="1"/>
  <c r="AD323" i="2"/>
  <c r="AD325" i="2" s="1"/>
  <c r="AC323" i="2"/>
  <c r="AC325" i="2" s="1"/>
  <c r="AB323" i="2"/>
  <c r="AB325" i="2" s="1"/>
  <c r="AL312" i="2"/>
  <c r="AL332" i="2" s="1"/>
  <c r="AJ312" i="2"/>
  <c r="AJ339" i="2" s="1"/>
  <c r="AI312" i="2"/>
  <c r="AI329" i="2" s="1"/>
  <c r="AH312" i="2"/>
  <c r="AH343" i="2" s="1"/>
  <c r="AG312" i="2"/>
  <c r="AG339" i="2" s="1"/>
  <c r="AE312" i="2"/>
  <c r="AE339" i="2" s="1"/>
  <c r="AD312" i="2"/>
  <c r="AD332" i="2" s="1"/>
  <c r="AC312" i="2"/>
  <c r="AC329" i="2" s="1"/>
  <c r="AB312" i="2"/>
  <c r="AB339" i="2" s="1"/>
  <c r="AM311" i="2"/>
  <c r="AK311" i="2"/>
  <c r="AF311" i="2"/>
  <c r="AA311" i="2"/>
  <c r="Z311" i="2"/>
  <c r="Y311" i="2"/>
  <c r="X311" i="2"/>
  <c r="W311" i="2"/>
  <c r="V311" i="2"/>
  <c r="U311" i="2"/>
  <c r="T311" i="2"/>
  <c r="S311" i="2"/>
  <c r="R311" i="2"/>
  <c r="Q311" i="2" a="1"/>
  <c r="AP340" i="2" l="1"/>
  <c r="AZ340" i="2"/>
  <c r="AC343" i="2"/>
  <c r="AC345" i="2" s="1"/>
  <c r="AC330" i="2"/>
  <c r="AG343" i="2"/>
  <c r="AG349" i="2" s="1"/>
  <c r="AG346" i="2" s="1"/>
  <c r="AC332" i="2"/>
  <c r="AO357" i="2"/>
  <c r="AG330" i="2"/>
  <c r="AG332" i="2"/>
  <c r="AU340" i="2"/>
  <c r="Q311" i="2"/>
  <c r="AH349" i="2"/>
  <c r="AH345" i="2"/>
  <c r="AI331" i="2"/>
  <c r="AG329" i="2"/>
  <c r="AI330" i="2"/>
  <c r="AC331" i="2"/>
  <c r="AE332" i="2"/>
  <c r="AC339" i="2"/>
  <c r="AI343" i="2"/>
  <c r="AP356" i="2"/>
  <c r="AE329" i="2"/>
  <c r="AI339" i="2"/>
  <c r="AH329" i="2"/>
  <c r="AB330" i="2"/>
  <c r="AJ330" i="2"/>
  <c r="AD331" i="2"/>
  <c r="AL331" i="2"/>
  <c r="AD339" i="2"/>
  <c r="AL339" i="2"/>
  <c r="AB343" i="2"/>
  <c r="AJ343" i="2"/>
  <c r="AU459" i="2"/>
  <c r="AE331" i="2"/>
  <c r="AZ356" i="2"/>
  <c r="AB329" i="2"/>
  <c r="AJ329" i="2"/>
  <c r="AD330" i="2"/>
  <c r="AL330" i="2"/>
  <c r="AH332" i="2"/>
  <c r="AD343" i="2"/>
  <c r="AL343" i="2"/>
  <c r="AK312" i="2"/>
  <c r="AE330" i="2"/>
  <c r="AG331" i="2"/>
  <c r="AI332" i="2"/>
  <c r="AF12" i="4" a="1"/>
  <c r="AF12" i="4" s="1"/>
  <c r="AB12" i="4" a="1"/>
  <c r="AB12" i="4" s="1"/>
  <c r="X12" i="4" a="1"/>
  <c r="X12" i="4" s="1"/>
  <c r="T12" i="4" a="1"/>
  <c r="T12" i="4" s="1"/>
  <c r="X28" i="4" a="1"/>
  <c r="X28" i="4" s="1"/>
  <c r="R28" i="4" a="1"/>
  <c r="R28" i="4" s="1"/>
  <c r="AI12" i="4" a="1"/>
  <c r="AI12" i="4" s="1"/>
  <c r="AE12" i="4" a="1"/>
  <c r="AE12" i="4" s="1"/>
  <c r="AA12" i="4" a="1"/>
  <c r="AA12" i="4" s="1"/>
  <c r="W12" i="4" a="1"/>
  <c r="W12" i="4" s="1"/>
  <c r="S12" i="4" a="1"/>
  <c r="S12" i="4" s="1"/>
  <c r="O12" i="4" a="1"/>
  <c r="O12" i="4" s="1"/>
  <c r="K12" i="4" a="1"/>
  <c r="K12" i="4" s="1"/>
  <c r="G12" i="4" a="1"/>
  <c r="G12" i="4" s="1"/>
  <c r="W29" i="4" a="1"/>
  <c r="W29" i="4" s="1"/>
  <c r="N12" i="4" a="1"/>
  <c r="N12" i="4" s="1"/>
  <c r="E12" i="4" a="1"/>
  <c r="E12" i="4" s="1"/>
  <c r="V29" i="4" a="1"/>
  <c r="V29" i="4" s="1"/>
  <c r="M12" i="4" a="1"/>
  <c r="M12" i="4" s="1"/>
  <c r="D12" i="4" a="1"/>
  <c r="D12" i="4" s="1"/>
  <c r="R29" i="4" a="1"/>
  <c r="R29" i="4" s="1"/>
  <c r="U28" i="4" a="1"/>
  <c r="U28" i="4" s="1"/>
  <c r="L12" i="4" a="1"/>
  <c r="L12" i="4" s="1"/>
  <c r="F12" i="4" a="1"/>
  <c r="F12" i="4" s="1"/>
  <c r="U12" i="4" a="1"/>
  <c r="U12" i="4" s="1"/>
  <c r="V12" i="4" a="1"/>
  <c r="V12" i="4" s="1"/>
  <c r="AD12" i="4" a="1"/>
  <c r="AD12" i="4" s="1"/>
  <c r="J12" i="4" a="1"/>
  <c r="J12" i="4" s="1"/>
  <c r="AC12" i="4" a="1"/>
  <c r="AC12" i="4" s="1"/>
  <c r="R12" i="4" a="1"/>
  <c r="R12" i="4" s="1"/>
  <c r="I12" i="4" a="1"/>
  <c r="I12" i="4" s="1"/>
  <c r="Q12" i="4" a="1"/>
  <c r="Q12" i="4" s="1"/>
  <c r="H12" i="4" a="1"/>
  <c r="H12" i="4" s="1"/>
  <c r="AG12" i="4" a="1"/>
  <c r="AG12" i="4" s="1"/>
  <c r="Z12" i="4" a="1"/>
  <c r="Z12" i="4" s="1"/>
  <c r="P12" i="4" a="1"/>
  <c r="P12" i="4" s="1"/>
  <c r="Y12" i="4" a="1"/>
  <c r="Y12" i="4" s="1"/>
  <c r="P28" i="4" a="1"/>
  <c r="P28" i="4" s="1"/>
  <c r="AH12" i="4" a="1"/>
  <c r="AH12" i="4" s="1"/>
  <c r="V28" i="4" a="1"/>
  <c r="V28" i="4" s="1"/>
  <c r="X29" i="4" a="1"/>
  <c r="X29" i="4" s="1"/>
  <c r="T29" i="4" a="1"/>
  <c r="T29" i="4" s="1"/>
  <c r="W28" i="4" a="1"/>
  <c r="W28" i="4" s="1"/>
  <c r="S28" i="4" a="1"/>
  <c r="S28" i="4" s="1"/>
  <c r="U29" i="4" a="1"/>
  <c r="U29" i="4" s="1"/>
  <c r="P29" i="4" a="1"/>
  <c r="P29" i="4" s="1"/>
  <c r="Q29" i="4" a="1"/>
  <c r="Q29" i="4" s="1"/>
  <c r="S29" i="4" a="1"/>
  <c r="S29" i="4" s="1"/>
  <c r="T28" i="4" a="1"/>
  <c r="T28" i="4" s="1"/>
  <c r="Q28" i="4" a="1"/>
  <c r="Q28" i="4" s="1"/>
  <c r="AE343" i="2"/>
  <c r="AD329" i="2"/>
  <c r="AD333" i="2" s="1"/>
  <c r="AL329" i="2"/>
  <c r="AL333" i="2" s="1"/>
  <c r="AH331" i="2"/>
  <c r="AB332" i="2"/>
  <c r="AJ332" i="2"/>
  <c r="AH339" i="2"/>
  <c r="AU356" i="2"/>
  <c r="AP357" i="2"/>
  <c r="AP459" i="2"/>
  <c r="AN463" i="2"/>
  <c r="AZ459" i="2"/>
  <c r="AF312" i="2"/>
  <c r="AH330" i="2"/>
  <c r="AB331" i="2"/>
  <c r="AJ331" i="2"/>
  <c r="P311" i="2"/>
  <c r="O311" i="2"/>
  <c r="AM310" i="2"/>
  <c r="AK310" i="2"/>
  <c r="AK331" i="2" s="1"/>
  <c r="AF310" i="2"/>
  <c r="AF331" i="2" s="1"/>
  <c r="AA310" i="2"/>
  <c r="Z310" i="2"/>
  <c r="Y310" i="2"/>
  <c r="X310" i="2"/>
  <c r="W310" i="2"/>
  <c r="V310" i="2"/>
  <c r="U310" i="2"/>
  <c r="T310" i="2"/>
  <c r="S310" i="2"/>
  <c r="R310" i="2"/>
  <c r="Q310" i="2" a="1"/>
  <c r="AG333" i="2" l="1"/>
  <c r="AI333" i="2"/>
  <c r="AG359" i="2"/>
  <c r="AG364" i="2" s="1"/>
  <c r="AG353" i="2"/>
  <c r="AG345" i="2"/>
  <c r="AC349" i="2"/>
  <c r="AC359" i="2" s="1"/>
  <c r="AO461" i="2"/>
  <c r="AQ357" i="2"/>
  <c r="AC333" i="2"/>
  <c r="Q310" i="2"/>
  <c r="AB333" i="2"/>
  <c r="AJ345" i="2"/>
  <c r="AJ349" i="2"/>
  <c r="AH333" i="2"/>
  <c r="AF343" i="2"/>
  <c r="AF339" i="2"/>
  <c r="AL345" i="2"/>
  <c r="AL349" i="2"/>
  <c r="AB345" i="2"/>
  <c r="AB349" i="2"/>
  <c r="AD345" i="2"/>
  <c r="AD349" i="2"/>
  <c r="AE333" i="2"/>
  <c r="AF332" i="2"/>
  <c r="AH346" i="2"/>
  <c r="AH353" i="2"/>
  <c r="AH359" i="2"/>
  <c r="AE345" i="2"/>
  <c r="AE349" i="2"/>
  <c r="AK343" i="2"/>
  <c r="AK339" i="2"/>
  <c r="AK332" i="2"/>
  <c r="AJ333" i="2"/>
  <c r="AI345" i="2"/>
  <c r="AI349" i="2"/>
  <c r="P310" i="2"/>
  <c r="O310" i="2"/>
  <c r="AM309" i="2"/>
  <c r="AK309" i="2"/>
  <c r="AF309" i="2"/>
  <c r="AA309" i="2"/>
  <c r="Z309" i="2"/>
  <c r="Y309" i="2"/>
  <c r="X309" i="2"/>
  <c r="W309" i="2"/>
  <c r="V309" i="2"/>
  <c r="U309" i="2"/>
  <c r="T309" i="2"/>
  <c r="S309" i="2"/>
  <c r="R309" i="2"/>
  <c r="Q309" i="2"/>
  <c r="P309" i="2"/>
  <c r="O309" i="2"/>
  <c r="AM308" i="2"/>
  <c r="AK308" i="2"/>
  <c r="AF308" i="2"/>
  <c r="AA308" i="2"/>
  <c r="Z308" i="2"/>
  <c r="Y308" i="2"/>
  <c r="X308" i="2"/>
  <c r="W308" i="2"/>
  <c r="V308" i="2"/>
  <c r="U308" i="2"/>
  <c r="T308" i="2"/>
  <c r="S308" i="2"/>
  <c r="R308" i="2"/>
  <c r="Q308" i="2"/>
  <c r="P308" i="2"/>
  <c r="O308" i="2"/>
  <c r="AZ306" i="2" a="1"/>
  <c r="AC353" i="2" l="1"/>
  <c r="AC346" i="2"/>
  <c r="AQ461" i="2"/>
  <c r="AQ463" i="2" s="1"/>
  <c r="AR357" i="2"/>
  <c r="AP461" i="2"/>
  <c r="AP463" i="2" s="1"/>
  <c r="AO463" i="2"/>
  <c r="AZ306" i="2"/>
  <c r="T334" i="2"/>
  <c r="J28" i="4" s="1" a="1"/>
  <c r="J28" i="4" s="1"/>
  <c r="T312" i="2"/>
  <c r="O335" i="2"/>
  <c r="F29" i="4" s="1" a="1"/>
  <c r="F29" i="4" s="1"/>
  <c r="AE346" i="2"/>
  <c r="AE353" i="2"/>
  <c r="AE359" i="2"/>
  <c r="AD359" i="2"/>
  <c r="AD346" i="2"/>
  <c r="AD353" i="2"/>
  <c r="U312" i="2"/>
  <c r="U329" i="2" s="1"/>
  <c r="U334" i="2"/>
  <c r="K28" i="4" s="1" a="1"/>
  <c r="K28" i="4" s="1"/>
  <c r="X335" i="2"/>
  <c r="M29" i="4" s="1" a="1"/>
  <c r="M29" i="4" s="1"/>
  <c r="AM312" i="2"/>
  <c r="AM329" i="2" s="1"/>
  <c r="AM334" i="2"/>
  <c r="Y28" i="4" s="1" a="1"/>
  <c r="Y28" i="4" s="1"/>
  <c r="Y335" i="2"/>
  <c r="N29" i="4" s="1" a="1"/>
  <c r="N29" i="4" s="1"/>
  <c r="W312" i="2"/>
  <c r="W330" i="2" s="1"/>
  <c r="W334" i="2"/>
  <c r="L28" i="4" s="1" a="1"/>
  <c r="L28" i="4" s="1"/>
  <c r="R335" i="2"/>
  <c r="H29" i="4" s="1" a="1"/>
  <c r="H29" i="4" s="1"/>
  <c r="Z335" i="2"/>
  <c r="O29" i="4" s="1" a="1"/>
  <c r="O29" i="4" s="1"/>
  <c r="AF329" i="2"/>
  <c r="AF334" i="2"/>
  <c r="AF324" i="2"/>
  <c r="AF326" i="2" s="1"/>
  <c r="AK324" i="2"/>
  <c r="AK326" i="2" s="1"/>
  <c r="AK329" i="2"/>
  <c r="AK334" i="2"/>
  <c r="O312" i="2"/>
  <c r="O331" i="2" s="1"/>
  <c r="O334" i="2"/>
  <c r="F28" i="4" s="1" a="1"/>
  <c r="F28" i="4" s="1"/>
  <c r="P312" i="2"/>
  <c r="P330" i="2" s="1"/>
  <c r="P334" i="2"/>
  <c r="G28" i="4" s="1" a="1"/>
  <c r="G28" i="4" s="1"/>
  <c r="X312" i="2"/>
  <c r="X334" i="2"/>
  <c r="M28" i="4" s="1" a="1"/>
  <c r="M28" i="4" s="1"/>
  <c r="S335" i="2"/>
  <c r="I29" i="4" s="1" a="1"/>
  <c r="I29" i="4" s="1"/>
  <c r="AA335" i="2"/>
  <c r="AL359" i="2"/>
  <c r="AL346" i="2"/>
  <c r="AL353" i="2"/>
  <c r="AJ353" i="2"/>
  <c r="AJ359" i="2"/>
  <c r="AJ346" i="2"/>
  <c r="W335" i="2"/>
  <c r="L29" i="4" s="1" a="1"/>
  <c r="L29" i="4" s="1"/>
  <c r="P335" i="2"/>
  <c r="G29" i="4" s="1" a="1"/>
  <c r="G29" i="4" s="1"/>
  <c r="V312" i="2"/>
  <c r="V330" i="2" s="1"/>
  <c r="V334" i="2"/>
  <c r="Q335" i="2"/>
  <c r="AI346" i="2"/>
  <c r="AI359" i="2"/>
  <c r="AI353" i="2"/>
  <c r="AB353" i="2"/>
  <c r="AB359" i="2"/>
  <c r="AB346" i="2"/>
  <c r="Q334" i="2"/>
  <c r="Q312" i="2"/>
  <c r="Q331" i="2" s="1"/>
  <c r="Y334" i="2"/>
  <c r="N28" i="4" s="1" a="1"/>
  <c r="N28" i="4" s="1"/>
  <c r="Y312" i="2"/>
  <c r="T335" i="2"/>
  <c r="J29" i="4" s="1" a="1"/>
  <c r="J29" i="4" s="1"/>
  <c r="T330" i="2"/>
  <c r="AF335" i="2"/>
  <c r="AF330" i="2"/>
  <c r="AF323" i="2"/>
  <c r="AF325" i="2" s="1"/>
  <c r="AF349" i="2"/>
  <c r="AF345" i="2"/>
  <c r="R312" i="2"/>
  <c r="R329" i="2" s="1"/>
  <c r="R334" i="2"/>
  <c r="H28" i="4" s="1" a="1"/>
  <c r="H28" i="4" s="1"/>
  <c r="Z312" i="2"/>
  <c r="Z330" i="2" s="1"/>
  <c r="Z334" i="2"/>
  <c r="O28" i="4" s="1" a="1"/>
  <c r="O28" i="4" s="1"/>
  <c r="U335" i="2"/>
  <c r="K29" i="4" s="1" a="1"/>
  <c r="K29" i="4" s="1"/>
  <c r="U330" i="2"/>
  <c r="AK323" i="2"/>
  <c r="AK325" i="2" s="1"/>
  <c r="AK335" i="2"/>
  <c r="AK330" i="2"/>
  <c r="S312" i="2"/>
  <c r="S329" i="2" s="1"/>
  <c r="S334" i="2"/>
  <c r="I28" i="4" s="1" a="1"/>
  <c r="I28" i="4" s="1"/>
  <c r="AA312" i="2"/>
  <c r="AA330" i="2" s="1"/>
  <c r="AA334" i="2"/>
  <c r="V335" i="2"/>
  <c r="AM335" i="2"/>
  <c r="Y29" i="4" s="1" a="1"/>
  <c r="Y29" i="4" s="1"/>
  <c r="AM330" i="2"/>
  <c r="AK345" i="2"/>
  <c r="AK349" i="2"/>
  <c r="AH364" i="2"/>
  <c r="AH360" i="2"/>
  <c r="AH381" i="2" s="1"/>
  <c r="AC364" i="2"/>
  <c r="AY306" i="2" a="1"/>
  <c r="P331" i="2" l="1"/>
  <c r="AA329" i="2"/>
  <c r="V329" i="2"/>
  <c r="AR461" i="2"/>
  <c r="AR463" i="2" s="1"/>
  <c r="AS357" i="2"/>
  <c r="AY306" i="2"/>
  <c r="Y339" i="2"/>
  <c r="Y332" i="2"/>
  <c r="Y343" i="2"/>
  <c r="Y331" i="2"/>
  <c r="S339" i="2"/>
  <c r="S343" i="2"/>
  <c r="S332" i="2"/>
  <c r="S331" i="2"/>
  <c r="Y329" i="2"/>
  <c r="X343" i="2"/>
  <c r="X339" i="2"/>
  <c r="X332" i="2"/>
  <c r="X331" i="2"/>
  <c r="W343" i="2"/>
  <c r="W339" i="2"/>
  <c r="W332" i="2"/>
  <c r="W331" i="2"/>
  <c r="O339" i="2"/>
  <c r="O343" i="2"/>
  <c r="O332" i="2"/>
  <c r="AI364" i="2"/>
  <c r="AI360" i="2"/>
  <c r="AI381" i="2" s="1"/>
  <c r="X329" i="2"/>
  <c r="AF333" i="2"/>
  <c r="Y330" i="2"/>
  <c r="O330" i="2"/>
  <c r="AF346" i="2"/>
  <c r="AF353" i="2"/>
  <c r="AF359" i="2"/>
  <c r="U332" i="2"/>
  <c r="U343" i="2"/>
  <c r="U339" i="2"/>
  <c r="U331" i="2"/>
  <c r="Q343" i="2"/>
  <c r="Q339" i="2"/>
  <c r="Q332" i="2"/>
  <c r="AL364" i="2"/>
  <c r="AL360" i="2"/>
  <c r="AL381" i="2" s="1"/>
  <c r="T339" i="2"/>
  <c r="T343" i="2"/>
  <c r="T332" i="2"/>
  <c r="T331" i="2"/>
  <c r="Z343" i="2"/>
  <c r="Z339" i="2"/>
  <c r="Z332" i="2"/>
  <c r="Z331" i="2"/>
  <c r="Z329" i="2"/>
  <c r="Q329" i="2"/>
  <c r="P343" i="2"/>
  <c r="P339" i="2"/>
  <c r="P332" i="2"/>
  <c r="AK333" i="2"/>
  <c r="R343" i="2"/>
  <c r="R339" i="2"/>
  <c r="R332" i="2"/>
  <c r="R331" i="2"/>
  <c r="Q330" i="2"/>
  <c r="P329" i="2"/>
  <c r="R330" i="2"/>
  <c r="AM343" i="2"/>
  <c r="AM339" i="2"/>
  <c r="AM332" i="2"/>
  <c r="AM331" i="2"/>
  <c r="T329" i="2"/>
  <c r="S330" i="2"/>
  <c r="AD364" i="2"/>
  <c r="AK359" i="2"/>
  <c r="AK346" i="2"/>
  <c r="AK353" i="2"/>
  <c r="AA343" i="2"/>
  <c r="AA339" i="2"/>
  <c r="AA332" i="2"/>
  <c r="AA331" i="2"/>
  <c r="AB364" i="2"/>
  <c r="AG360" i="2"/>
  <c r="AG381" i="2" s="1"/>
  <c r="V343" i="2"/>
  <c r="V339" i="2"/>
  <c r="V332" i="2"/>
  <c r="V331" i="2"/>
  <c r="AJ364" i="2"/>
  <c r="AJ360" i="2"/>
  <c r="AJ381" i="2" s="1"/>
  <c r="O329" i="2"/>
  <c r="W329" i="2"/>
  <c r="X330" i="2"/>
  <c r="AE364" i="2"/>
  <c r="AX306" i="2" a="1"/>
  <c r="W333" i="2" l="1"/>
  <c r="AA333" i="2"/>
  <c r="V333" i="2"/>
  <c r="S333" i="2"/>
  <c r="U333" i="2"/>
  <c r="R333" i="2"/>
  <c r="AM333" i="2"/>
  <c r="P333" i="2"/>
  <c r="Z333" i="2"/>
  <c r="AS461" i="2"/>
  <c r="AS463" i="2" s="1"/>
  <c r="AT357" i="2"/>
  <c r="AX306" i="2"/>
  <c r="T333" i="2"/>
  <c r="P349" i="2"/>
  <c r="P345" i="2"/>
  <c r="AF364" i="2"/>
  <c r="O345" i="2"/>
  <c r="O349" i="2"/>
  <c r="Y349" i="2"/>
  <c r="Y345" i="2"/>
  <c r="T345" i="2"/>
  <c r="T349" i="2"/>
  <c r="AA345" i="2"/>
  <c r="AA349" i="2"/>
  <c r="X349" i="2"/>
  <c r="X345" i="2"/>
  <c r="V345" i="2"/>
  <c r="V349" i="2"/>
  <c r="R349" i="2"/>
  <c r="R345" i="2"/>
  <c r="Y333" i="2"/>
  <c r="W345" i="2"/>
  <c r="W349" i="2"/>
  <c r="Q333" i="2"/>
  <c r="U345" i="2"/>
  <c r="U349" i="2"/>
  <c r="S345" i="2"/>
  <c r="S349" i="2"/>
  <c r="Q349" i="2"/>
  <c r="Q345" i="2"/>
  <c r="AM345" i="2"/>
  <c r="AM349" i="2"/>
  <c r="O333" i="2"/>
  <c r="AK364" i="2"/>
  <c r="AK360" i="2"/>
  <c r="AK381" i="2" s="1"/>
  <c r="Z349" i="2"/>
  <c r="Z345" i="2"/>
  <c r="X333" i="2"/>
  <c r="AW306" i="2" a="1"/>
  <c r="AT461" i="2" l="1"/>
  <c r="AV357" i="2"/>
  <c r="AU357" i="2"/>
  <c r="AW306" i="2"/>
  <c r="Y346" i="2"/>
  <c r="Y353" i="2"/>
  <c r="Y359" i="2"/>
  <c r="Z346" i="2"/>
  <c r="Z353" i="2"/>
  <c r="Z359" i="2"/>
  <c r="AA346" i="2"/>
  <c r="AA359" i="2"/>
  <c r="AA353" i="2"/>
  <c r="X346" i="2"/>
  <c r="X353" i="2"/>
  <c r="X359" i="2"/>
  <c r="S346" i="2"/>
  <c r="S353" i="2"/>
  <c r="S359" i="2"/>
  <c r="S364" i="2" s="1"/>
  <c r="T353" i="2"/>
  <c r="T359" i="2"/>
  <c r="T346" i="2"/>
  <c r="U359" i="2"/>
  <c r="U346" i="2"/>
  <c r="U353" i="2"/>
  <c r="R346" i="2"/>
  <c r="R353" i="2"/>
  <c r="R359" i="2"/>
  <c r="R364" i="2" s="1"/>
  <c r="P346" i="2"/>
  <c r="P353" i="2"/>
  <c r="P359" i="2"/>
  <c r="P364" i="2" s="1"/>
  <c r="O346" i="2"/>
  <c r="O353" i="2"/>
  <c r="O359" i="2"/>
  <c r="O364" i="2" s="1"/>
  <c r="Q346" i="2"/>
  <c r="Q353" i="2"/>
  <c r="Q359" i="2"/>
  <c r="Q364" i="2" s="1"/>
  <c r="W346" i="2"/>
  <c r="W353" i="2"/>
  <c r="W359" i="2"/>
  <c r="AM346" i="2"/>
  <c r="AM353" i="2"/>
  <c r="AM359" i="2"/>
  <c r="V359" i="2"/>
  <c r="V346" i="2"/>
  <c r="V353" i="2"/>
  <c r="AV306" i="2" a="1"/>
  <c r="AW357" i="2" l="1"/>
  <c r="AV461" i="2"/>
  <c r="AV463" i="2" s="1"/>
  <c r="AT463" i="2"/>
  <c r="AU461" i="2"/>
  <c r="AU463" i="2" s="1"/>
  <c r="AV306" i="2"/>
  <c r="Z364" i="2"/>
  <c r="Z360" i="2"/>
  <c r="Z381" i="2" s="1"/>
  <c r="AE360" i="2"/>
  <c r="AE381" i="2" s="1"/>
  <c r="W364" i="2"/>
  <c r="W360" i="2"/>
  <c r="W381" i="2" s="1"/>
  <c r="AB360" i="2"/>
  <c r="AB381" i="2" s="1"/>
  <c r="U364" i="2"/>
  <c r="U360" i="2"/>
  <c r="U381" i="2" s="1"/>
  <c r="Y364" i="2"/>
  <c r="Y360" i="2"/>
  <c r="Y381" i="2" s="1"/>
  <c r="AD360" i="2"/>
  <c r="AD381" i="2" s="1"/>
  <c r="T364" i="2"/>
  <c r="T360" i="2"/>
  <c r="T381" i="2" s="1"/>
  <c r="V364" i="2"/>
  <c r="V360" i="2"/>
  <c r="V381" i="2" s="1"/>
  <c r="X364" i="2"/>
  <c r="X360" i="2"/>
  <c r="X381" i="2" s="1"/>
  <c r="AC360" i="2"/>
  <c r="AC381" i="2" s="1"/>
  <c r="AM364" i="2"/>
  <c r="AM360" i="2"/>
  <c r="AM381" i="2" s="1"/>
  <c r="AA364" i="2"/>
  <c r="AA360" i="2"/>
  <c r="AA381" i="2" s="1"/>
  <c r="AF360" i="2"/>
  <c r="AF381" i="2" s="1"/>
  <c r="AU306" i="2" a="1"/>
  <c r="AW461" i="2" l="1"/>
  <c r="AW463" i="2" s="1"/>
  <c r="AX357" i="2"/>
  <c r="AU306" i="2"/>
  <c r="AT306" i="2" a="1"/>
  <c r="AX461" i="2" l="1"/>
  <c r="AX463" i="2" s="1"/>
  <c r="AY357" i="2"/>
  <c r="AT306" i="2"/>
  <c r="AS306" i="2" a="1"/>
  <c r="AY461" i="2" l="1"/>
  <c r="AZ357" i="2"/>
  <c r="AS306" i="2"/>
  <c r="AR306" i="2" a="1"/>
  <c r="AY463" i="2" l="1"/>
  <c r="AZ461" i="2"/>
  <c r="AZ463" i="2" s="1"/>
  <c r="AR306" i="2"/>
  <c r="AQ306" i="2" a="1"/>
  <c r="AQ306" i="2" l="1"/>
  <c r="AP306" i="2" a="1"/>
  <c r="AP306" i="2" l="1"/>
  <c r="AO306" i="2" a="1"/>
  <c r="AO306" i="2" l="1"/>
  <c r="AN306" i="2" a="1"/>
  <c r="AN306" i="2" l="1"/>
  <c r="AZ303" i="2" a="1"/>
  <c r="AZ303" i="2" l="1"/>
  <c r="AY303" i="2" a="1"/>
  <c r="AY303" i="2" l="1"/>
  <c r="AX303" i="2" a="1"/>
  <c r="AX303" i="2" l="1"/>
  <c r="AW303" i="2" a="1"/>
  <c r="AW303" i="2" l="1"/>
  <c r="AV303" i="2" a="1"/>
  <c r="AV303" i="2" l="1"/>
  <c r="AU303" i="2" a="1"/>
  <c r="AU303" i="2" l="1"/>
  <c r="AT303" i="2" a="1"/>
  <c r="AT303" i="2" l="1"/>
  <c r="AS303" i="2" a="1"/>
  <c r="AS303" i="2" l="1"/>
  <c r="AR303" i="2" a="1"/>
  <c r="AR303" i="2" l="1"/>
  <c r="AQ303" i="2" a="1"/>
  <c r="AQ303" i="2" l="1"/>
  <c r="AP303" i="2" a="1"/>
  <c r="AP303" i="2" l="1"/>
  <c r="AO303" i="2" a="1"/>
  <c r="AO303" i="2" l="1"/>
  <c r="AN303" i="2" a="1"/>
  <c r="AN303" i="2" l="1"/>
  <c r="AZ300" i="2" a="1"/>
  <c r="AZ300" i="2" l="1"/>
  <c r="AY300" i="2" a="1"/>
  <c r="AY300" i="2" l="1"/>
  <c r="AX300" i="2" a="1"/>
  <c r="AX300" i="2" l="1"/>
  <c r="AW300" i="2" a="1"/>
  <c r="AW300" i="2" l="1"/>
  <c r="AV300" i="2" a="1"/>
  <c r="AV300" i="2" l="1"/>
  <c r="AU300" i="2" a="1"/>
  <c r="AU300" i="2" l="1"/>
  <c r="AT300" i="2" a="1"/>
  <c r="AT300" i="2" l="1"/>
  <c r="AS300" i="2" a="1"/>
  <c r="AS300" i="2" l="1"/>
  <c r="AR300" i="2" a="1"/>
  <c r="AR300" i="2" l="1"/>
  <c r="AQ300" i="2" a="1"/>
  <c r="AQ300" i="2" l="1"/>
  <c r="AP300" i="2" a="1"/>
  <c r="AP300" i="2" l="1"/>
  <c r="AO300" i="2" a="1"/>
  <c r="AO300" i="2" l="1"/>
  <c r="AN300" i="2" a="1"/>
  <c r="AN300" i="2" l="1"/>
  <c r="AZ297" i="2" a="1"/>
  <c r="AZ297" i="2" l="1"/>
  <c r="AY297" i="2" a="1"/>
  <c r="AY297" i="2" l="1"/>
  <c r="AX297" i="2" a="1"/>
  <c r="AX297" i="2" l="1"/>
  <c r="AW297" i="2" a="1"/>
  <c r="AW297" i="2" l="1"/>
  <c r="AV297" i="2" a="1"/>
  <c r="AV297" i="2" l="1"/>
  <c r="AU297" i="2" a="1"/>
  <c r="AU297" i="2" l="1"/>
  <c r="AT297" i="2" a="1"/>
  <c r="AT297" i="2" l="1"/>
  <c r="AS297" i="2" a="1"/>
  <c r="AS297" i="2" l="1"/>
  <c r="AR297" i="2" a="1"/>
  <c r="AR297" i="2" l="1"/>
  <c r="AQ297" i="2" a="1"/>
  <c r="AQ297" i="2" l="1"/>
  <c r="AP297" i="2" a="1"/>
  <c r="AP297" i="2" l="1"/>
  <c r="AO297" i="2" a="1"/>
  <c r="AO297" i="2" l="1"/>
  <c r="AN297" i="2" a="1"/>
  <c r="AN297" i="2" l="1"/>
  <c r="AZ294" i="2" a="1"/>
  <c r="AZ294" i="2" l="1"/>
  <c r="AY294" i="2" a="1"/>
  <c r="AY294" i="2" l="1"/>
  <c r="AX294" i="2" a="1"/>
  <c r="AX294" i="2" l="1"/>
  <c r="AW294" i="2" a="1"/>
  <c r="AW294" i="2" l="1"/>
  <c r="AV294" i="2" a="1"/>
  <c r="AV294" i="2" l="1"/>
  <c r="AU294" i="2" a="1"/>
  <c r="AU294" i="2" l="1"/>
  <c r="AT294" i="2" a="1"/>
  <c r="AT294" i="2" l="1"/>
  <c r="AS294" i="2" a="1"/>
  <c r="AS294" i="2" l="1"/>
  <c r="AR294" i="2" a="1"/>
  <c r="AR294" i="2" l="1"/>
  <c r="AQ294" i="2" a="1"/>
  <c r="AQ294" i="2" l="1"/>
  <c r="AP294" i="2" a="1"/>
  <c r="AP294" i="2" l="1"/>
  <c r="AO294" i="2" a="1"/>
  <c r="AO294" i="2" l="1"/>
  <c r="AN294" i="2" a="1"/>
  <c r="AN294" i="2" l="1"/>
  <c r="AM289" i="2"/>
  <c r="AM298" i="2" s="1"/>
  <c r="AL289" i="2"/>
  <c r="AL298" i="2" s="1"/>
  <c r="AJ289" i="2"/>
  <c r="AJ298" i="2" s="1"/>
  <c r="AI289" i="2"/>
  <c r="AI298" i="2" s="1"/>
  <c r="AH289" i="2"/>
  <c r="AH298" i="2" s="1"/>
  <c r="AG289" i="2"/>
  <c r="AG298" i="2" s="1"/>
  <c r="AF289" i="2"/>
  <c r="AF298" i="2" s="1"/>
  <c r="AE289" i="2"/>
  <c r="AE298" i="2" s="1"/>
  <c r="AD289" i="2"/>
  <c r="AD298" i="2" s="1"/>
  <c r="AC289" i="2"/>
  <c r="AC298" i="2" s="1"/>
  <c r="AB289" i="2"/>
  <c r="AB298" i="2" s="1"/>
  <c r="AJ288" i="2"/>
  <c r="AJ295" i="2" s="1"/>
  <c r="AI288" i="2"/>
  <c r="AI295" i="2" s="1"/>
  <c r="AF288" i="2"/>
  <c r="AF295" i="2" s="1"/>
  <c r="AE288" i="2"/>
  <c r="AE295" i="2" s="1"/>
  <c r="AD288" i="2"/>
  <c r="AD295" i="2" s="1"/>
  <c r="AC288" i="2"/>
  <c r="AC295" i="2" s="1"/>
  <c r="AB288" i="2"/>
  <c r="AB295" i="2" s="1"/>
  <c r="AJ287" i="2"/>
  <c r="AI287" i="2"/>
  <c r="AF287" i="2"/>
  <c r="AE287" i="2"/>
  <c r="AD287" i="2"/>
  <c r="AD292" i="2" s="1"/>
  <c r="AC287" i="2"/>
  <c r="AC292" i="2" s="1"/>
  <c r="AB287" i="2"/>
  <c r="AZ281" i="2" a="1"/>
  <c r="AB290" i="2" l="1"/>
  <c r="AB304" i="2" s="1"/>
  <c r="AF290" i="2"/>
  <c r="AF304" i="2" s="1"/>
  <c r="AE290" i="2"/>
  <c r="AE304" i="2" s="1"/>
  <c r="AJ290" i="2"/>
  <c r="AJ301" i="2" s="1"/>
  <c r="AI290" i="2"/>
  <c r="AI304" i="2" s="1"/>
  <c r="AZ281" i="2"/>
  <c r="R43" i="4" a="1"/>
  <c r="R43" i="4" s="1"/>
  <c r="Q43" i="4" a="1"/>
  <c r="Q43" i="4" s="1"/>
  <c r="AN298" i="2"/>
  <c r="AI299" i="2"/>
  <c r="AC290" i="2"/>
  <c r="AE292" i="2"/>
  <c r="AO298" i="2"/>
  <c r="AJ299" i="2"/>
  <c r="AD290" i="2"/>
  <c r="AF292" i="2"/>
  <c r="V45" i="4" a="1"/>
  <c r="V45" i="4" s="1"/>
  <c r="AI296" i="2"/>
  <c r="P45" i="4" a="1"/>
  <c r="P45" i="4" s="1"/>
  <c r="W45" i="4" a="1"/>
  <c r="W45" i="4" s="1"/>
  <c r="AJ296" i="2"/>
  <c r="AL299" i="2"/>
  <c r="AQ298" i="2"/>
  <c r="Q45" i="4" a="1"/>
  <c r="Q45" i="4" s="1"/>
  <c r="AM299" i="2"/>
  <c r="AR298" i="2"/>
  <c r="AI292" i="2"/>
  <c r="R45" i="4" a="1"/>
  <c r="R45" i="4" s="1"/>
  <c r="AB292" i="2"/>
  <c r="AJ292" i="2"/>
  <c r="S45" i="4" a="1"/>
  <c r="S45" i="4" s="1"/>
  <c r="AG299" i="2"/>
  <c r="AH299" i="2"/>
  <c r="AJ304" i="2" l="1"/>
  <c r="AJ305" i="2" s="1"/>
  <c r="AI301" i="2"/>
  <c r="AN301" i="2" s="1"/>
  <c r="AF301" i="2"/>
  <c r="AB301" i="2"/>
  <c r="AE301" i="2"/>
  <c r="AJ302" i="2" s="1"/>
  <c r="W46" i="4"/>
  <c r="V46" i="4"/>
  <c r="P43" i="4" a="1"/>
  <c r="P43" i="4" s="1"/>
  <c r="V43" i="4" a="1"/>
  <c r="V43" i="4" s="1"/>
  <c r="V44" i="4" s="1"/>
  <c r="AI293" i="2"/>
  <c r="AS298" i="2"/>
  <c r="AW298" i="2"/>
  <c r="AD304" i="2"/>
  <c r="AI305" i="2" s="1"/>
  <c r="AD301" i="2"/>
  <c r="AO301" i="2"/>
  <c r="W43" i="4" a="1"/>
  <c r="W43" i="4" s="1"/>
  <c r="AJ293" i="2"/>
  <c r="AT298" i="2"/>
  <c r="S43" i="4" a="1"/>
  <c r="S43" i="4" s="1"/>
  <c r="AV298" i="2"/>
  <c r="AC304" i="2"/>
  <c r="AC301" i="2"/>
  <c r="W44" i="4" l="1"/>
  <c r="AX298" i="2"/>
  <c r="AS301" i="2"/>
  <c r="AT301" i="2"/>
  <c r="AY298" i="2"/>
  <c r="AI302" i="2"/>
  <c r="AX301" i="2" l="1"/>
  <c r="AY301" i="2"/>
  <c r="AU281" i="2" a="1"/>
  <c r="AU281" i="2" l="1"/>
  <c r="AP281" i="2" a="1"/>
  <c r="AP281" i="2" l="1"/>
  <c r="AK281" i="2" a="1"/>
  <c r="AK281" i="2" l="1"/>
  <c r="AF281" i="2" a="1"/>
  <c r="AF281" i="2" l="1"/>
  <c r="AA281" i="2" a="1"/>
  <c r="AA281" i="2" l="1"/>
  <c r="V281" i="2" a="1"/>
  <c r="V281" i="2" l="1"/>
  <c r="Q281" i="2" a="1"/>
  <c r="Q281" i="2" l="1"/>
  <c r="L281" i="2" a="1"/>
  <c r="L281" i="2" l="1"/>
  <c r="J281" i="2" a="1"/>
  <c r="J281" i="2" l="1"/>
  <c r="I281" i="2" a="1"/>
  <c r="I281" i="2" l="1"/>
  <c r="H281" i="2" a="1"/>
  <c r="H281" i="2" l="1"/>
  <c r="AZ280" i="2" a="1"/>
  <c r="AZ280" i="2" l="1"/>
  <c r="AZ282" i="2" s="1"/>
  <c r="AU280" i="2" a="1"/>
  <c r="AU280" i="2" l="1"/>
  <c r="AU282" i="2" s="1"/>
  <c r="AP280" i="2" a="1"/>
  <c r="AP280" i="2" l="1"/>
  <c r="AP282" i="2" s="1"/>
  <c r="AK280" i="2" a="1"/>
  <c r="AK280" i="2" l="1"/>
  <c r="AK282" i="2" s="1"/>
  <c r="AF280" i="2" a="1"/>
  <c r="AF280" i="2" l="1"/>
  <c r="AF282" i="2" s="1"/>
  <c r="AA280" i="2" a="1"/>
  <c r="AA280" i="2" l="1"/>
  <c r="AA282" i="2" s="1"/>
  <c r="V280" i="2" a="1"/>
  <c r="V280" i="2" l="1"/>
  <c r="V282" i="2" s="1"/>
  <c r="Q280" i="2" a="1"/>
  <c r="Q280" i="2" l="1"/>
  <c r="Q282" i="2" s="1"/>
  <c r="L280" i="2" a="1"/>
  <c r="L280" i="2" l="1"/>
  <c r="L282" i="2" s="1"/>
  <c r="J280" i="2" a="1"/>
  <c r="J280" i="2" l="1"/>
  <c r="J282" i="2" s="1"/>
  <c r="I280" i="2" a="1"/>
  <c r="I280" i="2" l="1"/>
  <c r="I282" i="2" s="1"/>
  <c r="H280" i="2" a="1"/>
  <c r="H280" i="2" l="1"/>
  <c r="H282" i="2" s="1"/>
  <c r="AZ273" i="2" a="1"/>
  <c r="AZ273" i="2" l="1"/>
  <c r="AU273" i="2" a="1"/>
  <c r="AU273" i="2" l="1"/>
  <c r="AP273" i="2" a="1"/>
  <c r="AP273" i="2" l="1"/>
  <c r="AK273" i="2" a="1"/>
  <c r="AK273" i="2" l="1"/>
  <c r="AF273" i="2" a="1"/>
  <c r="AF273" i="2" l="1"/>
  <c r="AA273" i="2" a="1"/>
  <c r="AA273" i="2" l="1"/>
  <c r="V273" i="2" a="1"/>
  <c r="V273" i="2" l="1"/>
  <c r="Q273" i="2" a="1"/>
  <c r="Q273" i="2" l="1"/>
  <c r="L273" i="2" a="1"/>
  <c r="L273" i="2" l="1"/>
  <c r="J273" i="2" a="1"/>
  <c r="J273" i="2" l="1"/>
  <c r="I273" i="2" a="1"/>
  <c r="I273" i="2" l="1"/>
  <c r="H273" i="2" a="1"/>
  <c r="H273" i="2" l="1"/>
  <c r="AZ272" i="2" a="1"/>
  <c r="AZ272" i="2" l="1"/>
  <c r="AZ274" i="2" s="1"/>
  <c r="AU272" i="2" a="1"/>
  <c r="AU272" i="2" l="1"/>
  <c r="AU274" i="2" s="1"/>
  <c r="AP272" i="2" a="1"/>
  <c r="AP272" i="2" l="1"/>
  <c r="AP274" i="2" s="1"/>
  <c r="AK272" i="2" a="1"/>
  <c r="AK272" i="2" l="1"/>
  <c r="AK274" i="2" s="1"/>
  <c r="AF272" i="2" a="1"/>
  <c r="AF272" i="2" l="1"/>
  <c r="AF274" i="2" s="1"/>
  <c r="AA272" i="2" a="1"/>
  <c r="AA272" i="2" l="1"/>
  <c r="AA274" i="2" s="1"/>
  <c r="V272" i="2" a="1"/>
  <c r="V272" i="2" l="1"/>
  <c r="V274" i="2" s="1"/>
  <c r="Q272" i="2" a="1"/>
  <c r="Q272" i="2" l="1"/>
  <c r="Q274" i="2" s="1"/>
  <c r="L272" i="2" a="1"/>
  <c r="L272" i="2" l="1"/>
  <c r="L274" i="2" s="1"/>
  <c r="J272" i="2" a="1"/>
  <c r="J272" i="2" l="1"/>
  <c r="J274" i="2" s="1"/>
  <c r="I272" i="2" a="1"/>
  <c r="I272" i="2" l="1"/>
  <c r="I274" i="2" s="1"/>
  <c r="H272" i="2" a="1"/>
  <c r="H272" i="2" l="1"/>
  <c r="H274" i="2" s="1"/>
  <c r="AZ269" i="2" a="1"/>
  <c r="AZ269" i="2" l="1"/>
  <c r="AU269" i="2" a="1"/>
  <c r="AU269" i="2" l="1"/>
  <c r="AP269" i="2" a="1"/>
  <c r="AP269" i="2" l="1"/>
  <c r="AK269" i="2" a="1"/>
  <c r="AK269" i="2" l="1"/>
  <c r="AF269" i="2" a="1"/>
  <c r="AF269" i="2" l="1"/>
  <c r="AA269" i="2" a="1"/>
  <c r="AA269" i="2" l="1"/>
  <c r="V269" i="2" a="1"/>
  <c r="V269" i="2" l="1"/>
  <c r="Q269" i="2" a="1"/>
  <c r="Q269" i="2" l="1"/>
  <c r="L269" i="2" a="1"/>
  <c r="L269" i="2" l="1"/>
  <c r="J269" i="2" a="1"/>
  <c r="J269" i="2" l="1"/>
  <c r="I269" i="2" a="1"/>
  <c r="I269" i="2" l="1"/>
  <c r="H269" i="2" a="1"/>
  <c r="H269" i="2" l="1"/>
  <c r="AZ268" i="2" a="1"/>
  <c r="AZ268" i="2" l="1"/>
  <c r="AZ270" i="2" s="1"/>
  <c r="AU268" i="2" a="1"/>
  <c r="AU268" i="2" l="1"/>
  <c r="AU270" i="2" s="1"/>
  <c r="AP268" i="2" a="1"/>
  <c r="AP268" i="2" l="1"/>
  <c r="AP270" i="2" s="1"/>
  <c r="AK268" i="2" a="1"/>
  <c r="AK268" i="2" l="1"/>
  <c r="AK270" i="2" s="1"/>
  <c r="AF268" i="2" a="1"/>
  <c r="AF268" i="2" l="1"/>
  <c r="AF270" i="2" s="1"/>
  <c r="AA268" i="2" a="1"/>
  <c r="AA268" i="2" l="1"/>
  <c r="AA270" i="2" s="1"/>
  <c r="V268" i="2" a="1"/>
  <c r="V268" i="2" l="1"/>
  <c r="V270" i="2" s="1"/>
  <c r="Q268" i="2" a="1"/>
  <c r="Q268" i="2" l="1"/>
  <c r="Q270" i="2" s="1"/>
  <c r="L268" i="2" a="1"/>
  <c r="L268" i="2" l="1"/>
  <c r="L270" i="2" s="1"/>
  <c r="J268" i="2" a="1"/>
  <c r="J268" i="2" l="1"/>
  <c r="J270" i="2" s="1"/>
  <c r="I268" i="2" a="1"/>
  <c r="I268" i="2" l="1"/>
  <c r="I270" i="2" s="1"/>
  <c r="H268" i="2" a="1"/>
  <c r="H268" i="2" l="1"/>
  <c r="H270" i="2" s="1"/>
  <c r="P261" i="2"/>
  <c r="U261" i="2" s="1"/>
  <c r="Z261" i="2" s="1"/>
  <c r="AE261" i="2" s="1"/>
  <c r="AJ261" i="2" s="1"/>
  <c r="AO261" i="2" s="1"/>
  <c r="AP261" i="2" s="1"/>
  <c r="O261" i="2"/>
  <c r="T261" i="2" s="1"/>
  <c r="Y261" i="2" s="1"/>
  <c r="AD261" i="2" s="1"/>
  <c r="AI261" i="2" s="1"/>
  <c r="AN261" i="2" s="1"/>
  <c r="N261" i="2"/>
  <c r="S261" i="2" s="1"/>
  <c r="X261" i="2" s="1"/>
  <c r="AC261" i="2" s="1"/>
  <c r="AH261" i="2" s="1"/>
  <c r="AM261" i="2" s="1"/>
  <c r="M261" i="2"/>
  <c r="R261" i="2" s="1"/>
  <c r="W261" i="2" s="1"/>
  <c r="AB261" i="2" s="1"/>
  <c r="AG261" i="2" s="1"/>
  <c r="AL261" i="2" s="1"/>
  <c r="U260" i="2"/>
  <c r="Z260" i="2" s="1"/>
  <c r="AE260" i="2" s="1"/>
  <c r="AJ260" i="2" s="1"/>
  <c r="AO260" i="2" s="1"/>
  <c r="AP260" i="2" s="1"/>
  <c r="T260" i="2"/>
  <c r="Y260" i="2" s="1"/>
  <c r="AD260" i="2" s="1"/>
  <c r="AI260" i="2" s="1"/>
  <c r="AN260" i="2" s="1"/>
  <c r="S260" i="2"/>
  <c r="X260" i="2" s="1"/>
  <c r="AC260" i="2" s="1"/>
  <c r="AH260" i="2" s="1"/>
  <c r="AM260" i="2" s="1"/>
  <c r="R260" i="2"/>
  <c r="W260" i="2" s="1"/>
  <c r="AB260" i="2" s="1"/>
  <c r="AG260" i="2" s="1"/>
  <c r="AL260" i="2" s="1"/>
  <c r="U259" i="2"/>
  <c r="Z259" i="2" s="1"/>
  <c r="AE259" i="2" s="1"/>
  <c r="AJ259" i="2" s="1"/>
  <c r="AO259" i="2" s="1"/>
  <c r="AP259" i="2" s="1"/>
  <c r="T259" i="2"/>
  <c r="Y259" i="2" s="1"/>
  <c r="AD259" i="2" s="1"/>
  <c r="AI259" i="2" s="1"/>
  <c r="AN259" i="2" s="1"/>
  <c r="S259" i="2"/>
  <c r="X259" i="2" s="1"/>
  <c r="AC259" i="2" s="1"/>
  <c r="AH259" i="2" s="1"/>
  <c r="AM259" i="2" s="1"/>
  <c r="R259" i="2"/>
  <c r="W259" i="2" s="1"/>
  <c r="AB259" i="2" s="1"/>
  <c r="AG259" i="2" s="1"/>
  <c r="AL259" i="2" s="1"/>
  <c r="U258" i="2"/>
  <c r="Z258" i="2" s="1"/>
  <c r="AE258" i="2" s="1"/>
  <c r="AJ258" i="2" s="1"/>
  <c r="AO258" i="2" s="1"/>
  <c r="AP258" i="2" s="1"/>
  <c r="T258" i="2"/>
  <c r="Y258" i="2" s="1"/>
  <c r="AD258" i="2" s="1"/>
  <c r="AI258" i="2" s="1"/>
  <c r="AN258" i="2" s="1"/>
  <c r="S258" i="2"/>
  <c r="X258" i="2" s="1"/>
  <c r="AC258" i="2" s="1"/>
  <c r="AH258" i="2" s="1"/>
  <c r="AM258" i="2" s="1"/>
  <c r="R258" i="2"/>
  <c r="W258" i="2" s="1"/>
  <c r="AB258" i="2" s="1"/>
  <c r="AG258" i="2" s="1"/>
  <c r="AL258" i="2" s="1"/>
  <c r="U257" i="2"/>
  <c r="Z257" i="2" s="1"/>
  <c r="AE257" i="2" s="1"/>
  <c r="T257" i="2"/>
  <c r="Y257" i="2" s="1"/>
  <c r="S257" i="2"/>
  <c r="X257" i="2" s="1"/>
  <c r="R257" i="2"/>
  <c r="W257" i="2" s="1"/>
  <c r="AB257" i="2" l="1"/>
  <c r="AD257" i="2"/>
  <c r="AJ257" i="2"/>
  <c r="AC257" i="2"/>
  <c r="AH257" i="2" l="1"/>
  <c r="AO257" i="2"/>
  <c r="AI257" i="2"/>
  <c r="AG257" i="2"/>
  <c r="AL257" i="2" l="1"/>
  <c r="AN257" i="2"/>
  <c r="AP257" i="2"/>
  <c r="AM257" i="2"/>
  <c r="AO246" i="2"/>
  <c r="AP246" i="2" s="1"/>
  <c r="AN246" i="2"/>
  <c r="AM246" i="2"/>
  <c r="AL246" i="2"/>
  <c r="AJ246" i="2"/>
  <c r="AI246" i="2"/>
  <c r="AH246" i="2"/>
  <c r="AG246" i="2"/>
  <c r="AE246" i="2"/>
  <c r="AD246" i="2"/>
  <c r="AC246" i="2"/>
  <c r="AB246" i="2"/>
  <c r="Z246" i="2"/>
  <c r="Y246" i="2"/>
  <c r="X246" i="2"/>
  <c r="W246" i="2"/>
  <c r="U246" i="2"/>
  <c r="T246" i="2"/>
  <c r="S246" i="2"/>
  <c r="R246" i="2"/>
  <c r="P246" i="2"/>
  <c r="O246" i="2"/>
  <c r="N246" i="2"/>
  <c r="M246" i="2"/>
  <c r="AP245" i="2"/>
  <c r="AP244" i="2"/>
  <c r="AP243" i="2"/>
  <c r="S232" i="2"/>
  <c r="R232" i="2"/>
  <c r="P232" i="2"/>
  <c r="O232" i="2"/>
  <c r="AZ229" i="2"/>
  <c r="AY229" i="2"/>
  <c r="AX229" i="2"/>
  <c r="AW229" i="2"/>
  <c r="AV229" i="2"/>
  <c r="AU229" i="2"/>
  <c r="AT229" i="2"/>
  <c r="AS229" i="2"/>
  <c r="AR229" i="2"/>
  <c r="AQ229" i="2"/>
  <c r="AM214" i="2"/>
  <c r="AL214" i="2"/>
  <c r="AH214" i="2"/>
  <c r="AG214" i="2"/>
  <c r="AM213" i="2"/>
  <c r="AL213" i="2"/>
  <c r="AH213" i="2"/>
  <c r="AG213" i="2"/>
  <c r="AM212" i="2"/>
  <c r="AL212" i="2"/>
  <c r="AH212" i="2"/>
  <c r="AG212" i="2"/>
  <c r="AM208" i="2"/>
  <c r="AM232" i="2" s="1"/>
  <c r="AL208" i="2"/>
  <c r="AL232" i="2" s="1"/>
  <c r="AJ208" i="2"/>
  <c r="AJ232" i="2" s="1"/>
  <c r="AI208" i="2"/>
  <c r="AI232" i="2" s="1"/>
  <c r="AH208" i="2"/>
  <c r="AH232" i="2" s="1"/>
  <c r="AG208" i="2"/>
  <c r="AG232" i="2" s="1"/>
  <c r="AE208" i="2"/>
  <c r="AE232" i="2" s="1"/>
  <c r="AD208" i="2"/>
  <c r="AD232" i="2" s="1"/>
  <c r="AC208" i="2"/>
  <c r="AC232" i="2" s="1"/>
  <c r="AB208" i="2"/>
  <c r="AB232" i="2" s="1"/>
  <c r="Z208" i="2"/>
  <c r="Z232" i="2" s="1"/>
  <c r="Y208" i="2"/>
  <c r="Y232" i="2" s="1"/>
  <c r="X208" i="2"/>
  <c r="X232" i="2" s="1"/>
  <c r="W208" i="2"/>
  <c r="W232" i="2" s="1"/>
  <c r="U208" i="2"/>
  <c r="U232" i="2" s="1"/>
  <c r="T208" i="2"/>
  <c r="T232" i="2" s="1"/>
  <c r="AJ204" i="2"/>
  <c r="AI204" i="2"/>
  <c r="AF204" i="2"/>
  <c r="AE204" i="2"/>
  <c r="AD204" i="2"/>
  <c r="AC204" i="2"/>
  <c r="AB204" i="2"/>
  <c r="S199" i="2"/>
  <c r="R199" i="2"/>
  <c r="Q199" i="2"/>
  <c r="P199" i="2"/>
  <c r="O199" i="2"/>
  <c r="AZ196" i="2"/>
  <c r="AY196" i="2"/>
  <c r="AX196" i="2"/>
  <c r="AW196" i="2"/>
  <c r="AV196" i="2"/>
  <c r="AU196" i="2"/>
  <c r="AT196" i="2"/>
  <c r="AS196" i="2"/>
  <c r="AR196" i="2"/>
  <c r="AQ196" i="2"/>
  <c r="AY189" i="2"/>
  <c r="AY195" i="2" s="1"/>
  <c r="AX189" i="2"/>
  <c r="AX195" i="2" s="1"/>
  <c r="AW189" i="2"/>
  <c r="AW195" i="2" s="1"/>
  <c r="AV189" i="2"/>
  <c r="AV195" i="2" s="1"/>
  <c r="AT189" i="2"/>
  <c r="AT195" i="2" s="1"/>
  <c r="AS189" i="2"/>
  <c r="AS195" i="2" s="1"/>
  <c r="AR189" i="2"/>
  <c r="AR195" i="2" s="1"/>
  <c r="AQ189" i="2"/>
  <c r="AQ195" i="2" s="1"/>
  <c r="AO189" i="2"/>
  <c r="AO195" i="2" s="1"/>
  <c r="AN189" i="2"/>
  <c r="AN195" i="2" s="1"/>
  <c r="AY188" i="2"/>
  <c r="AY194" i="2" s="1"/>
  <c r="AX188" i="2"/>
  <c r="AX194" i="2" s="1"/>
  <c r="AW188" i="2"/>
  <c r="AW194" i="2" s="1"/>
  <c r="AV188" i="2"/>
  <c r="AV194" i="2" s="1"/>
  <c r="AT188" i="2"/>
  <c r="AT194" i="2" s="1"/>
  <c r="AS188" i="2"/>
  <c r="AS194" i="2" s="1"/>
  <c r="AR188" i="2"/>
  <c r="AR194" i="2" s="1"/>
  <c r="AQ188" i="2"/>
  <c r="AQ194" i="2" s="1"/>
  <c r="AO188" i="2"/>
  <c r="AO194" i="2" s="1"/>
  <c r="AN188" i="2"/>
  <c r="AN194" i="2" s="1"/>
  <c r="AN186" i="2"/>
  <c r="AJ185" i="2"/>
  <c r="AI185" i="2"/>
  <c r="AF185" i="2"/>
  <c r="AE185" i="2"/>
  <c r="AD185" i="2"/>
  <c r="AC185" i="2"/>
  <c r="AB185" i="2"/>
  <c r="AM169" i="2" a="1"/>
  <c r="AV198" i="2" l="1"/>
  <c r="AV186" i="2" s="1"/>
  <c r="AW198" i="2"/>
  <c r="AW186" i="2" s="1"/>
  <c r="AH216" i="2"/>
  <c r="AH217" i="2" s="1"/>
  <c r="AS198" i="2"/>
  <c r="AS186" i="2" s="1"/>
  <c r="AT198" i="2"/>
  <c r="AT186" i="2" s="1"/>
  <c r="AM216" i="2"/>
  <c r="AM217" i="2" s="1"/>
  <c r="AR198" i="2"/>
  <c r="AR186" i="2" s="1"/>
  <c r="AJ205" i="2"/>
  <c r="AG216" i="2"/>
  <c r="AG217" i="2" s="1"/>
  <c r="AN185" i="2"/>
  <c r="AX198" i="2"/>
  <c r="AX186" i="2" s="1"/>
  <c r="AI205" i="2"/>
  <c r="AY198" i="2"/>
  <c r="AY186" i="2" s="1"/>
  <c r="AI186" i="2"/>
  <c r="AI199" i="2" s="1"/>
  <c r="AM169" i="2"/>
  <c r="AJ186" i="2"/>
  <c r="AJ199" i="2" s="1"/>
  <c r="AQ198" i="2"/>
  <c r="AQ186" i="2" s="1"/>
  <c r="AL216" i="2"/>
  <c r="AL169" i="2" a="1"/>
  <c r="AS185" i="2" l="1"/>
  <c r="AX185" i="2" s="1"/>
  <c r="AX292" i="2" s="1"/>
  <c r="AN292" i="2"/>
  <c r="AN293" i="2" s="1"/>
  <c r="AL169" i="2"/>
  <c r="AL217" i="2"/>
  <c r="AK169" i="2" a="1"/>
  <c r="AS292" i="2" l="1"/>
  <c r="AX293" i="2" s="1"/>
  <c r="AK169" i="2"/>
  <c r="AJ169" i="2" a="1"/>
  <c r="AS293" i="2" l="1"/>
  <c r="AJ169" i="2"/>
  <c r="AK177" i="2"/>
  <c r="AK175" i="2"/>
  <c r="AK176" i="2"/>
  <c r="AK173" i="2"/>
  <c r="AK178" i="2" s="1"/>
  <c r="AI169" i="2" a="1"/>
  <c r="AI169" i="2" l="1"/>
  <c r="AH169" i="2" a="1"/>
  <c r="AH169" i="2" l="1"/>
  <c r="AG169" i="2" a="1"/>
  <c r="AG169" i="2" l="1"/>
  <c r="AF169" i="2" a="1"/>
  <c r="AF169" i="2" l="1"/>
  <c r="AE169" i="2" a="1"/>
  <c r="AE169" i="2" l="1"/>
  <c r="AF173" i="2"/>
  <c r="AF178" i="2" s="1"/>
  <c r="AF177" i="2"/>
  <c r="AF175" i="2"/>
  <c r="AF176" i="2"/>
  <c r="AD169" i="2" a="1"/>
  <c r="AD169" i="2" l="1"/>
  <c r="AC169" i="2" a="1"/>
  <c r="AC169" i="2" l="1"/>
  <c r="AB169" i="2" a="1"/>
  <c r="AB169" i="2" l="1"/>
  <c r="AA169" i="2" a="1"/>
  <c r="AA169" i="2" l="1"/>
  <c r="Z169" i="2" a="1"/>
  <c r="Z169" i="2" l="1"/>
  <c r="AA173" i="2"/>
  <c r="AA178" i="2" s="1"/>
  <c r="AA177" i="2"/>
  <c r="AA175" i="2"/>
  <c r="AA176" i="2"/>
  <c r="Y169" i="2" a="1"/>
  <c r="Y169" i="2" l="1"/>
  <c r="X169" i="2" a="1"/>
  <c r="X169" i="2" l="1"/>
  <c r="W169" i="2" a="1"/>
  <c r="W169" i="2" l="1"/>
  <c r="V169" i="2" a="1"/>
  <c r="V169" i="2" l="1"/>
  <c r="U169" i="2" a="1"/>
  <c r="U169" i="2" l="1"/>
  <c r="V176" i="2"/>
  <c r="V173" i="2"/>
  <c r="V178" i="2" s="1"/>
  <c r="V177" i="2"/>
  <c r="V175" i="2"/>
  <c r="T169" i="2" a="1"/>
  <c r="T169" i="2" l="1"/>
  <c r="S169" i="2" a="1"/>
  <c r="S169" i="2" l="1"/>
  <c r="R169" i="2" a="1"/>
  <c r="R169" i="2" l="1"/>
  <c r="Q169" i="2" a="1"/>
  <c r="Q169" i="2" l="1"/>
  <c r="P169" i="2" a="1"/>
  <c r="P169" i="2" l="1"/>
  <c r="Q173" i="2"/>
  <c r="Q178" i="2" s="1"/>
  <c r="Q176" i="2"/>
  <c r="Q175" i="2"/>
  <c r="Q177" i="2"/>
  <c r="O169" i="2" a="1"/>
  <c r="O169" i="2" l="1"/>
  <c r="AM153" i="2" l="1"/>
  <c r="AL153" i="2"/>
  <c r="AK153" i="2"/>
  <c r="AJ153" i="2"/>
  <c r="AI153" i="2"/>
  <c r="AH153" i="2"/>
  <c r="AG153" i="2"/>
  <c r="AF153" i="2"/>
  <c r="AE153" i="2"/>
  <c r="AD153" i="2"/>
  <c r="AC153" i="2"/>
  <c r="AB153" i="2"/>
  <c r="AA153" i="2"/>
  <c r="Z153" i="2"/>
  <c r="Y153" i="2"/>
  <c r="X153" i="2"/>
  <c r="W153" i="2"/>
  <c r="V153" i="2"/>
  <c r="U153" i="2"/>
  <c r="T153" i="2"/>
  <c r="AZ152" i="2" a="1"/>
  <c r="AZ152" i="2" l="1"/>
  <c r="AY152" i="2" a="1"/>
  <c r="AY152" i="2" l="1"/>
  <c r="AX152" i="2" a="1"/>
  <c r="AX152" i="2" l="1"/>
  <c r="AW152" i="2" a="1"/>
  <c r="AW152" i="2" l="1"/>
  <c r="AV152" i="2" a="1"/>
  <c r="AV152" i="2" l="1"/>
  <c r="AU152" i="2" a="1"/>
  <c r="AU152" i="2" l="1"/>
  <c r="AT152" i="2" a="1"/>
  <c r="AT152" i="2" l="1"/>
  <c r="AS152" i="2" a="1"/>
  <c r="AS152" i="2" l="1"/>
  <c r="AR152" i="2" a="1"/>
  <c r="AR152" i="2" l="1"/>
  <c r="AQ152" i="2" a="1"/>
  <c r="AQ152" i="2" l="1"/>
  <c r="AP152" i="2" a="1"/>
  <c r="AP152" i="2" l="1"/>
  <c r="AO152" i="2" a="1"/>
  <c r="AO152" i="2" l="1"/>
  <c r="AN152" i="2" a="1"/>
  <c r="AN152" i="2" l="1"/>
  <c r="AM152" i="2" a="1"/>
  <c r="AM152" i="2" l="1"/>
  <c r="AL152" i="2" a="1"/>
  <c r="AL152" i="2" l="1"/>
  <c r="AK152" i="2" a="1"/>
  <c r="AK152" i="2" l="1"/>
  <c r="AJ152" i="2" a="1"/>
  <c r="AJ152" i="2" l="1"/>
  <c r="AI152" i="2" a="1"/>
  <c r="AI152" i="2" l="1"/>
  <c r="AH152" i="2" a="1"/>
  <c r="AH152" i="2" l="1"/>
  <c r="AG152" i="2" a="1"/>
  <c r="AG152" i="2" l="1"/>
  <c r="AF152" i="2" a="1"/>
  <c r="AF152" i="2" l="1"/>
  <c r="AE152" i="2" a="1"/>
  <c r="AE152" i="2" l="1"/>
  <c r="AD152" i="2" a="1"/>
  <c r="AD152" i="2" l="1"/>
  <c r="AC152" i="2" a="1"/>
  <c r="AC152" i="2" l="1"/>
  <c r="AB152" i="2" a="1"/>
  <c r="AB152" i="2" l="1"/>
  <c r="AA152" i="2" a="1"/>
  <c r="AA152" i="2" l="1"/>
  <c r="Z152" i="2" a="1"/>
  <c r="Z152" i="2" l="1"/>
  <c r="Y152" i="2" a="1"/>
  <c r="Y152" i="2" l="1"/>
  <c r="X152" i="2" a="1"/>
  <c r="X152" i="2" l="1"/>
  <c r="W152" i="2" a="1"/>
  <c r="W152" i="2" l="1"/>
  <c r="V152" i="2" a="1"/>
  <c r="V152" i="2" l="1"/>
  <c r="U152" i="2" a="1"/>
  <c r="U152" i="2" l="1"/>
  <c r="T152" i="2" a="1"/>
  <c r="T152" i="2" l="1"/>
  <c r="S152" i="2" a="1"/>
  <c r="S152" i="2" l="1"/>
  <c r="R152" i="2" a="1"/>
  <c r="R152" i="2" l="1"/>
  <c r="Q152" i="2" a="1"/>
  <c r="Q152" i="2" l="1"/>
  <c r="P152" i="2" a="1"/>
  <c r="P152" i="2" l="1"/>
  <c r="O152" i="2" a="1"/>
  <c r="O152" i="2" l="1"/>
  <c r="AZ149" i="2" a="1"/>
  <c r="AZ149" i="2" l="1"/>
  <c r="AZ155" i="2" s="1"/>
  <c r="AZ159" i="2" s="1"/>
  <c r="AY149" i="2" a="1"/>
  <c r="AY149" i="2" l="1"/>
  <c r="AY155" i="2" s="1"/>
  <c r="AY159" i="2" s="1"/>
  <c r="AX149" i="2" a="1"/>
  <c r="AX149" i="2" l="1"/>
  <c r="AX155" i="2" s="1"/>
  <c r="AX159" i="2" s="1"/>
  <c r="AW149" i="2" a="1"/>
  <c r="AW149" i="2" l="1"/>
  <c r="AW155" i="2" s="1"/>
  <c r="AW159" i="2" s="1"/>
  <c r="AV149" i="2" a="1"/>
  <c r="AV149" i="2" l="1"/>
  <c r="AV155" i="2" s="1"/>
  <c r="AV159" i="2" s="1"/>
  <c r="AU149" i="2" a="1"/>
  <c r="AU149" i="2" l="1"/>
  <c r="AU155" i="2" s="1"/>
  <c r="AU159" i="2" s="1"/>
  <c r="AT149" i="2" a="1"/>
  <c r="AT149" i="2" l="1"/>
  <c r="AT155" i="2" s="1"/>
  <c r="AT159" i="2" s="1"/>
  <c r="AZ160" i="2"/>
  <c r="AS149" i="2" a="1"/>
  <c r="AS149" i="2" l="1"/>
  <c r="AS155" i="2" s="1"/>
  <c r="AS159" i="2" s="1"/>
  <c r="AY160" i="2"/>
  <c r="AR149" i="2" a="1"/>
  <c r="AR149" i="2" l="1"/>
  <c r="AR155" i="2" s="1"/>
  <c r="AR159" i="2" s="1"/>
  <c r="AX160" i="2"/>
  <c r="AQ149" i="2" a="1"/>
  <c r="AQ149" i="2" l="1"/>
  <c r="AQ155" i="2" s="1"/>
  <c r="AQ159" i="2" s="1"/>
  <c r="AW160" i="2"/>
  <c r="AP149" i="2" a="1"/>
  <c r="AP149" i="2" l="1"/>
  <c r="AP155" i="2" s="1"/>
  <c r="AP159" i="2" s="1"/>
  <c r="AV160" i="2"/>
  <c r="AO149" i="2" a="1"/>
  <c r="AO149" i="2" l="1"/>
  <c r="AO155" i="2" s="1"/>
  <c r="AO159" i="2" s="1"/>
  <c r="AU160" i="2"/>
  <c r="AN149" i="2" a="1"/>
  <c r="AN149" i="2" l="1"/>
  <c r="AN155" i="2" s="1"/>
  <c r="AN159" i="2" s="1"/>
  <c r="AT160" i="2"/>
  <c r="AM149" i="2" a="1"/>
  <c r="AM149" i="2" l="1"/>
  <c r="AM155" i="2" s="1"/>
  <c r="AM159" i="2" s="1"/>
  <c r="AS160" i="2"/>
  <c r="AL149" i="2" a="1"/>
  <c r="AL149" i="2" l="1"/>
  <c r="AL155" i="2" s="1"/>
  <c r="AL159" i="2" s="1"/>
  <c r="AR160" i="2"/>
  <c r="AK149" i="2" a="1"/>
  <c r="AK149" i="2" l="1"/>
  <c r="AK155" i="2" s="1"/>
  <c r="AK159" i="2" s="1"/>
  <c r="AQ160" i="2"/>
  <c r="AJ149" i="2" a="1"/>
  <c r="AJ149" i="2" l="1"/>
  <c r="AJ155" i="2" s="1"/>
  <c r="AJ159" i="2" s="1"/>
  <c r="AP160" i="2"/>
  <c r="AI149" i="2" a="1"/>
  <c r="AI149" i="2" l="1"/>
  <c r="AI155" i="2" s="1"/>
  <c r="AI159" i="2" s="1"/>
  <c r="AO160" i="2"/>
  <c r="AH149" i="2" a="1"/>
  <c r="AH149" i="2" l="1"/>
  <c r="AH155" i="2" s="1"/>
  <c r="AH159" i="2" s="1"/>
  <c r="AN160" i="2"/>
  <c r="AG149" i="2" a="1"/>
  <c r="AG149" i="2" l="1"/>
  <c r="AG155" i="2" s="1"/>
  <c r="AG159" i="2" s="1"/>
  <c r="AM160" i="2"/>
  <c r="AF149" i="2" a="1"/>
  <c r="AF149" i="2" l="1"/>
  <c r="AF155" i="2" s="1"/>
  <c r="AF159" i="2" s="1"/>
  <c r="AL160" i="2"/>
  <c r="AE149" i="2" a="1"/>
  <c r="AE149" i="2" l="1"/>
  <c r="AE155" i="2" s="1"/>
  <c r="AE159" i="2" s="1"/>
  <c r="AK160" i="2"/>
  <c r="AD149" i="2" a="1"/>
  <c r="AD149" i="2" l="1"/>
  <c r="AD155" i="2" s="1"/>
  <c r="AD159" i="2" s="1"/>
  <c r="AJ160" i="2"/>
  <c r="AC149" i="2" a="1"/>
  <c r="AC149" i="2" l="1"/>
  <c r="AC155" i="2" s="1"/>
  <c r="AC159" i="2" s="1"/>
  <c r="AI160" i="2"/>
  <c r="AB149" i="2" a="1"/>
  <c r="AB149" i="2" l="1"/>
  <c r="AB155" i="2" s="1"/>
  <c r="AB159" i="2" s="1"/>
  <c r="AH160" i="2"/>
  <c r="AA149" i="2" a="1"/>
  <c r="AA149" i="2" l="1"/>
  <c r="AA155" i="2" s="1"/>
  <c r="AA159" i="2" s="1"/>
  <c r="AG160" i="2"/>
  <c r="Z149" i="2" a="1"/>
  <c r="Z149" i="2" l="1"/>
  <c r="Z155" i="2" s="1"/>
  <c r="Z159" i="2" s="1"/>
  <c r="AF160" i="2"/>
  <c r="Y149" i="2" a="1"/>
  <c r="Y149" i="2" l="1"/>
  <c r="Y155" i="2" s="1"/>
  <c r="Y159" i="2" s="1"/>
  <c r="AE160" i="2"/>
  <c r="X149" i="2" a="1"/>
  <c r="X149" i="2" l="1"/>
  <c r="X155" i="2" s="1"/>
  <c r="X159" i="2" s="1"/>
  <c r="AD160" i="2"/>
  <c r="W149" i="2" a="1"/>
  <c r="W149" i="2" l="1"/>
  <c r="W155" i="2" s="1"/>
  <c r="W159" i="2" s="1"/>
  <c r="AC160" i="2"/>
  <c r="V149" i="2" a="1"/>
  <c r="V149" i="2" l="1"/>
  <c r="V155" i="2" s="1"/>
  <c r="V159" i="2" s="1"/>
  <c r="AB160" i="2"/>
  <c r="U149" i="2" a="1"/>
  <c r="U149" i="2" l="1"/>
  <c r="U155" i="2" s="1"/>
  <c r="U159" i="2" s="1"/>
  <c r="AA160" i="2"/>
  <c r="T149" i="2" a="1"/>
  <c r="T149" i="2" l="1"/>
  <c r="T155" i="2" s="1"/>
  <c r="T159" i="2" s="1"/>
  <c r="Z160" i="2"/>
  <c r="S149" i="2" a="1"/>
  <c r="S149" i="2" l="1"/>
  <c r="S155" i="2" s="1"/>
  <c r="S159" i="2" s="1"/>
  <c r="Y160" i="2"/>
  <c r="R149" i="2" a="1"/>
  <c r="R149" i="2" l="1"/>
  <c r="R155" i="2" s="1"/>
  <c r="R159" i="2" s="1"/>
  <c r="S160" i="2"/>
  <c r="X160" i="2"/>
  <c r="Q149" i="2" a="1"/>
  <c r="Q149" i="2" l="1"/>
  <c r="Q155" i="2" s="1"/>
  <c r="Q159" i="2" s="1"/>
  <c r="R160" i="2"/>
  <c r="W160" i="2"/>
  <c r="P149" i="2" a="1"/>
  <c r="P149" i="2" l="1"/>
  <c r="P155" i="2" s="1"/>
  <c r="P159" i="2" s="1"/>
  <c r="Q160" i="2"/>
  <c r="V160" i="2"/>
  <c r="O149" i="2" a="1"/>
  <c r="O149" i="2" l="1"/>
  <c r="O155" i="2" s="1"/>
  <c r="O159" i="2" s="1"/>
  <c r="P160" i="2"/>
  <c r="U160" i="2"/>
  <c r="AE148" i="2"/>
  <c r="AD148" i="2"/>
  <c r="AC148" i="2"/>
  <c r="AB148" i="2"/>
  <c r="AE139" i="2"/>
  <c r="AD139" i="2"/>
  <c r="AC139" i="2"/>
  <c r="AB139" i="2"/>
  <c r="AE137" i="2"/>
  <c r="AD137" i="2"/>
  <c r="AC137" i="2"/>
  <c r="AB137" i="2"/>
  <c r="AM131" i="2"/>
  <c r="Y6" i="4" s="1" a="1"/>
  <c r="Y6" i="4" s="1"/>
  <c r="AL131" i="2"/>
  <c r="X6" i="4" s="1" a="1"/>
  <c r="X6" i="4" s="1"/>
  <c r="AH131" i="2"/>
  <c r="U6" i="4" s="1" a="1"/>
  <c r="U6" i="4" s="1"/>
  <c r="AG131" i="2"/>
  <c r="T6" i="4" s="1" a="1"/>
  <c r="T6" i="4" s="1"/>
  <c r="Q131" i="2"/>
  <c r="N131" i="2"/>
  <c r="E6" i="4" s="1" a="1"/>
  <c r="E6" i="4" s="1"/>
  <c r="M131" i="2"/>
  <c r="D6" i="4" s="1" a="1"/>
  <c r="D6" i="4" s="1"/>
  <c r="V130" i="2"/>
  <c r="Q130" i="2"/>
  <c r="L130" i="2"/>
  <c r="G130" i="2"/>
  <c r="F130" i="2"/>
  <c r="E130" i="2"/>
  <c r="AZ125" i="2" a="1"/>
  <c r="AZ125" i="2" l="1"/>
  <c r="AB429" i="2"/>
  <c r="AB432" i="2" s="1"/>
  <c r="AB181" i="2"/>
  <c r="AB154" i="2"/>
  <c r="AB157" i="2"/>
  <c r="AC429" i="2"/>
  <c r="AC432" i="2" s="1"/>
  <c r="AC181" i="2"/>
  <c r="AC154" i="2"/>
  <c r="AC157" i="2"/>
  <c r="AD429" i="2"/>
  <c r="AD432" i="2" s="1"/>
  <c r="AD181" i="2"/>
  <c r="AD157" i="2"/>
  <c r="AD154" i="2"/>
  <c r="AE429" i="2"/>
  <c r="AE432" i="2" s="1"/>
  <c r="AE181" i="2"/>
  <c r="AE157" i="2"/>
  <c r="AE154" i="2"/>
  <c r="O160" i="2"/>
  <c r="T160" i="2"/>
  <c r="AB161" i="2" l="1"/>
  <c r="AC161" i="2"/>
  <c r="AE161" i="2"/>
  <c r="AD161" i="2"/>
  <c r="AU125" i="2" a="1"/>
  <c r="AU125" i="2" l="1"/>
  <c r="AP125" i="2" a="1"/>
  <c r="AP125" i="2" l="1"/>
  <c r="AK125" i="2" a="1"/>
  <c r="AK125" i="2" l="1"/>
  <c r="AF125" i="2" a="1"/>
  <c r="AF125" i="2" l="1"/>
  <c r="AA125" i="2" a="1"/>
  <c r="AA125" i="2" l="1"/>
  <c r="V125" i="2" a="1"/>
  <c r="V125" i="2" l="1"/>
  <c r="AZ124" i="2" a="1"/>
  <c r="AZ124" i="2" l="1"/>
  <c r="AU124" i="2" a="1"/>
  <c r="AU124" i="2" l="1"/>
  <c r="AP124" i="2" a="1"/>
  <c r="AP124" i="2" l="1"/>
  <c r="AK124" i="2" a="1"/>
  <c r="AK124" i="2" l="1"/>
  <c r="AF124" i="2" a="1"/>
  <c r="AF124" i="2" l="1"/>
  <c r="AA124" i="2" a="1"/>
  <c r="AA124" i="2" l="1"/>
  <c r="V124" i="2" a="1"/>
  <c r="V124" i="2" l="1"/>
  <c r="AZ123" i="2" a="1"/>
  <c r="AZ123" i="2" l="1"/>
  <c r="AU123" i="2" a="1"/>
  <c r="AU123" i="2" l="1"/>
  <c r="AP123" i="2" a="1"/>
  <c r="AP123" i="2" l="1"/>
  <c r="AK123" i="2" a="1"/>
  <c r="AK123" i="2" l="1"/>
  <c r="AF123" i="2" a="1"/>
  <c r="AF123" i="2" l="1"/>
  <c r="AA123" i="2" a="1"/>
  <c r="AA123" i="2" l="1"/>
  <c r="V123" i="2" a="1"/>
  <c r="V123" i="2" l="1"/>
  <c r="AZ121" i="2"/>
  <c r="AU121" i="2"/>
  <c r="AP121" i="2"/>
  <c r="AO121" i="2"/>
  <c r="AN121" i="2"/>
  <c r="AM121" i="2"/>
  <c r="AL121" i="2"/>
  <c r="AK121" i="2"/>
  <c r="AJ121" i="2"/>
  <c r="AI121" i="2"/>
  <c r="AH121" i="2"/>
  <c r="AG121" i="2"/>
  <c r="AF121" i="2"/>
  <c r="AE121" i="2"/>
  <c r="AD121" i="2"/>
  <c r="AC121" i="2"/>
  <c r="AB121" i="2"/>
  <c r="AA117" i="2"/>
  <c r="Z114" i="2"/>
  <c r="AK117" i="2" l="1"/>
  <c r="AF117" i="2" l="1"/>
  <c r="AZ111" i="2"/>
  <c r="AU111" i="2"/>
  <c r="AU110" i="2" s="1"/>
  <c r="AK110" i="2"/>
  <c r="AP111" i="2" s="1"/>
  <c r="AF110" i="2"/>
  <c r="AA110" i="2"/>
  <c r="AZ106" i="2" a="1"/>
  <c r="AZ110" i="2" l="1"/>
  <c r="AZ106" i="2"/>
  <c r="AU106" i="2" a="1"/>
  <c r="AU106" i="2" l="1"/>
  <c r="AP106" i="2" a="1"/>
  <c r="AP106" i="2" l="1"/>
  <c r="AK106" i="2" a="1"/>
  <c r="AK106" i="2" l="1"/>
  <c r="AF106" i="2" a="1"/>
  <c r="AF106" i="2" l="1"/>
  <c r="AA106" i="2" a="1"/>
  <c r="AA106" i="2" l="1"/>
  <c r="V106" i="2" a="1"/>
  <c r="V106" i="2" l="1"/>
  <c r="Q106" i="2" a="1"/>
  <c r="Q106" i="2" l="1"/>
  <c r="L106" i="2" a="1"/>
  <c r="L106" i="2" l="1"/>
  <c r="J106" i="2" a="1"/>
  <c r="J106" i="2" l="1"/>
  <c r="I106" i="2" a="1"/>
  <c r="I106" i="2" l="1"/>
  <c r="H106" i="2" a="1"/>
  <c r="H106" i="2" l="1"/>
  <c r="G106" i="2" a="1"/>
  <c r="G106" i="2" l="1"/>
  <c r="F106" i="2" a="1"/>
  <c r="F106" i="2" l="1"/>
  <c r="E106" i="2" a="1"/>
  <c r="E106" i="2" l="1"/>
  <c r="AZ105" i="2" a="1"/>
  <c r="AZ105" i="2" l="1"/>
  <c r="AU105" i="2" a="1"/>
  <c r="AU105" i="2" l="1"/>
  <c r="AP105" i="2" a="1"/>
  <c r="AP105" i="2" l="1"/>
  <c r="AK105" i="2" a="1"/>
  <c r="AK105" i="2" l="1"/>
  <c r="AF105" i="2" a="1"/>
  <c r="AF105" i="2" l="1"/>
  <c r="AA105" i="2" a="1"/>
  <c r="AA105" i="2" l="1"/>
  <c r="V105" i="2" a="1"/>
  <c r="V105" i="2" l="1"/>
  <c r="Q105" i="2" a="1"/>
  <c r="Q105" i="2" l="1"/>
  <c r="L105" i="2" a="1"/>
  <c r="L105" i="2" l="1"/>
  <c r="J105" i="2" a="1"/>
  <c r="J105" i="2" l="1"/>
  <c r="I105" i="2" a="1"/>
  <c r="I105" i="2" l="1"/>
  <c r="H105" i="2" a="1"/>
  <c r="H105" i="2" l="1"/>
  <c r="G105" i="2" a="1"/>
  <c r="G105" i="2" l="1"/>
  <c r="F105" i="2" a="1"/>
  <c r="F105" i="2" l="1"/>
  <c r="E105" i="2" a="1"/>
  <c r="E105" i="2" l="1"/>
  <c r="AZ103" i="2" a="1"/>
  <c r="AZ103" i="2" l="1"/>
  <c r="AU103" i="2" a="1"/>
  <c r="AU103" i="2" l="1"/>
  <c r="AP103" i="2" a="1"/>
  <c r="AP103" i="2" l="1"/>
  <c r="AK103" i="2" a="1"/>
  <c r="AK103" i="2" l="1"/>
  <c r="AF103" i="2" a="1"/>
  <c r="AF103" i="2" l="1"/>
  <c r="AA103" i="2" a="1"/>
  <c r="AA103" i="2" l="1"/>
  <c r="V103" i="2" a="1"/>
  <c r="V103" i="2" l="1"/>
  <c r="Q103" i="2" a="1"/>
  <c r="Q103" i="2" l="1"/>
  <c r="L103" i="2" a="1"/>
  <c r="L103" i="2" l="1"/>
  <c r="J103" i="2" a="1"/>
  <c r="J103" i="2" l="1"/>
  <c r="I103" i="2" a="1"/>
  <c r="I103" i="2" l="1"/>
  <c r="H103" i="2" a="1"/>
  <c r="H103" i="2" l="1"/>
  <c r="G103" i="2" a="1"/>
  <c r="G103" i="2" l="1"/>
  <c r="F103" i="2" a="1"/>
  <c r="F103" i="2" l="1"/>
  <c r="E103" i="2" a="1"/>
  <c r="E103" i="2" l="1"/>
  <c r="AZ102" i="2" a="1"/>
  <c r="AZ102" i="2" l="1"/>
  <c r="AZ104" i="2" s="1"/>
  <c r="AU102" i="2" a="1"/>
  <c r="AU102" i="2" l="1"/>
  <c r="AU104" i="2" s="1"/>
  <c r="AP102" i="2" a="1"/>
  <c r="AP102" i="2" l="1"/>
  <c r="AP104" i="2" s="1"/>
  <c r="AK102" i="2" a="1"/>
  <c r="AK102" i="2" l="1"/>
  <c r="AK104" i="2" s="1"/>
  <c r="AF102" i="2" a="1"/>
  <c r="AF102" i="2" l="1"/>
  <c r="AF104" i="2" s="1"/>
  <c r="AA102" i="2" a="1"/>
  <c r="AA102" i="2" l="1"/>
  <c r="AA104" i="2" s="1"/>
  <c r="V102" i="2" a="1"/>
  <c r="V102" i="2" l="1"/>
  <c r="V104" i="2" s="1"/>
  <c r="Q102" i="2" a="1"/>
  <c r="Q102" i="2" l="1"/>
  <c r="Q104" i="2" s="1"/>
  <c r="L102" i="2" a="1"/>
  <c r="L102" i="2" l="1"/>
  <c r="L104" i="2" s="1"/>
  <c r="J102" i="2" a="1"/>
  <c r="J102" i="2" l="1"/>
  <c r="J104" i="2" s="1"/>
  <c r="I102" i="2" a="1"/>
  <c r="I102" i="2" l="1"/>
  <c r="I104" i="2" s="1"/>
  <c r="H102" i="2" a="1"/>
  <c r="H102" i="2" l="1"/>
  <c r="H104" i="2" s="1"/>
  <c r="G102" i="2" a="1"/>
  <c r="G102" i="2" l="1"/>
  <c r="G104" i="2" s="1"/>
  <c r="F102" i="2" a="1"/>
  <c r="F102" i="2" l="1"/>
  <c r="F104" i="2" s="1"/>
  <c r="E102" i="2" a="1"/>
  <c r="E102" i="2" l="1"/>
  <c r="E104" i="2" s="1"/>
  <c r="AZ100" i="2" a="1"/>
  <c r="AZ100" i="2" l="1"/>
  <c r="AU100" i="2" a="1"/>
  <c r="AU100" i="2" l="1"/>
  <c r="AP100" i="2" a="1"/>
  <c r="AP100" i="2" l="1"/>
  <c r="AK100" i="2" a="1"/>
  <c r="AK100" i="2" l="1"/>
  <c r="AF100" i="2" a="1"/>
  <c r="AF100" i="2" l="1"/>
  <c r="AA100" i="2" a="1"/>
  <c r="AA100" i="2" l="1"/>
  <c r="V100" i="2" a="1"/>
  <c r="V100" i="2" l="1"/>
  <c r="Q100" i="2" a="1"/>
  <c r="Q100" i="2" l="1"/>
  <c r="L100" i="2" a="1"/>
  <c r="L100" i="2" l="1"/>
  <c r="J100" i="2" a="1"/>
  <c r="J100" i="2" l="1"/>
  <c r="I100" i="2" a="1"/>
  <c r="I100" i="2" l="1"/>
  <c r="H100" i="2" a="1"/>
  <c r="H100" i="2" l="1"/>
  <c r="G100" i="2" a="1"/>
  <c r="G100" i="2" l="1"/>
  <c r="F100" i="2" a="1"/>
  <c r="F100" i="2" l="1"/>
  <c r="E100" i="2" a="1"/>
  <c r="E100" i="2" l="1"/>
  <c r="AZ99" i="2" a="1"/>
  <c r="AZ99" i="2" l="1"/>
  <c r="AU99" i="2" a="1"/>
  <c r="AU99" i="2" l="1"/>
  <c r="AP99" i="2" a="1"/>
  <c r="AP99" i="2" l="1"/>
  <c r="AK99" i="2" a="1"/>
  <c r="AK99" i="2" l="1"/>
  <c r="AF99" i="2" a="1"/>
  <c r="AF99" i="2" l="1"/>
  <c r="AA99" i="2" a="1"/>
  <c r="AA99" i="2" l="1"/>
  <c r="V99" i="2" a="1"/>
  <c r="V99" i="2" l="1"/>
  <c r="Q99" i="2" a="1"/>
  <c r="Q99" i="2" l="1"/>
  <c r="L99" i="2" a="1"/>
  <c r="L99" i="2" l="1"/>
  <c r="J99" i="2" a="1"/>
  <c r="J99" i="2" l="1"/>
  <c r="I99" i="2" a="1"/>
  <c r="I99" i="2" l="1"/>
  <c r="H99" i="2" a="1"/>
  <c r="H99" i="2" l="1"/>
  <c r="G99" i="2" a="1"/>
  <c r="G99" i="2" l="1"/>
  <c r="F99" i="2" a="1"/>
  <c r="F99" i="2" l="1"/>
  <c r="E99" i="2" a="1"/>
  <c r="E99" i="2" l="1"/>
  <c r="AZ97" i="2" a="1"/>
  <c r="AZ97" i="2" l="1"/>
  <c r="AU97" i="2" a="1"/>
  <c r="AU97" i="2" l="1"/>
  <c r="AP97" i="2" a="1"/>
  <c r="AP97" i="2" l="1"/>
  <c r="AK97" i="2" a="1"/>
  <c r="AK97" i="2" l="1"/>
  <c r="AF97" i="2" a="1"/>
  <c r="AF97" i="2" l="1"/>
  <c r="AA97" i="2" a="1"/>
  <c r="AA97" i="2" l="1"/>
  <c r="V97" i="2" a="1"/>
  <c r="V97" i="2" l="1"/>
  <c r="Q97" i="2" a="1"/>
  <c r="Q97" i="2" l="1"/>
  <c r="L97" i="2" a="1"/>
  <c r="L97" i="2" l="1"/>
  <c r="J97" i="2" a="1"/>
  <c r="J97" i="2" l="1"/>
  <c r="I97" i="2" a="1"/>
  <c r="I97" i="2" l="1"/>
  <c r="H97" i="2" a="1"/>
  <c r="H97" i="2" l="1"/>
  <c r="G97" i="2" a="1"/>
  <c r="G97" i="2" l="1"/>
  <c r="F97" i="2" a="1"/>
  <c r="F97" i="2" l="1"/>
  <c r="E97" i="2" a="1"/>
  <c r="E97" i="2" l="1"/>
  <c r="AZ96" i="2" a="1"/>
  <c r="AZ96" i="2" l="1"/>
  <c r="AZ98" i="2" s="1"/>
  <c r="AU96" i="2" a="1"/>
  <c r="AU96" i="2" l="1"/>
  <c r="AU98" i="2" s="1"/>
  <c r="AP96" i="2" a="1"/>
  <c r="AP96" i="2" l="1"/>
  <c r="AP98" i="2" s="1"/>
  <c r="AK96" i="2" a="1"/>
  <c r="AK96" i="2" l="1"/>
  <c r="AK98" i="2" s="1"/>
  <c r="AF96" i="2" a="1"/>
  <c r="AF96" i="2" l="1"/>
  <c r="AF98" i="2" s="1"/>
  <c r="AA96" i="2" a="1"/>
  <c r="AA96" i="2" l="1"/>
  <c r="AA98" i="2" s="1"/>
  <c r="V96" i="2" a="1"/>
  <c r="V96" i="2" l="1"/>
  <c r="V98" i="2" s="1"/>
  <c r="Q96" i="2" a="1"/>
  <c r="Q96" i="2" l="1"/>
  <c r="Q98" i="2" s="1"/>
  <c r="L96" i="2" a="1"/>
  <c r="L96" i="2" l="1"/>
  <c r="L98" i="2" s="1"/>
  <c r="J96" i="2" a="1"/>
  <c r="J96" i="2" l="1"/>
  <c r="J98" i="2" s="1"/>
  <c r="I96" i="2" a="1"/>
  <c r="I96" i="2" l="1"/>
  <c r="I98" i="2" s="1"/>
  <c r="H96" i="2" a="1"/>
  <c r="H96" i="2" l="1"/>
  <c r="H98" i="2" s="1"/>
  <c r="G96" i="2" a="1"/>
  <c r="G96" i="2" l="1"/>
  <c r="G98" i="2" s="1"/>
  <c r="F96" i="2" a="1"/>
  <c r="F96" i="2" l="1"/>
  <c r="F98" i="2" s="1"/>
  <c r="E96" i="2" a="1"/>
  <c r="E96" i="2" l="1"/>
  <c r="E98" i="2" s="1"/>
  <c r="AK83" i="2"/>
  <c r="AJ83" i="2"/>
  <c r="AI83" i="2"/>
  <c r="AH83" i="2"/>
  <c r="AG83" i="2"/>
  <c r="AF83" i="2"/>
  <c r="AE83" i="2"/>
  <c r="AD83" i="2"/>
  <c r="AC83" i="2"/>
  <c r="AB83" i="2"/>
  <c r="AA83" i="2"/>
  <c r="Z83" i="2"/>
  <c r="Y83" i="2"/>
  <c r="X83" i="2"/>
  <c r="W83" i="2"/>
  <c r="V83" i="2"/>
  <c r="U83" i="2"/>
  <c r="T83" i="2"/>
  <c r="S83" i="2"/>
  <c r="R83" i="2"/>
  <c r="Q83" i="2"/>
  <c r="P83" i="2"/>
  <c r="O83" i="2"/>
  <c r="N83" i="2"/>
  <c r="M83" i="2"/>
  <c r="L83" i="2"/>
  <c r="K83" i="2"/>
  <c r="J83" i="2"/>
  <c r="I83" i="2"/>
  <c r="H83" i="2"/>
  <c r="G83" i="2"/>
  <c r="F83" i="2"/>
  <c r="AJ80" i="2"/>
  <c r="AI80" i="2"/>
  <c r="AH80" i="2"/>
  <c r="AG80" i="2"/>
  <c r="AE80" i="2"/>
  <c r="AD80" i="2"/>
  <c r="AC80" i="2"/>
  <c r="AB80" i="2"/>
  <c r="AJ79" i="2"/>
  <c r="AJ81" i="2" s="1"/>
  <c r="AI79" i="2"/>
  <c r="AI81" i="2" s="1"/>
  <c r="AH79" i="2"/>
  <c r="AH81" i="2" s="1"/>
  <c r="AG79" i="2"/>
  <c r="AG81" i="2" s="1"/>
  <c r="AE79" i="2"/>
  <c r="AE81" i="2" s="1"/>
  <c r="AD79" i="2"/>
  <c r="AD81" i="2" s="1"/>
  <c r="AC79" i="2"/>
  <c r="AB79" i="2"/>
  <c r="AB81" i="2" s="1"/>
  <c r="AC77" i="2"/>
  <c r="AB77" i="2"/>
  <c r="AC76" i="2"/>
  <c r="AB76" i="2"/>
  <c r="AK68" i="2"/>
  <c r="AF68" i="2"/>
  <c r="AA68" i="2"/>
  <c r="V68" i="2"/>
  <c r="AK67" i="2"/>
  <c r="AF67" i="2"/>
  <c r="AA67" i="2"/>
  <c r="V67" i="2"/>
  <c r="AK66" i="2"/>
  <c r="AF66" i="2"/>
  <c r="AA66" i="2"/>
  <c r="V66" i="2"/>
  <c r="AK65" i="2"/>
  <c r="AK80" i="2" s="1"/>
  <c r="AF65" i="2"/>
  <c r="AF79" i="2" s="1"/>
  <c r="AA65" i="2"/>
  <c r="V65" i="2"/>
  <c r="AJ64" i="2"/>
  <c r="AI64" i="2"/>
  <c r="AH64" i="2"/>
  <c r="AG64" i="2"/>
  <c r="AE64" i="2"/>
  <c r="AD64" i="2"/>
  <c r="AC64" i="2"/>
  <c r="AB64" i="2"/>
  <c r="Z64" i="2"/>
  <c r="Y64" i="2"/>
  <c r="X64" i="2"/>
  <c r="W64" i="2"/>
  <c r="U64" i="2"/>
  <c r="T64" i="2"/>
  <c r="S64" i="2"/>
  <c r="R64" i="2"/>
  <c r="Q64" i="2"/>
  <c r="P64" i="2"/>
  <c r="O64" i="2"/>
  <c r="AZ61" i="2" a="1"/>
  <c r="V64" i="2" l="1"/>
  <c r="Z79" i="2"/>
  <c r="U79" i="2" s="1"/>
  <c r="P79" i="2" s="1"/>
  <c r="Y79" i="2"/>
  <c r="T79" i="2" s="1"/>
  <c r="O79" i="2" s="1"/>
  <c r="AF64" i="2"/>
  <c r="AK64" i="2"/>
  <c r="AK79" i="2"/>
  <c r="V68" i="6" s="1"/>
  <c r="V70" i="6" s="1"/>
  <c r="AC81" i="2"/>
  <c r="AZ61" i="2"/>
  <c r="W79" i="2"/>
  <c r="AF80" i="2"/>
  <c r="X79" i="2"/>
  <c r="U68" i="6"/>
  <c r="AA64" i="2"/>
  <c r="AY61" i="2" a="1"/>
  <c r="AK81" i="2" l="1"/>
  <c r="AA79" i="2"/>
  <c r="T68" i="6" s="1"/>
  <c r="T70" i="6" s="1"/>
  <c r="V79" i="2"/>
  <c r="S68" i="6" s="1"/>
  <c r="S70" i="6" s="1"/>
  <c r="Q79" i="2"/>
  <c r="R68" i="6" s="1"/>
  <c r="AY61" i="2"/>
  <c r="S79" i="2"/>
  <c r="AA80" i="2"/>
  <c r="Z80" i="2"/>
  <c r="Y80" i="2"/>
  <c r="Q80" i="2"/>
  <c r="V80" i="2"/>
  <c r="V81" i="2" s="1"/>
  <c r="X80" i="2"/>
  <c r="S80" i="2" s="1"/>
  <c r="W80" i="2"/>
  <c r="R80" i="2" s="1"/>
  <c r="AF81" i="2"/>
  <c r="R79" i="2"/>
  <c r="U70" i="6"/>
  <c r="AX61" i="2" a="1"/>
  <c r="AA81" i="2" l="1"/>
  <c r="Q81" i="2"/>
  <c r="W81" i="2"/>
  <c r="R81" i="2"/>
  <c r="AX61" i="2"/>
  <c r="U80" i="2"/>
  <c r="Z81" i="2"/>
  <c r="X81" i="2"/>
  <c r="P68" i="6"/>
  <c r="Q68" i="6" s="1"/>
  <c r="R70" i="6"/>
  <c r="T80" i="2"/>
  <c r="Y81" i="2"/>
  <c r="S81" i="2"/>
  <c r="AW61" i="2" a="1"/>
  <c r="AW61" i="2" l="1"/>
  <c r="Q70" i="6"/>
  <c r="Q77" i="6"/>
  <c r="P77" i="6"/>
  <c r="P70" i="6"/>
  <c r="P80" i="2"/>
  <c r="P81" i="2" s="1"/>
  <c r="U81" i="2"/>
  <c r="O80" i="2"/>
  <c r="O81" i="2" s="1"/>
  <c r="T81" i="2"/>
  <c r="AV61" i="2" a="1"/>
  <c r="AV61" i="2" l="1"/>
  <c r="AU61" i="2" a="1"/>
  <c r="AU61" i="2" l="1"/>
  <c r="AT61" i="2" a="1"/>
  <c r="AT61" i="2" l="1"/>
  <c r="AS61" i="2" a="1"/>
  <c r="AS61" i="2" l="1"/>
  <c r="AR61" i="2" a="1"/>
  <c r="AR61" i="2" l="1"/>
  <c r="AQ61" i="2" a="1"/>
  <c r="AQ61" i="2" l="1"/>
  <c r="AP61" i="2" a="1"/>
  <c r="AP61" i="2" l="1"/>
  <c r="AO61" i="2" a="1"/>
  <c r="AO61" i="2" l="1"/>
  <c r="AN61" i="2" a="1"/>
  <c r="AN61" i="2" l="1"/>
  <c r="AY60" i="2"/>
  <c r="AX60" i="2"/>
  <c r="AW60" i="2"/>
  <c r="AV60" i="2"/>
  <c r="AT60" i="2"/>
  <c r="AS60" i="2"/>
  <c r="AR60" i="2"/>
  <c r="AQ60" i="2"/>
  <c r="AO60" i="2"/>
  <c r="AM59" i="2" a="1"/>
  <c r="AM59" i="2" l="1"/>
  <c r="AL59" i="2" a="1"/>
  <c r="AL59" i="2" l="1"/>
  <c r="AK59" i="2" a="1"/>
  <c r="AK59" i="2" l="1"/>
  <c r="AJ59" i="2" a="1"/>
  <c r="AJ59" i="2" l="1"/>
  <c r="AI59" i="2" a="1"/>
  <c r="AI59" i="2" l="1"/>
  <c r="AH59" i="2" a="1"/>
  <c r="AH59" i="2" l="1"/>
  <c r="AG59" i="2" a="1"/>
  <c r="AG59" i="2" l="1"/>
  <c r="AF59" i="2" a="1"/>
  <c r="AF59" i="2" l="1"/>
  <c r="AE59" i="2" a="1"/>
  <c r="AE59" i="2" l="1"/>
  <c r="AD59" i="2" a="1"/>
  <c r="AD59" i="2" l="1"/>
  <c r="AC59" i="2" a="1"/>
  <c r="AC59" i="2" l="1"/>
  <c r="AB59" i="2" a="1"/>
  <c r="AB59" i="2" l="1"/>
  <c r="AA59" i="2" a="1"/>
  <c r="AA59" i="2" l="1"/>
  <c r="Z59" i="2" a="1"/>
  <c r="Z59" i="2" l="1"/>
  <c r="Y59" i="2" a="1"/>
  <c r="Y59" i="2" l="1"/>
  <c r="X59" i="2" a="1"/>
  <c r="X59" i="2" l="1"/>
  <c r="W59" i="2" a="1"/>
  <c r="W59" i="2" l="1"/>
  <c r="V59" i="2" a="1"/>
  <c r="V59" i="2" l="1"/>
  <c r="U59" i="2" a="1"/>
  <c r="U59" i="2" l="1"/>
  <c r="T59" i="2" a="1"/>
  <c r="T59" i="2" l="1"/>
  <c r="S59" i="2" a="1"/>
  <c r="S59" i="2" l="1"/>
  <c r="R59" i="2" a="1"/>
  <c r="R59" i="2" l="1"/>
  <c r="Q59" i="2" a="1"/>
  <c r="Q59" i="2" l="1"/>
  <c r="P59" i="2" a="1"/>
  <c r="P59" i="2" l="1"/>
  <c r="O59" i="2" a="1"/>
  <c r="O59" i="2" l="1"/>
  <c r="AZ58" i="2"/>
  <c r="AY58" i="2"/>
  <c r="AX58" i="2"/>
  <c r="AW58" i="2"/>
  <c r="AV58" i="2"/>
  <c r="AU58" i="2"/>
  <c r="AT58" i="2"/>
  <c r="AS58" i="2"/>
  <c r="AR58" i="2"/>
  <c r="AQ58" i="2"/>
  <c r="AP58" i="2"/>
  <c r="AO58" i="2"/>
  <c r="AN58" i="2"/>
  <c r="AN60" i="2" s="1"/>
  <c r="AM58" i="2" a="1"/>
  <c r="AM58" i="2" l="1"/>
  <c r="AL58" i="2" a="1"/>
  <c r="AL58" i="2" l="1"/>
  <c r="AK58" i="2" a="1"/>
  <c r="AK58" i="2" l="1"/>
  <c r="AJ58" i="2" a="1"/>
  <c r="AJ58" i="2" l="1"/>
  <c r="AI58" i="2" a="1"/>
  <c r="AI58" i="2" l="1"/>
  <c r="AH58" i="2" a="1"/>
  <c r="AH58" i="2" l="1"/>
  <c r="AG58" i="2" a="1"/>
  <c r="AG58" i="2" l="1"/>
  <c r="AF58" i="2" a="1"/>
  <c r="AF58" i="2" l="1"/>
  <c r="AE58" i="2" a="1"/>
  <c r="AE58" i="2" l="1"/>
  <c r="AD58" i="2" a="1"/>
  <c r="AD58" i="2" l="1"/>
  <c r="AC58" i="2" a="1"/>
  <c r="AC58" i="2" l="1"/>
  <c r="AB58" i="2" a="1"/>
  <c r="AB58" i="2" l="1"/>
  <c r="AA58" i="2" a="1"/>
  <c r="AA58" i="2" l="1"/>
  <c r="Z58" i="2" a="1"/>
  <c r="Z58" i="2" l="1"/>
  <c r="Y58" i="2" a="1"/>
  <c r="Y58" i="2" l="1"/>
  <c r="X58" i="2" a="1"/>
  <c r="X58" i="2" l="1"/>
  <c r="W58" i="2" a="1"/>
  <c r="W58" i="2" l="1"/>
  <c r="V58" i="2" a="1"/>
  <c r="V58" i="2" l="1"/>
  <c r="U58" i="2" a="1"/>
  <c r="U58" i="2" l="1"/>
  <c r="T58" i="2" a="1"/>
  <c r="T58" i="2" l="1"/>
  <c r="S58" i="2" a="1"/>
  <c r="S58" i="2" l="1"/>
  <c r="R58" i="2" a="1"/>
  <c r="R58" i="2" l="1"/>
  <c r="Q58" i="2" a="1"/>
  <c r="Q58" i="2" l="1"/>
  <c r="P58" i="2" a="1"/>
  <c r="P58" i="2" l="1"/>
  <c r="O58" i="2" a="1"/>
  <c r="O58" i="2" l="1"/>
  <c r="AM57" i="2" a="1"/>
  <c r="AM57" i="2" l="1"/>
  <c r="AL57" i="2" a="1"/>
  <c r="AL57" i="2" l="1"/>
  <c r="AK57" i="2" a="1"/>
  <c r="AK57" i="2" l="1"/>
  <c r="AJ57" i="2" a="1"/>
  <c r="AJ57" i="2" l="1"/>
  <c r="AI57" i="2" a="1"/>
  <c r="AI57" i="2" l="1"/>
  <c r="AH57" i="2" a="1"/>
  <c r="AH57" i="2" l="1"/>
  <c r="AG57" i="2" a="1"/>
  <c r="AG57" i="2" l="1"/>
  <c r="AF57" i="2" a="1"/>
  <c r="AF57" i="2" l="1"/>
  <c r="AE57" i="2" a="1"/>
  <c r="AE57" i="2" l="1"/>
  <c r="AD57" i="2" a="1"/>
  <c r="AD57" i="2" l="1"/>
  <c r="AC57" i="2" a="1"/>
  <c r="AC57" i="2" l="1"/>
  <c r="AB57" i="2" a="1"/>
  <c r="AB57" i="2" l="1"/>
  <c r="AA57" i="2" a="1"/>
  <c r="AA57" i="2" l="1"/>
  <c r="Z57" i="2" a="1"/>
  <c r="Z57" i="2" l="1"/>
  <c r="Y57" i="2" a="1"/>
  <c r="Y57" i="2" l="1"/>
  <c r="X57" i="2" a="1"/>
  <c r="X57" i="2" l="1"/>
  <c r="W57" i="2" a="1"/>
  <c r="W57" i="2" l="1"/>
  <c r="V57" i="2" a="1"/>
  <c r="V57" i="2" l="1"/>
  <c r="U57" i="2" a="1"/>
  <c r="U57" i="2" l="1"/>
  <c r="T57" i="2" a="1"/>
  <c r="T57" i="2" l="1"/>
  <c r="S57" i="2" a="1"/>
  <c r="S57" i="2" l="1"/>
  <c r="R57" i="2" a="1"/>
  <c r="R57" i="2" l="1"/>
  <c r="Q57" i="2" a="1"/>
  <c r="Q57" i="2" l="1"/>
  <c r="P57" i="2" a="1"/>
  <c r="P57" i="2" l="1"/>
  <c r="O57" i="2" a="1"/>
  <c r="O57" i="2" l="1"/>
  <c r="AF56" i="2"/>
  <c r="AE56" i="2"/>
  <c r="AD56" i="2"/>
  <c r="AC56" i="2"/>
  <c r="AB56" i="2"/>
  <c r="AA56" i="2"/>
  <c r="Z56" i="2"/>
  <c r="Y56" i="2"/>
  <c r="X56" i="2"/>
  <c r="W56" i="2"/>
  <c r="V56" i="2"/>
  <c r="U56" i="2"/>
  <c r="T56" i="2"/>
  <c r="S56" i="2"/>
  <c r="R56" i="2"/>
  <c r="Q56" i="2"/>
  <c r="P56" i="2"/>
  <c r="O56" i="2"/>
  <c r="AF55" i="2"/>
  <c r="AE55" i="2"/>
  <c r="AD55" i="2"/>
  <c r="AC55" i="2"/>
  <c r="AB55" i="2"/>
  <c r="AA55" i="2"/>
  <c r="Z55" i="2"/>
  <c r="Y55" i="2"/>
  <c r="X55" i="2"/>
  <c r="W55" i="2"/>
  <c r="V55" i="2"/>
  <c r="U55" i="2"/>
  <c r="T55" i="2"/>
  <c r="S55" i="2"/>
  <c r="R55" i="2"/>
  <c r="Q55" i="2"/>
  <c r="P55" i="2"/>
  <c r="O55" i="2"/>
  <c r="AF54" i="2"/>
  <c r="AE54" i="2"/>
  <c r="AD54" i="2"/>
  <c r="AC54" i="2"/>
  <c r="AB54" i="2"/>
  <c r="AA54" i="2"/>
  <c r="Z54" i="2"/>
  <c r="Y54" i="2"/>
  <c r="X54" i="2"/>
  <c r="W54" i="2"/>
  <c r="V54" i="2"/>
  <c r="U54" i="2"/>
  <c r="T54" i="2"/>
  <c r="S54" i="2"/>
  <c r="R54" i="2"/>
  <c r="Q54" i="2"/>
  <c r="P54" i="2"/>
  <c r="O54" i="2"/>
  <c r="AR53" i="2"/>
  <c r="AR289" i="2" s="1"/>
  <c r="AR310" i="2" s="1"/>
  <c r="AQ53" i="2"/>
  <c r="AQ289" i="2" s="1"/>
  <c r="AQ310" i="2" s="1"/>
  <c r="AO53" i="2"/>
  <c r="AO289" i="2" s="1"/>
  <c r="AO310" i="2" s="1"/>
  <c r="AN53" i="2"/>
  <c r="AN289" i="2" s="1"/>
  <c r="AN310" i="2" s="1"/>
  <c r="AK53" i="2"/>
  <c r="AK289" i="2" s="1"/>
  <c r="AK298" i="2" s="1"/>
  <c r="AK50" i="2"/>
  <c r="AF50" i="2"/>
  <c r="AA50" i="2"/>
  <c r="V50" i="2"/>
  <c r="Q50" i="2"/>
  <c r="AZ48" i="2" a="1"/>
  <c r="AT53" i="2" l="1"/>
  <c r="AT289" i="2" s="1"/>
  <c r="AT310" i="2" s="1"/>
  <c r="V53" i="2"/>
  <c r="V289" i="2" s="1"/>
  <c r="V298" i="2" s="1"/>
  <c r="Q53" i="2"/>
  <c r="Q289" i="2" s="1"/>
  <c r="Q298" i="2" s="1"/>
  <c r="Y53" i="2"/>
  <c r="Y289" i="2" s="1"/>
  <c r="Y298" i="2" s="1"/>
  <c r="AD299" i="2" s="1"/>
  <c r="T53" i="2"/>
  <c r="T289" i="2" s="1"/>
  <c r="T298" i="2" s="1"/>
  <c r="Z53" i="2"/>
  <c r="Z289" i="2" s="1"/>
  <c r="Z298" i="2" s="1"/>
  <c r="AE299" i="2" s="1"/>
  <c r="W53" i="2"/>
  <c r="W289" i="2" s="1"/>
  <c r="W298" i="2" s="1"/>
  <c r="AB299" i="2" s="1"/>
  <c r="U53" i="2"/>
  <c r="U289" i="2" s="1"/>
  <c r="U298" i="2" s="1"/>
  <c r="S53" i="2"/>
  <c r="S289" i="2" s="1"/>
  <c r="S298" i="2" s="1"/>
  <c r="AA53" i="2"/>
  <c r="AA289" i="2" s="1"/>
  <c r="AA298" i="2" s="1"/>
  <c r="AF299" i="2" s="1"/>
  <c r="R53" i="2"/>
  <c r="R289" i="2" s="1"/>
  <c r="R298" i="2" s="1"/>
  <c r="O53" i="2"/>
  <c r="O289" i="2" s="1"/>
  <c r="O298" i="2" s="1"/>
  <c r="P53" i="2"/>
  <c r="P289" i="2" s="1"/>
  <c r="P298" i="2" s="1"/>
  <c r="X53" i="2"/>
  <c r="X289" i="2" s="1"/>
  <c r="X298" i="2" s="1"/>
  <c r="AC299" i="2" s="1"/>
  <c r="AP53" i="2"/>
  <c r="AP60" i="2" s="1"/>
  <c r="AS53" i="2"/>
  <c r="AS289" i="2" s="1"/>
  <c r="AS310" i="2" s="1"/>
  <c r="AZ48" i="2"/>
  <c r="AK299" i="2"/>
  <c r="AP298" i="2"/>
  <c r="AU298" i="2" s="1"/>
  <c r="AZ298" i="2" s="1"/>
  <c r="AP310" i="2"/>
  <c r="AV53" i="2"/>
  <c r="AW53" i="2"/>
  <c r="AW289" i="2" s="1"/>
  <c r="AW310" i="2" s="1"/>
  <c r="AY48" i="2" a="1"/>
  <c r="Y299" i="2" l="1"/>
  <c r="Z299" i="2"/>
  <c r="AY53" i="2"/>
  <c r="AY289" i="2" s="1"/>
  <c r="AY310" i="2" s="1"/>
  <c r="W299" i="2"/>
  <c r="V299" i="2"/>
  <c r="AP289" i="2"/>
  <c r="AU310" i="2"/>
  <c r="X299" i="2"/>
  <c r="AA299" i="2"/>
  <c r="U299" i="2"/>
  <c r="T299" i="2"/>
  <c r="AX53" i="2"/>
  <c r="AX289" i="2" s="1"/>
  <c r="AX310" i="2" s="1"/>
  <c r="AU53" i="2"/>
  <c r="AU60" i="2" s="1"/>
  <c r="AY48" i="2"/>
  <c r="AV289" i="2"/>
  <c r="AV310" i="2" s="1"/>
  <c r="AX48" i="2" a="1"/>
  <c r="AZ53" i="2" l="1"/>
  <c r="AZ289" i="2" s="1"/>
  <c r="AU289" i="2"/>
  <c r="AX48" i="2"/>
  <c r="AZ310" i="2"/>
  <c r="AW48" i="2" a="1"/>
  <c r="AZ60" i="2" l="1"/>
  <c r="AW48" i="2"/>
  <c r="AV48" i="2" a="1"/>
  <c r="AV48" i="2" l="1"/>
  <c r="AU48" i="2" a="1"/>
  <c r="AU48" i="2" l="1"/>
  <c r="AT48" i="2" a="1"/>
  <c r="AT48" i="2" l="1"/>
  <c r="AS48" i="2" a="1"/>
  <c r="AS48" i="2" l="1"/>
  <c r="AR48" i="2" a="1"/>
  <c r="AR48" i="2" l="1"/>
  <c r="AQ48" i="2" a="1"/>
  <c r="AQ48" i="2" l="1"/>
  <c r="AP48" i="2" a="1"/>
  <c r="AP48" i="2" l="1"/>
  <c r="AO48" i="2" a="1"/>
  <c r="AO48" i="2" l="1"/>
  <c r="AN48" i="2" a="1"/>
  <c r="AN48" i="2" l="1"/>
  <c r="AZ47" i="2"/>
  <c r="AZ222" i="2" s="1"/>
  <c r="AZ228" i="2" s="1"/>
  <c r="AY47" i="2"/>
  <c r="AY222" i="2" s="1"/>
  <c r="AY228" i="2" s="1"/>
  <c r="AX47" i="2"/>
  <c r="AX222" i="2" s="1"/>
  <c r="AX228" i="2" s="1"/>
  <c r="AW47" i="2"/>
  <c r="AW222" i="2" s="1"/>
  <c r="AW228" i="2" s="1"/>
  <c r="AV47" i="2"/>
  <c r="AV222" i="2" s="1"/>
  <c r="AV228" i="2" s="1"/>
  <c r="AU47" i="2"/>
  <c r="AU222" i="2" s="1"/>
  <c r="AU228" i="2" s="1"/>
  <c r="AT47" i="2"/>
  <c r="AT222" i="2" s="1"/>
  <c r="AT228" i="2" s="1"/>
  <c r="AS47" i="2"/>
  <c r="AS222" i="2" s="1"/>
  <c r="AS228" i="2" s="1"/>
  <c r="AR47" i="2"/>
  <c r="AR222" i="2" s="1"/>
  <c r="AR228" i="2" s="1"/>
  <c r="AQ47" i="2"/>
  <c r="AQ222" i="2" s="1"/>
  <c r="AQ228" i="2" s="1"/>
  <c r="AP47" i="2"/>
  <c r="AP222" i="2" s="1"/>
  <c r="AP228" i="2" s="1"/>
  <c r="AO47" i="2"/>
  <c r="AO222" i="2" s="1"/>
  <c r="AO228" i="2" s="1"/>
  <c r="AM47" i="2" a="1"/>
  <c r="AM47" i="2" l="1"/>
  <c r="AM222" i="2" s="1"/>
  <c r="AM228" i="2" s="1"/>
  <c r="AL47" i="2" a="1"/>
  <c r="AL47" i="2" l="1"/>
  <c r="AL222" i="2" s="1"/>
  <c r="AL228" i="2" s="1"/>
  <c r="AK47" i="2" a="1"/>
  <c r="AK47" i="2" l="1"/>
  <c r="V81" i="6" s="1"/>
  <c r="V84" i="6" s="1"/>
  <c r="AJ47" i="2" a="1"/>
  <c r="AJ47" i="2" l="1"/>
  <c r="AJ222" i="2" s="1"/>
  <c r="AJ228" i="2" s="1"/>
  <c r="AI47" i="2" a="1"/>
  <c r="AI47" i="2" l="1"/>
  <c r="AI222" i="2" s="1"/>
  <c r="AI228" i="2" s="1"/>
  <c r="AH47" i="2" a="1"/>
  <c r="AH47" i="2" l="1"/>
  <c r="AH222" i="2" s="1"/>
  <c r="AH228" i="2" s="1"/>
  <c r="AG47" i="2" a="1"/>
  <c r="AG47" i="2" l="1"/>
  <c r="AG222" i="2" s="1"/>
  <c r="AG228" i="2" s="1"/>
  <c r="AF47" i="2" a="1"/>
  <c r="AF47" i="2" l="1"/>
  <c r="U81" i="6" s="1"/>
  <c r="U84" i="6" s="1"/>
  <c r="AE47" i="2" a="1"/>
  <c r="AE47" i="2" l="1"/>
  <c r="AE222" i="2" s="1"/>
  <c r="AE228" i="2" s="1"/>
  <c r="AD47" i="2" a="1"/>
  <c r="AD47" i="2" l="1"/>
  <c r="AD222" i="2" s="1"/>
  <c r="AD228" i="2" s="1"/>
  <c r="AC47" i="2" a="1"/>
  <c r="AC47" i="2" l="1"/>
  <c r="AC222" i="2" s="1"/>
  <c r="AC228" i="2" s="1"/>
  <c r="AB47" i="2" a="1"/>
  <c r="AB47" i="2" l="1"/>
  <c r="AB222" i="2" s="1"/>
  <c r="AB228" i="2" s="1"/>
  <c r="AA47" i="2" a="1"/>
  <c r="AA47" i="2" l="1"/>
  <c r="T81" i="6" s="1"/>
  <c r="T84" i="6" s="1"/>
  <c r="Z47" i="2" a="1"/>
  <c r="Z47" i="2" l="1"/>
  <c r="Z222" i="2" s="1"/>
  <c r="Z228" i="2" s="1"/>
  <c r="Y47" i="2" a="1"/>
  <c r="Y47" i="2" l="1"/>
  <c r="Y222" i="2" s="1"/>
  <c r="Y228" i="2" s="1"/>
  <c r="X47" i="2" a="1"/>
  <c r="X47" i="2" l="1"/>
  <c r="X222" i="2" s="1"/>
  <c r="X228" i="2" s="1"/>
  <c r="W47" i="2" a="1"/>
  <c r="W47" i="2" l="1"/>
  <c r="W222" i="2" s="1"/>
  <c r="W228" i="2" s="1"/>
  <c r="V47" i="2" a="1"/>
  <c r="V47" i="2" l="1"/>
  <c r="S81" i="6" s="1"/>
  <c r="S84" i="6" s="1"/>
  <c r="U47" i="2" a="1"/>
  <c r="U47" i="2" l="1"/>
  <c r="U222" i="2" s="1"/>
  <c r="U228" i="2" s="1"/>
  <c r="T47" i="2" a="1"/>
  <c r="T47" i="2" l="1"/>
  <c r="T222" i="2" s="1"/>
  <c r="T228" i="2" s="1"/>
  <c r="S47" i="2" a="1"/>
  <c r="S47" i="2" l="1"/>
  <c r="S222" i="2" s="1"/>
  <c r="S228" i="2" s="1"/>
  <c r="R47" i="2" a="1"/>
  <c r="R47" i="2" l="1"/>
  <c r="R222" i="2" s="1"/>
  <c r="R228" i="2" s="1"/>
  <c r="Q47" i="2" a="1"/>
  <c r="Q47" i="2" l="1"/>
  <c r="R81" i="6" s="1"/>
  <c r="R84" i="6" s="1"/>
  <c r="P47" i="2" a="1"/>
  <c r="P47" i="2" l="1"/>
  <c r="P222" i="2" s="1"/>
  <c r="P228" i="2" s="1"/>
  <c r="O47" i="2" a="1"/>
  <c r="O47" i="2" l="1"/>
  <c r="O222" i="2" s="1"/>
  <c r="O228" i="2" s="1"/>
  <c r="AZ46" i="2" a="1"/>
  <c r="AZ46" i="2" l="1"/>
  <c r="AZ49" i="2" s="1"/>
  <c r="AY46" i="2" a="1"/>
  <c r="AY46" i="2" l="1"/>
  <c r="AY49" i="2" s="1"/>
  <c r="AX46" i="2" a="1"/>
  <c r="AX46" i="2" l="1"/>
  <c r="AX49" i="2" s="1"/>
  <c r="AW46" i="2" a="1"/>
  <c r="AW46" i="2" l="1"/>
  <c r="AW49" i="2" s="1"/>
  <c r="AV46" i="2" a="1"/>
  <c r="AV46" i="2" l="1"/>
  <c r="AV49" i="2" s="1"/>
  <c r="AU46" i="2" a="1"/>
  <c r="AU46" i="2" l="1"/>
  <c r="AU49" i="2" s="1"/>
  <c r="AT46" i="2" a="1"/>
  <c r="AT46" i="2" l="1"/>
  <c r="AT49" i="2" s="1"/>
  <c r="AS46" i="2" a="1"/>
  <c r="AS46" i="2" l="1"/>
  <c r="AS49" i="2" s="1"/>
  <c r="AR46" i="2" a="1"/>
  <c r="AR46" i="2" l="1"/>
  <c r="AR49" i="2" s="1"/>
  <c r="AQ46" i="2" a="1"/>
  <c r="AQ46" i="2" l="1"/>
  <c r="AQ49" i="2" s="1"/>
  <c r="AP46" i="2" a="1"/>
  <c r="AP46" i="2" l="1"/>
  <c r="AP49" i="2" s="1"/>
  <c r="AO46" i="2" a="1"/>
  <c r="AO46" i="2" l="1"/>
  <c r="AO49" i="2" s="1"/>
  <c r="AN46" i="2" a="1"/>
  <c r="AN46" i="2" l="1"/>
  <c r="AN49" i="2" s="1"/>
  <c r="AM45" i="2" a="1"/>
  <c r="AM45" i="2" l="1"/>
  <c r="AL45" i="2" a="1"/>
  <c r="AL45" i="2" l="1"/>
  <c r="AM221" i="2"/>
  <c r="AM227" i="2" s="1"/>
  <c r="AM51" i="2"/>
  <c r="AK45" i="2" a="1"/>
  <c r="AK45" i="2" l="1"/>
  <c r="AL221" i="2"/>
  <c r="AL227" i="2" s="1"/>
  <c r="AL51" i="2"/>
  <c r="Y41" i="4" a="1"/>
  <c r="Y41" i="4" s="1"/>
  <c r="AJ45" i="2" a="1"/>
  <c r="AJ45" i="2" l="1"/>
  <c r="V80" i="6"/>
  <c r="AK51" i="2"/>
  <c r="AK118" i="2" s="1"/>
  <c r="X41" i="4" a="1"/>
  <c r="X41" i="4" s="1"/>
  <c r="AI45" i="2" a="1"/>
  <c r="AI45" i="2" l="1"/>
  <c r="AJ221" i="2"/>
  <c r="AJ227" i="2" s="1"/>
  <c r="AJ51" i="2"/>
  <c r="AH45" i="2" a="1"/>
  <c r="AH45" i="2" l="1"/>
  <c r="AI221" i="2"/>
  <c r="AI227" i="2" s="1"/>
  <c r="AI51" i="2"/>
  <c r="W41" i="4" a="1"/>
  <c r="W41" i="4" s="1"/>
  <c r="AG45" i="2" a="1"/>
  <c r="AG45" i="2" l="1"/>
  <c r="AH221" i="2"/>
  <c r="AH227" i="2" s="1"/>
  <c r="AH51" i="2"/>
  <c r="V41" i="4" a="1"/>
  <c r="V41" i="4" s="1"/>
  <c r="AF45" i="2" a="1"/>
  <c r="AF45" i="2" l="1"/>
  <c r="AG221" i="2"/>
  <c r="AG227" i="2" s="1"/>
  <c r="AG51" i="2"/>
  <c r="U41" i="4" a="1"/>
  <c r="U41" i="4" s="1"/>
  <c r="AE45" i="2" a="1"/>
  <c r="AE45" i="2" l="1"/>
  <c r="U80" i="6"/>
  <c r="AF51" i="2"/>
  <c r="AF118" i="2" s="1"/>
  <c r="Y42" i="4"/>
  <c r="T41" i="4" a="1"/>
  <c r="T41" i="4" s="1"/>
  <c r="AD45" i="2" a="1"/>
  <c r="AD45" i="2" l="1"/>
  <c r="X42" i="4"/>
  <c r="AE221" i="2"/>
  <c r="AE227" i="2" s="1"/>
  <c r="AE51" i="2"/>
  <c r="AC45" i="2" a="1"/>
  <c r="AC45" i="2" l="1"/>
  <c r="AD221" i="2"/>
  <c r="AD227" i="2" s="1"/>
  <c r="AD51" i="2"/>
  <c r="S41" i="4" a="1"/>
  <c r="S41" i="4" s="1"/>
  <c r="AB45" i="2" a="1"/>
  <c r="AB45" i="2" l="1"/>
  <c r="AC221" i="2"/>
  <c r="AC227" i="2" s="1"/>
  <c r="AC51" i="2"/>
  <c r="W42" i="4"/>
  <c r="R41" i="4" a="1"/>
  <c r="R41" i="4" s="1"/>
  <c r="AA45" i="2" a="1"/>
  <c r="AA45" i="2" l="1"/>
  <c r="V42" i="4"/>
  <c r="Q41" i="4" a="1"/>
  <c r="Q41" i="4" s="1"/>
  <c r="AB221" i="2"/>
  <c r="AB227" i="2" s="1"/>
  <c r="AB51" i="2"/>
  <c r="Z45" i="2" a="1"/>
  <c r="Z45" i="2" l="1"/>
  <c r="T80" i="6"/>
  <c r="AA51" i="2"/>
  <c r="AA118" i="2" s="1"/>
  <c r="U42" i="4"/>
  <c r="P41" i="4" a="1"/>
  <c r="P41" i="4" s="1"/>
  <c r="Y45" i="2" a="1"/>
  <c r="Y45" i="2" l="1"/>
  <c r="T42" i="4"/>
  <c r="Z221" i="2"/>
  <c r="Z227" i="2" s="1"/>
  <c r="Z51" i="2"/>
  <c r="O41" i="4" s="1" a="1"/>
  <c r="O41" i="4" s="1"/>
  <c r="X45" i="2" a="1"/>
  <c r="X45" i="2" l="1"/>
  <c r="Y221" i="2"/>
  <c r="Y227" i="2" s="1"/>
  <c r="Y51" i="2"/>
  <c r="N41" i="4" s="1" a="1"/>
  <c r="N41" i="4" s="1"/>
  <c r="S42" i="4"/>
  <c r="W45" i="2" a="1"/>
  <c r="W45" i="2" l="1"/>
  <c r="X221" i="2"/>
  <c r="X227" i="2" s="1"/>
  <c r="X51" i="2"/>
  <c r="M41" i="4" s="1" a="1"/>
  <c r="M41" i="4" s="1"/>
  <c r="R42" i="4"/>
  <c r="V45" i="2" a="1"/>
  <c r="V45" i="2" l="1"/>
  <c r="W221" i="2"/>
  <c r="W227" i="2" s="1"/>
  <c r="W51" i="2"/>
  <c r="L41" i="4" s="1" a="1"/>
  <c r="L41" i="4" s="1"/>
  <c r="Q42" i="4"/>
  <c r="U45" i="2" a="1"/>
  <c r="U45" i="2" l="1"/>
  <c r="P42" i="4"/>
  <c r="S80" i="6"/>
  <c r="V51" i="2"/>
  <c r="T45" i="2" a="1"/>
  <c r="T45" i="2" l="1"/>
  <c r="U221" i="2"/>
  <c r="U227" i="2" s="1"/>
  <c r="U51" i="2"/>
  <c r="K41" i="4" s="1" a="1"/>
  <c r="K41" i="4" s="1"/>
  <c r="S45" i="2" a="1"/>
  <c r="S45" i="2" l="1"/>
  <c r="O42" i="4"/>
  <c r="T221" i="2"/>
  <c r="T227" i="2" s="1"/>
  <c r="T51" i="2"/>
  <c r="J41" i="4" s="1" a="1"/>
  <c r="J41" i="4" s="1"/>
  <c r="R45" i="2" a="1"/>
  <c r="R45" i="2" l="1"/>
  <c r="N42" i="4"/>
  <c r="S221" i="2"/>
  <c r="S227" i="2" s="1"/>
  <c r="S51" i="2"/>
  <c r="I41" i="4" s="1" a="1"/>
  <c r="I41" i="4" s="1"/>
  <c r="M42" i="4" s="1"/>
  <c r="Q45" i="2" a="1"/>
  <c r="Q45" i="2" l="1"/>
  <c r="R221" i="2"/>
  <c r="R227" i="2" s="1"/>
  <c r="R51" i="2"/>
  <c r="H41" i="4" s="1" a="1"/>
  <c r="H41" i="4" s="1"/>
  <c r="L42" i="4" s="1"/>
  <c r="P45" i="2" a="1"/>
  <c r="P45" i="2" l="1"/>
  <c r="R80" i="6"/>
  <c r="Q51" i="2"/>
  <c r="O45" i="2" a="1"/>
  <c r="O45" i="2" l="1"/>
  <c r="P221" i="2"/>
  <c r="P227" i="2" s="1"/>
  <c r="P51" i="2"/>
  <c r="G41" i="4" s="1" a="1"/>
  <c r="G41" i="4" s="1"/>
  <c r="K42" i="4" s="1"/>
  <c r="AM44" i="2"/>
  <c r="AL44" i="2"/>
  <c r="AR43" i="2"/>
  <c r="AR214" i="2" s="1"/>
  <c r="AQ43" i="2"/>
  <c r="AQ214" i="2" s="1"/>
  <c r="AJ43" i="2"/>
  <c r="AJ214" i="2" s="1"/>
  <c r="AI43" i="2"/>
  <c r="AI214" i="2" s="1"/>
  <c r="AE43" i="2"/>
  <c r="AE214" i="2" s="1"/>
  <c r="AD43" i="2"/>
  <c r="AD214" i="2" s="1"/>
  <c r="AC43" i="2"/>
  <c r="AC214" i="2" s="1"/>
  <c r="AB43" i="2"/>
  <c r="AB214" i="2" s="1"/>
  <c r="AZ42" i="2"/>
  <c r="AY42" i="2"/>
  <c r="AX42" i="2"/>
  <c r="AW42" i="2"/>
  <c r="AV42" i="2"/>
  <c r="AU42" i="2"/>
  <c r="AT42" i="2"/>
  <c r="AS42" i="2"/>
  <c r="AR42" i="2"/>
  <c r="AQ42" i="2"/>
  <c r="AP42" i="2"/>
  <c r="AO42" i="2"/>
  <c r="AN42" i="2"/>
  <c r="AM42" i="2"/>
  <c r="AL42" i="2"/>
  <c r="AZ40" i="2"/>
  <c r="AY40" i="2"/>
  <c r="AX40" i="2"/>
  <c r="AW40" i="2"/>
  <c r="AV40" i="2"/>
  <c r="AU40" i="2"/>
  <c r="AT40" i="2"/>
  <c r="AS40" i="2"/>
  <c r="AR40" i="2"/>
  <c r="AQ40" i="2"/>
  <c r="AP40" i="2"/>
  <c r="AO40" i="2"/>
  <c r="AN40" i="2"/>
  <c r="AM40" i="2"/>
  <c r="AL40" i="2"/>
  <c r="AK39" i="2"/>
  <c r="AF39" i="2"/>
  <c r="AA39" i="2"/>
  <c r="V39" i="2"/>
  <c r="Q39" i="2"/>
  <c r="AM37" i="2"/>
  <c r="AL37" i="2"/>
  <c r="AJ36" i="2"/>
  <c r="AJ213" i="2" s="1"/>
  <c r="AI36" i="2"/>
  <c r="AI213" i="2" s="1"/>
  <c r="AE36" i="2"/>
  <c r="AE213" i="2" s="1"/>
  <c r="AD36" i="2"/>
  <c r="AD213" i="2" s="1"/>
  <c r="AC36" i="2"/>
  <c r="AC213" i="2" s="1"/>
  <c r="AB36" i="2"/>
  <c r="AB213" i="2" s="1"/>
  <c r="AZ35" i="2"/>
  <c r="AY35" i="2"/>
  <c r="AX35" i="2"/>
  <c r="AW35" i="2"/>
  <c r="AV35" i="2"/>
  <c r="AU35" i="2"/>
  <c r="AT35" i="2"/>
  <c r="AS35" i="2"/>
  <c r="AR35" i="2"/>
  <c r="AQ35" i="2"/>
  <c r="AP35" i="2"/>
  <c r="AO35" i="2"/>
  <c r="AN35" i="2"/>
  <c r="AM35" i="2"/>
  <c r="AL35" i="2"/>
  <c r="AZ33" i="2"/>
  <c r="AY33" i="2"/>
  <c r="AX33" i="2"/>
  <c r="AW33" i="2"/>
  <c r="AV33" i="2"/>
  <c r="AU33" i="2"/>
  <c r="AT33" i="2"/>
  <c r="AS33" i="2"/>
  <c r="AR33" i="2"/>
  <c r="AQ33" i="2"/>
  <c r="AP33" i="2"/>
  <c r="AO33" i="2"/>
  <c r="AN33" i="2"/>
  <c r="AM33" i="2"/>
  <c r="AL33" i="2"/>
  <c r="AK32" i="2"/>
  <c r="AF32" i="2"/>
  <c r="AA32" i="2"/>
  <c r="V32" i="2"/>
  <c r="Q32" i="2"/>
  <c r="AM30" i="2"/>
  <c r="AL30" i="2"/>
  <c r="AJ29" i="2"/>
  <c r="AI29" i="2"/>
  <c r="AE29" i="2"/>
  <c r="AD29" i="2"/>
  <c r="AC29" i="2"/>
  <c r="AH30" i="2" s="1"/>
  <c r="AB29" i="2"/>
  <c r="AM28" i="2"/>
  <c r="AL28" i="2"/>
  <c r="AH28" i="2"/>
  <c r="AG28" i="2"/>
  <c r="AA28" i="2"/>
  <c r="Z28" i="2"/>
  <c r="Z36" i="2" s="1"/>
  <c r="Y28" i="2"/>
  <c r="Y29" i="2" s="1"/>
  <c r="X28" i="2"/>
  <c r="X29" i="2" s="1"/>
  <c r="W28" i="2"/>
  <c r="W43" i="2" s="1"/>
  <c r="V28" i="2"/>
  <c r="U28" i="2"/>
  <c r="U36" i="2" s="1"/>
  <c r="U213" i="2" s="1"/>
  <c r="T28" i="2"/>
  <c r="T36" i="2" s="1"/>
  <c r="S28" i="2"/>
  <c r="S36" i="2" s="1"/>
  <c r="R28" i="2"/>
  <c r="R36" i="2" s="1"/>
  <c r="Q28" i="2"/>
  <c r="Q36" i="2" s="1"/>
  <c r="R32" i="6" s="1"/>
  <c r="P28" i="2"/>
  <c r="P29" i="2" s="1"/>
  <c r="O28" i="2"/>
  <c r="O43" i="2" s="1"/>
  <c r="O214" i="2" s="1"/>
  <c r="AY26" i="2"/>
  <c r="AX26" i="2"/>
  <c r="AW26" i="2"/>
  <c r="AV26" i="2"/>
  <c r="AT26" i="2"/>
  <c r="AS26" i="2"/>
  <c r="AR26" i="2"/>
  <c r="AQ26" i="2"/>
  <c r="AO26" i="2"/>
  <c r="AN26" i="2"/>
  <c r="AZ25" i="2" a="1"/>
  <c r="AA40" i="2" l="1"/>
  <c r="V33" i="2"/>
  <c r="R29" i="2"/>
  <c r="R212" i="2" s="1"/>
  <c r="AF40" i="2"/>
  <c r="AV43" i="2"/>
  <c r="AV214" i="2" s="1"/>
  <c r="AG37" i="2"/>
  <c r="AK40" i="2"/>
  <c r="AI37" i="2"/>
  <c r="AK33" i="2"/>
  <c r="P36" i="2"/>
  <c r="P213" i="2" s="1"/>
  <c r="X36" i="2"/>
  <c r="X213" i="2" s="1"/>
  <c r="V40" i="2"/>
  <c r="AA33" i="2"/>
  <c r="AK213" i="2"/>
  <c r="AK214" i="2"/>
  <c r="AO43" i="2"/>
  <c r="AO214" i="2" s="1"/>
  <c r="Y36" i="2"/>
  <c r="Y213" i="2" s="1"/>
  <c r="AW43" i="2"/>
  <c r="AW214" i="2" s="1"/>
  <c r="AJ37" i="2"/>
  <c r="AG44" i="2"/>
  <c r="S43" i="2"/>
  <c r="S214" i="2" s="1"/>
  <c r="AK43" i="2"/>
  <c r="AU26" i="2"/>
  <c r="F11" i="11" s="1"/>
  <c r="F13" i="11" s="1"/>
  <c r="U43" i="2"/>
  <c r="U214" i="2" s="1"/>
  <c r="AN43" i="2"/>
  <c r="AN214" i="2" s="1"/>
  <c r="AZ26" i="2"/>
  <c r="Z29" i="2"/>
  <c r="Z212" i="2" s="1"/>
  <c r="AZ25" i="2"/>
  <c r="T213" i="2"/>
  <c r="M5" i="4" a="1"/>
  <c r="M5" i="4" s="1"/>
  <c r="X212" i="2"/>
  <c r="X131" i="2"/>
  <c r="M6" i="4" s="1" a="1"/>
  <c r="M6" i="4" s="1"/>
  <c r="AC30" i="2"/>
  <c r="W214" i="2"/>
  <c r="Z213" i="2"/>
  <c r="Z37" i="2"/>
  <c r="R213" i="2"/>
  <c r="V36" i="2"/>
  <c r="R38" i="2" s="1"/>
  <c r="R39" i="2" s="1"/>
  <c r="R41" i="2" s="1"/>
  <c r="S213" i="2"/>
  <c r="AG288" i="2"/>
  <c r="AG295" i="2" s="1"/>
  <c r="AG204" i="2"/>
  <c r="AG205" i="2" s="1"/>
  <c r="AG76" i="2"/>
  <c r="U288" i="2"/>
  <c r="U295" i="2" s="1"/>
  <c r="U204" i="2"/>
  <c r="AH288" i="2"/>
  <c r="AH295" i="2" s="1"/>
  <c r="AH204" i="2"/>
  <c r="AH205" i="2" s="1"/>
  <c r="AH76" i="2"/>
  <c r="W29" i="2"/>
  <c r="S5" i="4" a="1"/>
  <c r="S5" i="4" s="1"/>
  <c r="AE212" i="2"/>
  <c r="AE216" i="2" s="1"/>
  <c r="AE217" i="2" s="1"/>
  <c r="AE131" i="2"/>
  <c r="S6" i="4" s="1" a="1"/>
  <c r="S6" i="4" s="1"/>
  <c r="AI30" i="2"/>
  <c r="V288" i="2"/>
  <c r="V295" i="2" s="1"/>
  <c r="V204" i="2"/>
  <c r="AK28" i="2"/>
  <c r="O29" i="2"/>
  <c r="AF29" i="2"/>
  <c r="AB31" i="2" s="1"/>
  <c r="AB32" i="2" s="1"/>
  <c r="AJ30" i="2"/>
  <c r="O36" i="2"/>
  <c r="O213" i="2" s="1"/>
  <c r="W36" i="2"/>
  <c r="AH37" i="2"/>
  <c r="T43" i="2"/>
  <c r="AF214" i="2"/>
  <c r="AL288" i="2"/>
  <c r="AL295" i="2" s="1"/>
  <c r="AL204" i="2"/>
  <c r="V5" i="4" a="1"/>
  <c r="V5" i="4" s="1"/>
  <c r="AI212" i="2"/>
  <c r="AI131" i="2"/>
  <c r="V6" i="4" s="1" a="1"/>
  <c r="V6" i="4" s="1"/>
  <c r="Q41" i="2"/>
  <c r="P288" i="2"/>
  <c r="P295" i="2" s="1"/>
  <c r="G45" i="4" s="1" a="1"/>
  <c r="G45" i="4" s="1"/>
  <c r="P204" i="2"/>
  <c r="R34" i="6"/>
  <c r="R77" i="6"/>
  <c r="R83" i="6" s="1"/>
  <c r="Q288" i="2"/>
  <c r="Q295" i="2" s="1"/>
  <c r="Y288" i="2"/>
  <c r="Y295" i="2" s="1"/>
  <c r="Y204" i="2"/>
  <c r="S29" i="2"/>
  <c r="AK29" i="2"/>
  <c r="AJ31" i="2" s="1"/>
  <c r="AJ32" i="2" s="1"/>
  <c r="AH44" i="2"/>
  <c r="W288" i="2"/>
  <c r="W295" i="2" s="1"/>
  <c r="W204" i="2"/>
  <c r="N5" i="4" a="1"/>
  <c r="N5" i="4" s="1"/>
  <c r="Y212" i="2"/>
  <c r="Y131" i="2"/>
  <c r="N6" i="4" s="1" a="1"/>
  <c r="N6" i="4" s="1"/>
  <c r="X288" i="2"/>
  <c r="X295" i="2" s="1"/>
  <c r="X204" i="2"/>
  <c r="AM288" i="2"/>
  <c r="AM295" i="2" s="1"/>
  <c r="AM204" i="2"/>
  <c r="Z288" i="2"/>
  <c r="Z295" i="2" s="1"/>
  <c r="Z204" i="2"/>
  <c r="P5" i="4" a="1"/>
  <c r="P5" i="4" s="1"/>
  <c r="AB212" i="2"/>
  <c r="AB131" i="2"/>
  <c r="P6" i="4" s="1" a="1"/>
  <c r="P6" i="4" s="1"/>
  <c r="AK36" i="2"/>
  <c r="P43" i="2"/>
  <c r="P214" i="2" s="1"/>
  <c r="X43" i="2"/>
  <c r="AC44" i="2" s="1"/>
  <c r="AF43" i="2"/>
  <c r="AI44" i="2"/>
  <c r="R5" i="4" a="1"/>
  <c r="R5" i="4" s="1"/>
  <c r="AD212" i="2"/>
  <c r="AD216" i="2" s="1"/>
  <c r="AD217" i="2" s="1"/>
  <c r="AD131" i="2"/>
  <c r="R6" i="4" s="1" a="1"/>
  <c r="R6" i="4" s="1"/>
  <c r="O288" i="2"/>
  <c r="O295" i="2" s="1"/>
  <c r="F45" i="4" s="1" a="1"/>
  <c r="F45" i="4" s="1"/>
  <c r="O204" i="2"/>
  <c r="G5" i="4" a="1"/>
  <c r="G5" i="4" s="1"/>
  <c r="P212" i="2"/>
  <c r="P131" i="2"/>
  <c r="G6" i="4" s="1" a="1"/>
  <c r="G6" i="4" s="1"/>
  <c r="AF36" i="2"/>
  <c r="AE38" i="2" s="1"/>
  <c r="AE39" i="2" s="1"/>
  <c r="W5" i="4" a="1"/>
  <c r="W5" i="4" s="1"/>
  <c r="AJ212" i="2"/>
  <c r="AJ216" i="2" s="1"/>
  <c r="AJ217" i="2" s="1"/>
  <c r="AJ131" i="2"/>
  <c r="W6" i="4" s="1" a="1"/>
  <c r="W6" i="4" s="1"/>
  <c r="AD30" i="2"/>
  <c r="AF33" i="2"/>
  <c r="D14" i="10"/>
  <c r="C11" i="11"/>
  <c r="C13" i="11" s="1"/>
  <c r="R288" i="2"/>
  <c r="R295" i="2" s="1"/>
  <c r="H45" i="4" s="1" a="1"/>
  <c r="H45" i="4" s="1"/>
  <c r="R204" i="2"/>
  <c r="T29" i="2"/>
  <c r="E14" i="10"/>
  <c r="D11" i="11"/>
  <c r="D13" i="11" s="1"/>
  <c r="S288" i="2"/>
  <c r="S295" i="2" s="1"/>
  <c r="I45" i="4" s="1" a="1"/>
  <c r="I45" i="4" s="1"/>
  <c r="S204" i="2"/>
  <c r="AA288" i="2"/>
  <c r="AA295" i="2" s="1"/>
  <c r="AA204" i="2"/>
  <c r="U29" i="2"/>
  <c r="Q5" i="4" a="1"/>
  <c r="Q5" i="4" s="1"/>
  <c r="AC212" i="2"/>
  <c r="AC216" i="2" s="1"/>
  <c r="AC217" i="2" s="1"/>
  <c r="AC131" i="2"/>
  <c r="Q6" i="4" s="1" a="1"/>
  <c r="Q6" i="4" s="1"/>
  <c r="AG30" i="2"/>
  <c r="AF213" i="2"/>
  <c r="AE37" i="2"/>
  <c r="Q43" i="2"/>
  <c r="Y43" i="2"/>
  <c r="AB44" i="2"/>
  <c r="AJ44" i="2"/>
  <c r="T288" i="2"/>
  <c r="T295" i="2" s="1"/>
  <c r="T204" i="2"/>
  <c r="R43" i="2"/>
  <c r="Z43" i="2"/>
  <c r="O221" i="2"/>
  <c r="O227" i="2" s="1"/>
  <c r="O51" i="2"/>
  <c r="F41" i="4" s="1" a="1"/>
  <c r="F41" i="4" s="1"/>
  <c r="J42" i="4" s="1"/>
  <c r="AY25" i="2" a="1"/>
  <c r="AK210" i="2" l="1"/>
  <c r="AT43" i="2"/>
  <c r="T205" i="2"/>
  <c r="AC37" i="2"/>
  <c r="R131" i="2"/>
  <c r="H6" i="4" s="1" a="1"/>
  <c r="H6" i="4" s="1"/>
  <c r="X37" i="2"/>
  <c r="H5" i="4" a="1"/>
  <c r="H5" i="4" s="1"/>
  <c r="AP214" i="2"/>
  <c r="O5" i="4" a="1"/>
  <c r="O5" i="4" s="1"/>
  <c r="P216" i="2"/>
  <c r="P217" i="2" s="1"/>
  <c r="U37" i="2"/>
  <c r="AB38" i="2"/>
  <c r="AB39" i="2" s="1"/>
  <c r="AB41" i="2" s="1"/>
  <c r="AF209" i="2"/>
  <c r="AC38" i="2"/>
  <c r="AC39" i="2" s="1"/>
  <c r="AC41" i="2" s="1"/>
  <c r="Y37" i="2"/>
  <c r="U44" i="2"/>
  <c r="AS43" i="2"/>
  <c r="G14" i="10"/>
  <c r="AD37" i="2"/>
  <c r="AK209" i="2"/>
  <c r="AP43" i="2"/>
  <c r="AP44" i="2" s="1"/>
  <c r="AE30" i="2"/>
  <c r="V296" i="2"/>
  <c r="Z131" i="2"/>
  <c r="O6" i="4" s="1" a="1"/>
  <c r="O6" i="4" s="1"/>
  <c r="AD38" i="2"/>
  <c r="AD39" i="2" s="1"/>
  <c r="AD41" i="2" s="1"/>
  <c r="S38" i="2"/>
  <c r="S39" i="2" s="1"/>
  <c r="S41" i="2" s="1"/>
  <c r="T38" i="2"/>
  <c r="T39" i="2" s="1"/>
  <c r="T41" i="2" s="1"/>
  <c r="U205" i="2"/>
  <c r="U38" i="2"/>
  <c r="U39" i="2" s="1"/>
  <c r="U41" i="2" s="1"/>
  <c r="AD31" i="2"/>
  <c r="AD32" i="2" s="1"/>
  <c r="AY25" i="2"/>
  <c r="AB34" i="2"/>
  <c r="AO32" i="2"/>
  <c r="AJ34" i="2"/>
  <c r="L45" i="4" a="1"/>
  <c r="L45" i="4" s="1"/>
  <c r="W296" i="2"/>
  <c r="AB296" i="2"/>
  <c r="M45" i="4" a="1"/>
  <c r="M45" i="4" s="1"/>
  <c r="X296" i="2"/>
  <c r="AC296" i="2"/>
  <c r="AF210" i="2"/>
  <c r="T45" i="4" a="1"/>
  <c r="T45" i="4" s="1"/>
  <c r="T46" i="4" s="1"/>
  <c r="AG296" i="2"/>
  <c r="AA296" i="2"/>
  <c r="AF296" i="2"/>
  <c r="V32" i="6"/>
  <c r="AK41" i="2"/>
  <c r="AG38" i="2"/>
  <c r="AG39" i="2" s="1"/>
  <c r="AH38" i="2"/>
  <c r="AH39" i="2" s="1"/>
  <c r="AK37" i="2"/>
  <c r="AK38" i="2"/>
  <c r="AI31" i="2"/>
  <c r="AI32" i="2" s="1"/>
  <c r="X205" i="2"/>
  <c r="AC205" i="2"/>
  <c r="I5" i="4" a="1"/>
  <c r="I5" i="4" s="1"/>
  <c r="S212" i="2"/>
  <c r="S216" i="2" s="1"/>
  <c r="S217" i="2" s="1"/>
  <c r="S131" i="2"/>
  <c r="I6" i="4" s="1" a="1"/>
  <c r="I6" i="4" s="1"/>
  <c r="V29" i="2"/>
  <c r="U31" i="2" s="1"/>
  <c r="U32" i="2" s="1"/>
  <c r="U34" i="2" s="1"/>
  <c r="AE41" i="2"/>
  <c r="AK288" i="2"/>
  <c r="AK295" i="2" s="1"/>
  <c r="AK296" i="2" s="1"/>
  <c r="AK204" i="2"/>
  <c r="AK205" i="2" s="1"/>
  <c r="AK34" i="2"/>
  <c r="U45" i="4" a="1"/>
  <c r="U45" i="4" s="1"/>
  <c r="U46" i="4" s="1"/>
  <c r="AH296" i="2"/>
  <c r="V213" i="2"/>
  <c r="V209" i="2" s="1"/>
  <c r="AT214" i="2"/>
  <c r="AY43" i="2"/>
  <c r="AY214" i="2" s="1"/>
  <c r="Y214" i="2"/>
  <c r="Y44" i="2"/>
  <c r="AJ38" i="2"/>
  <c r="AJ39" i="2" s="1"/>
  <c r="X214" i="2"/>
  <c r="X216" i="2" s="1"/>
  <c r="X217" i="2" s="1"/>
  <c r="X44" i="2"/>
  <c r="Y205" i="2"/>
  <c r="AD205" i="2"/>
  <c r="AI216" i="2"/>
  <c r="AI217" i="2" s="1"/>
  <c r="AK212" i="2"/>
  <c r="T214" i="2"/>
  <c r="T44" i="2"/>
  <c r="W213" i="2"/>
  <c r="AA213" i="2" s="1"/>
  <c r="W37" i="2"/>
  <c r="AB37" i="2"/>
  <c r="AA36" i="2"/>
  <c r="W38" i="2" s="1"/>
  <c r="W39" i="2" s="1"/>
  <c r="T37" i="2"/>
  <c r="J5" i="4" a="1"/>
  <c r="J5" i="4" s="1"/>
  <c r="T212" i="2"/>
  <c r="T216" i="2" s="1"/>
  <c r="T217" i="2" s="1"/>
  <c r="T131" i="2"/>
  <c r="J6" i="4" s="1" a="1"/>
  <c r="J6" i="4" s="1"/>
  <c r="T30" i="2"/>
  <c r="N45" i="4" a="1"/>
  <c r="N45" i="4" s="1"/>
  <c r="Y296" i="2"/>
  <c r="AD296" i="2"/>
  <c r="K45" i="4" a="1"/>
  <c r="K45" i="4" s="1"/>
  <c r="K46" i="4" s="1"/>
  <c r="U296" i="2"/>
  <c r="AA43" i="2"/>
  <c r="AK44" i="2"/>
  <c r="AA205" i="2"/>
  <c r="AF205" i="2"/>
  <c r="F5" i="4" a="1"/>
  <c r="F5" i="4" s="1"/>
  <c r="O212" i="2"/>
  <c r="O216" i="2" s="1"/>
  <c r="O217" i="2" s="1"/>
  <c r="O131" i="2"/>
  <c r="F6" i="4" s="1" a="1"/>
  <c r="F6" i="4" s="1"/>
  <c r="AB216" i="2"/>
  <c r="AB217" i="2" s="1"/>
  <c r="AF212" i="2"/>
  <c r="R214" i="2"/>
  <c r="R216" i="2" s="1"/>
  <c r="R217" i="2" s="1"/>
  <c r="V43" i="2"/>
  <c r="V44" i="2" s="1"/>
  <c r="J45" i="4" a="1"/>
  <c r="J45" i="4" s="1"/>
  <c r="J46" i="4" s="1"/>
  <c r="T296" i="2"/>
  <c r="K5" i="4" a="1"/>
  <c r="K5" i="4" s="1"/>
  <c r="U212" i="2"/>
  <c r="U216" i="2" s="1"/>
  <c r="U131" i="2"/>
  <c r="K6" i="4" s="1" a="1"/>
  <c r="K6" i="4" s="1"/>
  <c r="Z30" i="2"/>
  <c r="U30" i="2"/>
  <c r="O45" i="4" a="1"/>
  <c r="O45" i="4" s="1"/>
  <c r="Z296" i="2"/>
  <c r="AE296" i="2"/>
  <c r="AK131" i="2"/>
  <c r="AK31" i="2"/>
  <c r="AH31" i="2"/>
  <c r="AH32" i="2" s="1"/>
  <c r="AK30" i="2"/>
  <c r="AG31" i="2"/>
  <c r="AG32" i="2" s="1"/>
  <c r="Y30" i="2"/>
  <c r="Z214" i="2"/>
  <c r="Z216" i="2" s="1"/>
  <c r="Z217" i="2" s="1"/>
  <c r="Z44" i="2"/>
  <c r="AE44" i="2"/>
  <c r="AD44" i="2"/>
  <c r="L5" i="4" a="1"/>
  <c r="L5" i="4" s="1"/>
  <c r="W212" i="2"/>
  <c r="W131" i="2"/>
  <c r="L6" i="4" s="1" a="1"/>
  <c r="L6" i="4" s="1"/>
  <c r="W30" i="2"/>
  <c r="AA29" i="2"/>
  <c r="W31" i="2" s="1"/>
  <c r="W32" i="2" s="1"/>
  <c r="W44" i="2"/>
  <c r="U32" i="6"/>
  <c r="U77" i="6" s="1"/>
  <c r="U83" i="6" s="1"/>
  <c r="AF38" i="2"/>
  <c r="AF41" i="2"/>
  <c r="AM205" i="2"/>
  <c r="AL205" i="2"/>
  <c r="AB30" i="2"/>
  <c r="S32" i="6"/>
  <c r="V41" i="2"/>
  <c r="V37" i="2"/>
  <c r="V38" i="2"/>
  <c r="AI38" i="2"/>
  <c r="AI39" i="2" s="1"/>
  <c r="Z205" i="2"/>
  <c r="AE205" i="2"/>
  <c r="Y45" i="4" a="1"/>
  <c r="Y45" i="4" s="1"/>
  <c r="AM296" i="2"/>
  <c r="W205" i="2"/>
  <c r="AB205" i="2"/>
  <c r="X45" i="4" a="1"/>
  <c r="X45" i="4" s="1"/>
  <c r="AL296" i="2"/>
  <c r="AF131" i="2"/>
  <c r="AE31" i="2"/>
  <c r="AE32" i="2" s="1"/>
  <c r="AF34" i="2"/>
  <c r="AC31" i="2"/>
  <c r="AC32" i="2" s="1"/>
  <c r="AF31" i="2"/>
  <c r="X30" i="2"/>
  <c r="AD34" i="2"/>
  <c r="AX25" i="2" a="1"/>
  <c r="AU43" i="2" l="1"/>
  <c r="AU44" i="2" s="1"/>
  <c r="T31" i="2"/>
  <c r="T32" i="2" s="1"/>
  <c r="T34" i="2" s="1"/>
  <c r="AX43" i="2"/>
  <c r="AX214" i="2" s="1"/>
  <c r="AZ214" i="2" s="1"/>
  <c r="AS214" i="2"/>
  <c r="AU214" i="2" s="1"/>
  <c r="Y46" i="4"/>
  <c r="X46" i="4"/>
  <c r="AF30" i="2"/>
  <c r="V212" i="2"/>
  <c r="V207" i="2" s="1"/>
  <c r="AA214" i="2"/>
  <c r="AA210" i="2" s="1"/>
  <c r="Y216" i="2"/>
  <c r="Y217" i="2" s="1"/>
  <c r="AX25" i="2"/>
  <c r="W40" i="2"/>
  <c r="W41" i="2"/>
  <c r="W42" i="2" s="1"/>
  <c r="AB40" i="2"/>
  <c r="S34" i="6"/>
  <c r="S77" i="6"/>
  <c r="S83" i="6" s="1"/>
  <c r="L46" i="4"/>
  <c r="P46" i="4"/>
  <c r="AI40" i="2"/>
  <c r="AI41" i="2"/>
  <c r="AN39" i="2"/>
  <c r="AS39" i="2" s="1"/>
  <c r="AX39" i="2" s="1"/>
  <c r="AA131" i="2"/>
  <c r="AA31" i="2"/>
  <c r="Z31" i="2"/>
  <c r="Z32" i="2" s="1"/>
  <c r="AE33" i="2" s="1"/>
  <c r="AA34" i="2"/>
  <c r="AF35" i="2" s="1"/>
  <c r="AA30" i="2"/>
  <c r="X31" i="2"/>
  <c r="X32" i="2" s="1"/>
  <c r="Y31" i="2"/>
  <c r="Y32" i="2" s="1"/>
  <c r="AB42" i="2"/>
  <c r="V214" i="2"/>
  <c r="V210" i="2" s="1"/>
  <c r="AA209" i="2"/>
  <c r="V34" i="6"/>
  <c r="V77" i="6"/>
  <c r="V83" i="6" s="1"/>
  <c r="AF207" i="2"/>
  <c r="AF216" i="2"/>
  <c r="AF217" i="2" s="1"/>
  <c r="AE34" i="2"/>
  <c r="AK42" i="2"/>
  <c r="AP41" i="2"/>
  <c r="AU41" i="2" s="1"/>
  <c r="AZ41" i="2" s="1"/>
  <c r="N46" i="4"/>
  <c r="R46" i="4"/>
  <c r="AO34" i="2"/>
  <c r="AT34" i="2" s="1"/>
  <c r="AY34" i="2" s="1"/>
  <c r="W34" i="2"/>
  <c r="AB35" i="2" s="1"/>
  <c r="AI33" i="2"/>
  <c r="AI34" i="2"/>
  <c r="AN32" i="2"/>
  <c r="AT32" i="2"/>
  <c r="AH33" i="2"/>
  <c r="AH34" i="2"/>
  <c r="AM32" i="2"/>
  <c r="AR32" i="2" s="1"/>
  <c r="AK216" i="2"/>
  <c r="AK217" i="2" s="1"/>
  <c r="AK207" i="2"/>
  <c r="V131" i="2"/>
  <c r="V31" i="2"/>
  <c r="R31" i="2"/>
  <c r="R32" i="2" s="1"/>
  <c r="R34" i="2" s="1"/>
  <c r="V34" i="2"/>
  <c r="M46" i="4"/>
  <c r="Q46" i="4"/>
  <c r="AJ33" i="2"/>
  <c r="AF37" i="2"/>
  <c r="AC34" i="2"/>
  <c r="AA212" i="2"/>
  <c r="W216" i="2"/>
  <c r="W217" i="2" s="1"/>
  <c r="O46" i="4"/>
  <c r="S46" i="4"/>
  <c r="AA44" i="2"/>
  <c r="AJ41" i="2"/>
  <c r="AJ40" i="2"/>
  <c r="AO39" i="2"/>
  <c r="AT39" i="2" s="1"/>
  <c r="AY39" i="2" s="1"/>
  <c r="AK35" i="2"/>
  <c r="AP34" i="2"/>
  <c r="AU34" i="2" s="1"/>
  <c r="AZ34" i="2" s="1"/>
  <c r="S31" i="2"/>
  <c r="S32" i="2" s="1"/>
  <c r="S34" i="2" s="1"/>
  <c r="AF44" i="2"/>
  <c r="AB33" i="2"/>
  <c r="AG33" i="2"/>
  <c r="AL32" i="2"/>
  <c r="AG34" i="2"/>
  <c r="T32" i="6"/>
  <c r="AA38" i="2"/>
  <c r="AA41" i="2"/>
  <c r="AA42" i="2" s="1"/>
  <c r="AA37" i="2"/>
  <c r="Y38" i="2"/>
  <c r="Y39" i="2" s="1"/>
  <c r="Z38" i="2"/>
  <c r="Z39" i="2" s="1"/>
  <c r="X38" i="2"/>
  <c r="X39" i="2" s="1"/>
  <c r="AM39" i="2"/>
  <c r="AR39" i="2" s="1"/>
  <c r="AW39" i="2" s="1"/>
  <c r="AH41" i="2"/>
  <c r="AH40" i="2"/>
  <c r="AG40" i="2"/>
  <c r="AG41" i="2"/>
  <c r="AL39" i="2"/>
  <c r="AW25" i="2" a="1"/>
  <c r="AZ43" i="2" l="1"/>
  <c r="AZ44" i="2" s="1"/>
  <c r="V216" i="2"/>
  <c r="V217" i="2" s="1"/>
  <c r="AK208" i="2"/>
  <c r="W35" i="2"/>
  <c r="AW25" i="2"/>
  <c r="AH42" i="2"/>
  <c r="AM41" i="2"/>
  <c r="AR41" i="2" s="1"/>
  <c r="AA35" i="2"/>
  <c r="AW32" i="2"/>
  <c r="Z33" i="2"/>
  <c r="Z34" i="2"/>
  <c r="Z35" i="2" s="1"/>
  <c r="X33" i="2"/>
  <c r="X34" i="2"/>
  <c r="X35" i="2" s="1"/>
  <c r="AN34" i="2"/>
  <c r="AS34" i="2" s="1"/>
  <c r="AX34" i="2" s="1"/>
  <c r="AI35" i="2"/>
  <c r="T34" i="6"/>
  <c r="T77" i="6"/>
  <c r="T83" i="6" s="1"/>
  <c r="AH35" i="2"/>
  <c r="AM34" i="2"/>
  <c r="AR34" i="2" s="1"/>
  <c r="AW34" i="2" s="1"/>
  <c r="AL41" i="2"/>
  <c r="AQ41" i="2" s="1"/>
  <c r="AG42" i="2"/>
  <c r="X40" i="2"/>
  <c r="X41" i="2"/>
  <c r="AC40" i="2"/>
  <c r="AP32" i="2"/>
  <c r="AQ32" i="2"/>
  <c r="AA216" i="2"/>
  <c r="AA217" i="2" s="1"/>
  <c r="AA207" i="2"/>
  <c r="AA208" i="2" s="1"/>
  <c r="AY32" i="2"/>
  <c r="AY29" i="2" s="1"/>
  <c r="AT29" i="2"/>
  <c r="AJ35" i="2"/>
  <c r="Y40" i="2"/>
  <c r="Y41" i="2"/>
  <c r="AD40" i="2"/>
  <c r="AS32" i="2"/>
  <c r="AF42" i="2"/>
  <c r="AP39" i="2"/>
  <c r="AQ39" i="2"/>
  <c r="AG35" i="2"/>
  <c r="AL34" i="2"/>
  <c r="AQ34" i="2" s="1"/>
  <c r="AV34" i="2" s="1"/>
  <c r="Z40" i="2"/>
  <c r="Z41" i="2"/>
  <c r="AE40" i="2"/>
  <c r="AO41" i="2"/>
  <c r="AJ42" i="2"/>
  <c r="AC33" i="2"/>
  <c r="AO29" i="2"/>
  <c r="W33" i="2"/>
  <c r="Y33" i="2"/>
  <c r="Y34" i="2"/>
  <c r="AD33" i="2"/>
  <c r="AI42" i="2"/>
  <c r="AN41" i="2"/>
  <c r="AV25" i="2" a="1"/>
  <c r="AF208" i="2" l="1"/>
  <c r="AC35" i="2"/>
  <c r="AV25" i="2"/>
  <c r="Y42" i="2"/>
  <c r="AD42" i="2"/>
  <c r="AA5" i="4" a="1"/>
  <c r="AA5" i="4" s="1"/>
  <c r="AO30" i="2"/>
  <c r="AE35" i="2"/>
  <c r="AU39" i="2"/>
  <c r="AV39" i="2"/>
  <c r="AZ39" i="2" s="1"/>
  <c r="AR29" i="2"/>
  <c r="AS41" i="2"/>
  <c r="AN36" i="2"/>
  <c r="AW29" i="2"/>
  <c r="AT41" i="2"/>
  <c r="AO36" i="2"/>
  <c r="AE5" i="4" a="1"/>
  <c r="AE5" i="4" s="1"/>
  <c r="AT30" i="2"/>
  <c r="AS29" i="2"/>
  <c r="AX32" i="2"/>
  <c r="AX29" i="2" s="1"/>
  <c r="AI5" i="4" a="1"/>
  <c r="AI5" i="4" s="1"/>
  <c r="AY30" i="2"/>
  <c r="AW41" i="2"/>
  <c r="AW36" i="2" s="1"/>
  <c r="AR36" i="2"/>
  <c r="AU32" i="2"/>
  <c r="AQ29" i="2"/>
  <c r="AV32" i="2"/>
  <c r="X42" i="2"/>
  <c r="AC42" i="2"/>
  <c r="Y35" i="2"/>
  <c r="AD35" i="2"/>
  <c r="Z42" i="2"/>
  <c r="AE42" i="2"/>
  <c r="AN29" i="2"/>
  <c r="AV41" i="2"/>
  <c r="AQ36" i="2"/>
  <c r="AU25" i="2" a="1"/>
  <c r="AU25" i="2" l="1"/>
  <c r="AY41" i="2"/>
  <c r="AY36" i="2" s="1"/>
  <c r="AT36" i="2"/>
  <c r="AQ213" i="2"/>
  <c r="AQ37" i="2"/>
  <c r="AQ45" i="2"/>
  <c r="AQ221" i="2" s="1"/>
  <c r="AQ227" i="2" s="1"/>
  <c r="AQ231" i="2" s="1"/>
  <c r="AQ208" i="2" s="1"/>
  <c r="AQ207" i="2" s="1"/>
  <c r="AQ212" i="2" s="1"/>
  <c r="AO213" i="2"/>
  <c r="AO37" i="2"/>
  <c r="AO45" i="2"/>
  <c r="AO221" i="2" s="1"/>
  <c r="AO227" i="2" s="1"/>
  <c r="AV36" i="2"/>
  <c r="AV29" i="2"/>
  <c r="AZ32" i="2"/>
  <c r="Z5" i="4" a="1"/>
  <c r="Z5" i="4" s="1"/>
  <c r="AN30" i="2"/>
  <c r="AN28" i="2"/>
  <c r="AP29" i="2"/>
  <c r="AB5" i="4" a="1"/>
  <c r="AB5" i="4" s="1"/>
  <c r="AQ28" i="2"/>
  <c r="AU29" i="2"/>
  <c r="AQ31" i="2" s="1"/>
  <c r="AQ30" i="2"/>
  <c r="AH5" i="4" a="1"/>
  <c r="AH5" i="4" s="1"/>
  <c r="AX30" i="2"/>
  <c r="AG5" i="4" a="1"/>
  <c r="AG5" i="4" s="1"/>
  <c r="AW30" i="2"/>
  <c r="AW28" i="2"/>
  <c r="AO28" i="2"/>
  <c r="AD5" i="4" a="1"/>
  <c r="AD5" i="4" s="1"/>
  <c r="AS30" i="2"/>
  <c r="AN213" i="2"/>
  <c r="AP36" i="2"/>
  <c r="AN37" i="2"/>
  <c r="AN45" i="2"/>
  <c r="AN221" i="2" s="1"/>
  <c r="AN227" i="2" s="1"/>
  <c r="AN47" i="2"/>
  <c r="AN222" i="2" s="1"/>
  <c r="AN228" i="2" s="1"/>
  <c r="AR213" i="2"/>
  <c r="AR37" i="2"/>
  <c r="AR45" i="2"/>
  <c r="AR221" i="2" s="1"/>
  <c r="AR227" i="2" s="1"/>
  <c r="AR231" i="2" s="1"/>
  <c r="AR208" i="2" s="1"/>
  <c r="AR207" i="2" s="1"/>
  <c r="AR212" i="2" s="1"/>
  <c r="AX41" i="2"/>
  <c r="AX36" i="2" s="1"/>
  <c r="AS36" i="2"/>
  <c r="AW213" i="2"/>
  <c r="AW37" i="2"/>
  <c r="AW45" i="2"/>
  <c r="AW221" i="2" s="1"/>
  <c r="AW227" i="2" s="1"/>
  <c r="AW231" i="2" s="1"/>
  <c r="AW208" i="2" s="1"/>
  <c r="AC5" i="4" a="1"/>
  <c r="AC5" i="4" s="1"/>
  <c r="AR31" i="2"/>
  <c r="AR30" i="2"/>
  <c r="AR28" i="2"/>
  <c r="AT25" i="2" a="1"/>
  <c r="AU36" i="2" l="1"/>
  <c r="AQ38" i="2" s="1"/>
  <c r="AR216" i="2"/>
  <c r="AR204" i="2" s="1"/>
  <c r="AR295" i="2" s="1"/>
  <c r="AS28" i="2"/>
  <c r="AS51" i="2" s="1"/>
  <c r="AW207" i="2"/>
  <c r="AW212" i="2" s="1"/>
  <c r="AW216" i="2" s="1"/>
  <c r="AW204" i="2" s="1"/>
  <c r="AW295" i="2" s="1"/>
  <c r="AT25" i="2"/>
  <c r="AQ216" i="2"/>
  <c r="AP213" i="2"/>
  <c r="AQ288" i="2"/>
  <c r="AQ51" i="2"/>
  <c r="AF5" i="4" a="1"/>
  <c r="AF5" i="4" s="1"/>
  <c r="AV30" i="2"/>
  <c r="AV28" i="2"/>
  <c r="AZ29" i="2"/>
  <c r="AV31" i="2" s="1"/>
  <c r="AX213" i="2"/>
  <c r="AX37" i="2"/>
  <c r="AX45" i="2"/>
  <c r="AX221" i="2" s="1"/>
  <c r="AX227" i="2" s="1"/>
  <c r="AX231" i="2" s="1"/>
  <c r="AX208" i="2" s="1"/>
  <c r="AV213" i="2"/>
  <c r="AV37" i="2"/>
  <c r="AZ36" i="2"/>
  <c r="AY38" i="2" s="1"/>
  <c r="AV45" i="2"/>
  <c r="AV221" i="2" s="1"/>
  <c r="AV227" i="2" s="1"/>
  <c r="AV231" i="2" s="1"/>
  <c r="AV208" i="2" s="1"/>
  <c r="AV207" i="2" s="1"/>
  <c r="AV212" i="2" s="1"/>
  <c r="AP30" i="2"/>
  <c r="AL31" i="2"/>
  <c r="AM31" i="2"/>
  <c r="AO31" i="2"/>
  <c r="AX28" i="2"/>
  <c r="AN31" i="2"/>
  <c r="AT213" i="2"/>
  <c r="AT37" i="2"/>
  <c r="AT45" i="2"/>
  <c r="AT221" i="2" s="1"/>
  <c r="AT227" i="2" s="1"/>
  <c r="AT231" i="2" s="1"/>
  <c r="AT208" i="2" s="1"/>
  <c r="AT28" i="2"/>
  <c r="AM38" i="2"/>
  <c r="AP37" i="2"/>
  <c r="AL38" i="2"/>
  <c r="AP45" i="2"/>
  <c r="AP221" i="2" s="1"/>
  <c r="AP227" i="2" s="1"/>
  <c r="AN38" i="2"/>
  <c r="AW288" i="2"/>
  <c r="AW51" i="2"/>
  <c r="AU30" i="2"/>
  <c r="AT31" i="2"/>
  <c r="AS31" i="2"/>
  <c r="AR288" i="2"/>
  <c r="AR51" i="2"/>
  <c r="AS213" i="2"/>
  <c r="AS37" i="2"/>
  <c r="AS45" i="2"/>
  <c r="AS221" i="2" s="1"/>
  <c r="AS227" i="2" s="1"/>
  <c r="AS231" i="2" s="1"/>
  <c r="AS208" i="2" s="1"/>
  <c r="AO288" i="2"/>
  <c r="AO51" i="2"/>
  <c r="AN288" i="2"/>
  <c r="AN51" i="2"/>
  <c r="AP28" i="2"/>
  <c r="AO38" i="2"/>
  <c r="AY213" i="2"/>
  <c r="AY37" i="2"/>
  <c r="AY45" i="2"/>
  <c r="AY221" i="2" s="1"/>
  <c r="AY227" i="2" s="1"/>
  <c r="AY231" i="2" s="1"/>
  <c r="AY208" i="2" s="1"/>
  <c r="AY28" i="2"/>
  <c r="AS25" i="2" a="1"/>
  <c r="AS288" i="2" l="1"/>
  <c r="AT38" i="2"/>
  <c r="AU37" i="2"/>
  <c r="AV38" i="2"/>
  <c r="AR205" i="2"/>
  <c r="AU31" i="2"/>
  <c r="AR38" i="2"/>
  <c r="AW205" i="2"/>
  <c r="AS38" i="2"/>
  <c r="AU45" i="2"/>
  <c r="AU221" i="2" s="1"/>
  <c r="AU227" i="2" s="1"/>
  <c r="AU231" i="2" s="1"/>
  <c r="AU208" i="2" s="1"/>
  <c r="AZ213" i="2"/>
  <c r="AU213" i="2"/>
  <c r="AS25" i="2"/>
  <c r="AY288" i="2"/>
  <c r="AY51" i="2"/>
  <c r="AR309" i="2"/>
  <c r="AR296" i="2"/>
  <c r="AV216" i="2"/>
  <c r="AT288" i="2"/>
  <c r="AT51" i="2"/>
  <c r="AW309" i="2"/>
  <c r="AW296" i="2"/>
  <c r="AP288" i="2"/>
  <c r="AP51" i="2"/>
  <c r="AZ37" i="2"/>
  <c r="AZ45" i="2"/>
  <c r="AZ221" i="2" s="1"/>
  <c r="AZ227" i="2" s="1"/>
  <c r="AZ231" i="2" s="1"/>
  <c r="AZ208" i="2" s="1"/>
  <c r="AW38" i="2"/>
  <c r="AZ30" i="2"/>
  <c r="AY31" i="2"/>
  <c r="AW31" i="2"/>
  <c r="AX31" i="2"/>
  <c r="D15" i="10"/>
  <c r="C16" i="11"/>
  <c r="C18" i="11" s="1"/>
  <c r="AV288" i="2"/>
  <c r="AV51" i="2"/>
  <c r="AZ28" i="2"/>
  <c r="AQ204" i="2"/>
  <c r="E15" i="10"/>
  <c r="D16" i="11"/>
  <c r="D18" i="11" s="1"/>
  <c r="AP38" i="2"/>
  <c r="AP31" i="2"/>
  <c r="AU28" i="2"/>
  <c r="AX288" i="2"/>
  <c r="AX51" i="2"/>
  <c r="AX38" i="2"/>
  <c r="AR25" i="2" a="1"/>
  <c r="AU38" i="2" l="1"/>
  <c r="AZ38" i="2"/>
  <c r="AZ31" i="2"/>
  <c r="AR25" i="2"/>
  <c r="AV204" i="2"/>
  <c r="AQ295" i="2"/>
  <c r="AQ205" i="2"/>
  <c r="AU288" i="2"/>
  <c r="AU51" i="2"/>
  <c r="AZ288" i="2"/>
  <c r="AZ51" i="2"/>
  <c r="F15" i="10"/>
  <c r="E16" i="11"/>
  <c r="E18" i="11" s="1"/>
  <c r="AQ25" i="2" a="1"/>
  <c r="AQ25" i="2" l="1"/>
  <c r="G15" i="10"/>
  <c r="F16" i="11"/>
  <c r="F18" i="11" s="1"/>
  <c r="AQ309" i="2"/>
  <c r="AQ296" i="2"/>
  <c r="AV295" i="2"/>
  <c r="AV205" i="2"/>
  <c r="AP25" i="2" a="1"/>
  <c r="AP25" i="2" l="1"/>
  <c r="AV309" i="2"/>
  <c r="AV296" i="2"/>
  <c r="AO25" i="2" a="1"/>
  <c r="AO25" i="2" l="1"/>
  <c r="AN25" i="2" a="1"/>
  <c r="AN25" i="2" l="1"/>
  <c r="AM25" i="2" a="1"/>
  <c r="AM25" i="2" l="1"/>
  <c r="AL25" i="2" a="1"/>
  <c r="AL25" i="2" l="1"/>
  <c r="AK25" i="2" a="1"/>
  <c r="AK25" i="2" l="1"/>
  <c r="AJ25" i="2" a="1"/>
  <c r="AJ25" i="2" l="1"/>
  <c r="AI25" i="2" a="1"/>
  <c r="AI25" i="2" l="1"/>
  <c r="AH25" i="2" a="1"/>
  <c r="AH25" i="2" l="1"/>
  <c r="AG25" i="2" a="1"/>
  <c r="AG25" i="2" l="1"/>
  <c r="AF25" i="2" a="1"/>
  <c r="AF25" i="2" l="1"/>
  <c r="AE25" i="2" a="1"/>
  <c r="AE25" i="2" l="1"/>
  <c r="AD25" i="2" a="1"/>
  <c r="AD25" i="2" l="1"/>
  <c r="AC25" i="2" a="1"/>
  <c r="AC25" i="2" l="1"/>
  <c r="AB25" i="2" a="1"/>
  <c r="AB25" i="2" l="1"/>
  <c r="AA25" i="2" a="1"/>
  <c r="AA25" i="2" l="1"/>
  <c r="Z25" i="2" a="1"/>
  <c r="Z25" i="2" l="1"/>
  <c r="Y25" i="2" a="1"/>
  <c r="Y25" i="2" l="1"/>
  <c r="X25" i="2" a="1"/>
  <c r="X25" i="2" l="1"/>
  <c r="W25" i="2" a="1"/>
  <c r="W25" i="2" l="1"/>
  <c r="V25" i="2" a="1"/>
  <c r="V25" i="2" l="1"/>
  <c r="U25" i="2" a="1"/>
  <c r="U25" i="2" l="1"/>
  <c r="T25" i="2" a="1"/>
  <c r="T25" i="2" l="1"/>
  <c r="S25" i="2" a="1"/>
  <c r="S25" i="2" l="1"/>
  <c r="R25" i="2" a="1"/>
  <c r="R25" i="2" l="1"/>
  <c r="Q25" i="2" a="1"/>
  <c r="Q25" i="2" l="1"/>
  <c r="P25" i="2" a="1"/>
  <c r="P25" i="2" l="1"/>
  <c r="O25" i="2" a="1"/>
  <c r="O25" i="2" l="1"/>
  <c r="AZ24" i="2"/>
  <c r="AZ189" i="2" s="1"/>
  <c r="AZ195" i="2" s="1"/>
  <c r="AU24" i="2"/>
  <c r="AU189" i="2" s="1"/>
  <c r="AU195" i="2" s="1"/>
  <c r="AM24" i="2" a="1"/>
  <c r="AM24" i="2" l="1"/>
  <c r="AL24" i="2" a="1"/>
  <c r="AL24" i="2" l="1"/>
  <c r="Y31" i="4" a="1"/>
  <c r="Y31" i="4" s="1"/>
  <c r="Y16" i="4" a="1"/>
  <c r="Y16" i="4" s="1"/>
  <c r="AM189" i="2"/>
  <c r="AM195" i="2" s="1"/>
  <c r="AK24" i="2" a="1"/>
  <c r="AK24" i="2" l="1"/>
  <c r="AK189" i="2" s="1"/>
  <c r="X31" i="4" a="1"/>
  <c r="X31" i="4" s="1"/>
  <c r="X16" i="4" a="1"/>
  <c r="X16" i="4" s="1"/>
  <c r="AL189" i="2"/>
  <c r="AL195" i="2" s="1"/>
  <c r="AP24" i="2"/>
  <c r="AP189" i="2" s="1"/>
  <c r="AP195" i="2" s="1"/>
  <c r="AJ24" i="2" a="1"/>
  <c r="AJ24" i="2" l="1"/>
  <c r="AI24" i="2" a="1"/>
  <c r="AI24" i="2" l="1"/>
  <c r="W31" i="4" a="1"/>
  <c r="W31" i="4" s="1"/>
  <c r="W16" i="4" a="1"/>
  <c r="W16" i="4" s="1"/>
  <c r="AJ189" i="2"/>
  <c r="AJ195" i="2" s="1"/>
  <c r="AH24" i="2" a="1"/>
  <c r="AH24" i="2" l="1"/>
  <c r="V31" i="4" a="1"/>
  <c r="V31" i="4" s="1"/>
  <c r="V16" i="4" a="1"/>
  <c r="V16" i="4" s="1"/>
  <c r="AI189" i="2"/>
  <c r="AI195" i="2" s="1"/>
  <c r="AG24" i="2" a="1"/>
  <c r="AG24" i="2" l="1"/>
  <c r="U31" i="4" a="1"/>
  <c r="U31" i="4" s="1"/>
  <c r="U16" i="4" a="1"/>
  <c r="U16" i="4" s="1"/>
  <c r="AH189" i="2"/>
  <c r="AH195" i="2" s="1"/>
  <c r="AF24" i="2" a="1"/>
  <c r="AF24" i="2" l="1"/>
  <c r="AF189" i="2" s="1"/>
  <c r="T31" i="4" a="1"/>
  <c r="T31" i="4" s="1"/>
  <c r="T16" i="4" a="1"/>
  <c r="T16" i="4" s="1"/>
  <c r="AG189" i="2"/>
  <c r="AG195" i="2" s="1"/>
  <c r="AE24" i="2" a="1"/>
  <c r="AE24" i="2" l="1"/>
  <c r="AD24" i="2" a="1"/>
  <c r="AD24" i="2" l="1"/>
  <c r="S31" i="4" a="1"/>
  <c r="S31" i="4" s="1"/>
  <c r="S16" i="4" a="1"/>
  <c r="S16" i="4" s="1"/>
  <c r="AE189" i="2"/>
  <c r="AE195" i="2" s="1"/>
  <c r="AC24" i="2" a="1"/>
  <c r="AC24" i="2" l="1"/>
  <c r="R31" i="4" a="1"/>
  <c r="R31" i="4" s="1"/>
  <c r="R16" i="4" a="1"/>
  <c r="R16" i="4" s="1"/>
  <c r="AD189" i="2"/>
  <c r="AD195" i="2" s="1"/>
  <c r="AB24" i="2" a="1"/>
  <c r="AB24" i="2" l="1"/>
  <c r="Q31" i="4" a="1"/>
  <c r="Q31" i="4" s="1"/>
  <c r="Q16" i="4" a="1"/>
  <c r="Q16" i="4" s="1"/>
  <c r="AC189" i="2"/>
  <c r="AC195" i="2" s="1"/>
  <c r="AA24" i="2" a="1"/>
  <c r="AA24" i="2" l="1"/>
  <c r="AA189" i="2" s="1"/>
  <c r="P31" i="4" a="1"/>
  <c r="P31" i="4" s="1"/>
  <c r="P16" i="4" a="1"/>
  <c r="P16" i="4" s="1"/>
  <c r="AB189" i="2"/>
  <c r="AB195" i="2" s="1"/>
  <c r="Z24" i="2" a="1"/>
  <c r="Z24" i="2" l="1"/>
  <c r="Y24" i="2" a="1"/>
  <c r="Y24" i="2" l="1"/>
  <c r="O31" i="4" a="1"/>
  <c r="O31" i="4" s="1"/>
  <c r="O16" i="4" a="1"/>
  <c r="O16" i="4" s="1"/>
  <c r="Z189" i="2"/>
  <c r="Z195" i="2" s="1"/>
  <c r="X24" i="2" a="1"/>
  <c r="X24" i="2" l="1"/>
  <c r="N31" i="4" a="1"/>
  <c r="N31" i="4" s="1"/>
  <c r="N16" i="4" a="1"/>
  <c r="N16" i="4" s="1"/>
  <c r="Y189" i="2"/>
  <c r="Y195" i="2" s="1"/>
  <c r="W24" i="2" a="1"/>
  <c r="W24" i="2" l="1"/>
  <c r="M31" i="4" a="1"/>
  <c r="M31" i="4" s="1"/>
  <c r="M16" i="4" a="1"/>
  <c r="M16" i="4" s="1"/>
  <c r="X189" i="2"/>
  <c r="X195" i="2" s="1"/>
  <c r="V24" i="2" a="1"/>
  <c r="V24" i="2" l="1"/>
  <c r="V189" i="2" s="1"/>
  <c r="L31" i="4" a="1"/>
  <c r="L31" i="4" s="1"/>
  <c r="L16" i="4" a="1"/>
  <c r="L16" i="4" s="1"/>
  <c r="W189" i="2"/>
  <c r="W195" i="2" s="1"/>
  <c r="U24" i="2" a="1"/>
  <c r="U24" i="2" l="1"/>
  <c r="T24" i="2" a="1"/>
  <c r="T24" i="2" l="1"/>
  <c r="K31" i="4" a="1"/>
  <c r="K31" i="4" s="1"/>
  <c r="K16" i="4" a="1"/>
  <c r="K16" i="4" s="1"/>
  <c r="U189" i="2"/>
  <c r="U195" i="2" s="1"/>
  <c r="S24" i="2" a="1"/>
  <c r="S24" i="2" l="1"/>
  <c r="J31" i="4" a="1"/>
  <c r="J31" i="4" s="1"/>
  <c r="J16" i="4" a="1"/>
  <c r="J16" i="4" s="1"/>
  <c r="T189" i="2"/>
  <c r="T195" i="2" s="1"/>
  <c r="R24" i="2" a="1"/>
  <c r="R24" i="2" l="1"/>
  <c r="I31" i="4" a="1"/>
  <c r="I31" i="4" s="1"/>
  <c r="I16" i="4" a="1"/>
  <c r="I16" i="4" s="1"/>
  <c r="S189" i="2"/>
  <c r="S195" i="2" s="1"/>
  <c r="Q24" i="2" a="1"/>
  <c r="Q24" i="2" l="1"/>
  <c r="Q189" i="2" s="1"/>
  <c r="Q195" i="2" s="1"/>
  <c r="H31" i="4" a="1"/>
  <c r="H31" i="4" s="1"/>
  <c r="H16" i="4" a="1"/>
  <c r="H16" i="4" s="1"/>
  <c r="R189" i="2"/>
  <c r="R195" i="2" s="1"/>
  <c r="P24" i="2" a="1"/>
  <c r="P24" i="2" l="1"/>
  <c r="O24" i="2" a="1"/>
  <c r="O24" i="2" l="1"/>
  <c r="G31" i="4" a="1"/>
  <c r="G31" i="4" s="1"/>
  <c r="G16" i="4" a="1"/>
  <c r="G16" i="4" s="1"/>
  <c r="P189" i="2"/>
  <c r="P195" i="2" s="1"/>
  <c r="AZ23" i="2" a="1"/>
  <c r="AZ23" i="2" l="1"/>
  <c r="F31" i="4" a="1"/>
  <c r="F31" i="4" s="1"/>
  <c r="F16" i="4" a="1"/>
  <c r="F16" i="4" s="1"/>
  <c r="O189" i="2"/>
  <c r="O195" i="2" s="1"/>
  <c r="AY23" i="2" a="1"/>
  <c r="AY23" i="2" l="1"/>
  <c r="AX23" i="2" a="1"/>
  <c r="AX23" i="2" l="1"/>
  <c r="AW23" i="2" a="1"/>
  <c r="AW23" i="2" l="1"/>
  <c r="AV23" i="2" a="1"/>
  <c r="AV23" i="2" l="1"/>
  <c r="AU23" i="2" a="1"/>
  <c r="AU23" i="2" l="1"/>
  <c r="AT23" i="2" a="1"/>
  <c r="AT23" i="2" l="1"/>
  <c r="AS23" i="2" a="1"/>
  <c r="AS23" i="2" l="1"/>
  <c r="AR23" i="2" a="1"/>
  <c r="AR23" i="2" l="1"/>
  <c r="AQ23" i="2" a="1"/>
  <c r="AQ23" i="2" l="1"/>
  <c r="AP23" i="2" a="1"/>
  <c r="AP23" i="2" l="1"/>
  <c r="AO23" i="2" a="1"/>
  <c r="AO23" i="2" l="1"/>
  <c r="AN23" i="2" a="1"/>
  <c r="AN23" i="2" l="1"/>
  <c r="AM23" i="2" a="1"/>
  <c r="AM23" i="2" l="1"/>
  <c r="AL23" i="2" a="1"/>
  <c r="AL23" i="2" l="1"/>
  <c r="AK23" i="2" a="1"/>
  <c r="AK23" i="2" l="1"/>
  <c r="AJ23" i="2" a="1"/>
  <c r="AJ23" i="2" l="1"/>
  <c r="AI23" i="2" a="1"/>
  <c r="AI23" i="2" l="1"/>
  <c r="AH23" i="2" a="1"/>
  <c r="AH23" i="2" l="1"/>
  <c r="AG23" i="2" a="1"/>
  <c r="AG23" i="2" l="1"/>
  <c r="AF23" i="2" a="1"/>
  <c r="AF23" i="2" l="1"/>
  <c r="AE23" i="2" a="1"/>
  <c r="AE23" i="2" l="1"/>
  <c r="AD23" i="2" a="1"/>
  <c r="AD23" i="2" l="1"/>
  <c r="AC23" i="2" a="1"/>
  <c r="AC23" i="2" l="1"/>
  <c r="AB23" i="2" a="1"/>
  <c r="AB23" i="2" l="1"/>
  <c r="AA23" i="2" a="1"/>
  <c r="AA23" i="2" l="1"/>
  <c r="Z23" i="2" a="1"/>
  <c r="Z23" i="2" l="1"/>
  <c r="Y23" i="2" a="1"/>
  <c r="Y23" i="2" l="1"/>
  <c r="X23" i="2" a="1"/>
  <c r="X23" i="2" l="1"/>
  <c r="W23" i="2" a="1"/>
  <c r="W23" i="2" l="1"/>
  <c r="V23" i="2" a="1"/>
  <c r="V23" i="2" l="1"/>
  <c r="U23" i="2" a="1"/>
  <c r="U23" i="2" l="1"/>
  <c r="T23" i="2" a="1"/>
  <c r="T23" i="2" l="1"/>
  <c r="S23" i="2" a="1"/>
  <c r="S23" i="2" l="1"/>
  <c r="R23" i="2" a="1"/>
  <c r="R23" i="2" l="1"/>
  <c r="Q23" i="2" a="1"/>
  <c r="Q23" i="2" l="1"/>
  <c r="P23" i="2" a="1"/>
  <c r="P23" i="2" l="1"/>
  <c r="O23" i="2" a="1"/>
  <c r="O23" i="2" l="1"/>
  <c r="AZ22" i="2"/>
  <c r="AZ188" i="2" s="1"/>
  <c r="AZ194" i="2" s="1"/>
  <c r="AZ198" i="2" s="1"/>
  <c r="AZ186" i="2" s="1"/>
  <c r="AU22" i="2"/>
  <c r="AU188" i="2" s="1"/>
  <c r="AU194" i="2" s="1"/>
  <c r="AU198" i="2" s="1"/>
  <c r="AU186" i="2" s="1"/>
  <c r="AM22" i="2" a="1"/>
  <c r="AM22" i="2" l="1"/>
  <c r="AL22" i="2" a="1"/>
  <c r="AL22" i="2" l="1"/>
  <c r="Y15" i="4" a="1"/>
  <c r="Y15" i="4" s="1"/>
  <c r="AM188" i="2"/>
  <c r="AM194" i="2" s="1"/>
  <c r="AM26" i="2"/>
  <c r="AK22" i="2" a="1"/>
  <c r="AK22" i="2" l="1"/>
  <c r="Y17" i="4" a="1"/>
  <c r="Y17" i="4" s="1"/>
  <c r="Y39" i="4" a="1"/>
  <c r="Y39" i="4" s="1"/>
  <c r="Y8" i="4" a="1"/>
  <c r="Y8" i="4" s="1"/>
  <c r="X15" i="4" a="1"/>
  <c r="X15" i="4" s="1"/>
  <c r="AL188" i="2"/>
  <c r="AL194" i="2" s="1"/>
  <c r="AL26" i="2"/>
  <c r="AP22" i="2"/>
  <c r="AP188" i="2" s="1"/>
  <c r="AP194" i="2" s="1"/>
  <c r="AJ22" i="2" a="1"/>
  <c r="AJ22" i="2" l="1"/>
  <c r="X39" i="4" a="1"/>
  <c r="X39" i="4" s="1"/>
  <c r="X8" i="4" a="1"/>
  <c r="X8" i="4" s="1"/>
  <c r="X17" i="4" a="1"/>
  <c r="X17" i="4" s="1"/>
  <c r="AP26" i="2"/>
  <c r="AK188" i="2"/>
  <c r="AK26" i="2"/>
  <c r="AI22" i="2" a="1"/>
  <c r="AI22" i="2" l="1"/>
  <c r="F14" i="10"/>
  <c r="E11" i="11"/>
  <c r="E13" i="11" s="1"/>
  <c r="W15" i="4" a="1"/>
  <c r="W15" i="4" s="1"/>
  <c r="AJ188" i="2"/>
  <c r="AJ194" i="2" s="1"/>
  <c r="AJ26" i="2"/>
  <c r="AH22" i="2" a="1"/>
  <c r="AH22" i="2" l="1"/>
  <c r="W17" i="4" a="1"/>
  <c r="W17" i="4" s="1"/>
  <c r="W8" i="4" a="1"/>
  <c r="W8" i="4" s="1"/>
  <c r="W39" i="4" a="1"/>
  <c r="W39" i="4" s="1"/>
  <c r="V15" i="4" a="1"/>
  <c r="V15" i="4" s="1"/>
  <c r="AI188" i="2"/>
  <c r="AI194" i="2" s="1"/>
  <c r="AI26" i="2"/>
  <c r="AG22" i="2" a="1"/>
  <c r="AG22" i="2" l="1"/>
  <c r="V39" i="4" a="1"/>
  <c r="V39" i="4" s="1"/>
  <c r="V8" i="4" a="1"/>
  <c r="V8" i="4" s="1"/>
  <c r="V17" i="4" a="1"/>
  <c r="V17" i="4" s="1"/>
  <c r="U15" i="4" a="1"/>
  <c r="U15" i="4" s="1"/>
  <c r="AH188" i="2"/>
  <c r="AH194" i="2" s="1"/>
  <c r="AH26" i="2"/>
  <c r="AF22" i="2" a="1"/>
  <c r="AF22" i="2" l="1"/>
  <c r="U17" i="4" a="1"/>
  <c r="U17" i="4" s="1"/>
  <c r="U8" i="4" a="1"/>
  <c r="U8" i="4" s="1"/>
  <c r="U39" i="4" a="1"/>
  <c r="U39" i="4" s="1"/>
  <c r="T15" i="4" a="1"/>
  <c r="T15" i="4" s="1"/>
  <c r="AG188" i="2"/>
  <c r="AG194" i="2" s="1"/>
  <c r="AG26" i="2"/>
  <c r="AE22" i="2" a="1"/>
  <c r="AE22" i="2" l="1"/>
  <c r="Y40" i="4"/>
  <c r="T39" i="4" a="1"/>
  <c r="T39" i="4" s="1"/>
  <c r="T17" i="4" a="1"/>
  <c r="T17" i="4" s="1"/>
  <c r="T8" i="4" a="1"/>
  <c r="T8" i="4" s="1"/>
  <c r="AF188" i="2"/>
  <c r="AF26" i="2"/>
  <c r="AD22" i="2" a="1"/>
  <c r="AD22" i="2" l="1"/>
  <c r="X40" i="4"/>
  <c r="S15" i="4" a="1"/>
  <c r="S15" i="4" s="1"/>
  <c r="AE188" i="2"/>
  <c r="AE194" i="2" s="1"/>
  <c r="AE26" i="2"/>
  <c r="AC22" i="2" a="1"/>
  <c r="AC22" i="2" l="1"/>
  <c r="S17" i="4" a="1"/>
  <c r="S17" i="4" s="1"/>
  <c r="S8" i="4" a="1"/>
  <c r="S8" i="4" s="1"/>
  <c r="S39" i="4" a="1"/>
  <c r="S39" i="4" s="1"/>
  <c r="R15" i="4" a="1"/>
  <c r="R15" i="4" s="1"/>
  <c r="AD188" i="2"/>
  <c r="AD194" i="2" s="1"/>
  <c r="AD26" i="2"/>
  <c r="AB22" i="2" a="1"/>
  <c r="AB22" i="2" l="1"/>
  <c r="R17" i="4" a="1"/>
  <c r="R17" i="4" s="1"/>
  <c r="R8" i="4" a="1"/>
  <c r="R8" i="4" s="1"/>
  <c r="R39" i="4" a="1"/>
  <c r="R39" i="4" s="1"/>
  <c r="W40" i="4"/>
  <c r="Q15" i="4" a="1"/>
  <c r="Q15" i="4" s="1"/>
  <c r="AC188" i="2"/>
  <c r="AC194" i="2" s="1"/>
  <c r="AC26" i="2"/>
  <c r="AA22" i="2" a="1"/>
  <c r="AA22" i="2" l="1"/>
  <c r="V40" i="4"/>
  <c r="Q39" i="4" a="1"/>
  <c r="Q39" i="4" s="1"/>
  <c r="Q8" i="4" a="1"/>
  <c r="Q8" i="4" s="1"/>
  <c r="Q17" i="4" a="1"/>
  <c r="Q17" i="4" s="1"/>
  <c r="P15" i="4" a="1"/>
  <c r="P15" i="4" s="1"/>
  <c r="AB188" i="2"/>
  <c r="AB194" i="2" s="1"/>
  <c r="AB26" i="2"/>
  <c r="Z22" i="2" a="1"/>
  <c r="Z22" i="2" l="1"/>
  <c r="P8" i="4" a="1"/>
  <c r="P8" i="4" s="1"/>
  <c r="P17" i="4" a="1"/>
  <c r="P17" i="4" s="1"/>
  <c r="P39" i="4" a="1"/>
  <c r="P39" i="4" s="1"/>
  <c r="U40" i="4"/>
  <c r="AA188" i="2"/>
  <c r="AA26" i="2"/>
  <c r="Y22" i="2" a="1"/>
  <c r="Y22" i="2" l="1"/>
  <c r="T40" i="4"/>
  <c r="O15" i="4" a="1"/>
  <c r="O15" i="4" s="1"/>
  <c r="Z188" i="2"/>
  <c r="Z194" i="2" s="1"/>
  <c r="Z26" i="2"/>
  <c r="X22" i="2" a="1"/>
  <c r="X22" i="2" l="1"/>
  <c r="O17" i="4" a="1"/>
  <c r="O17" i="4" s="1"/>
  <c r="O8" i="4" a="1"/>
  <c r="O8" i="4" s="1"/>
  <c r="O39" i="4" a="1"/>
  <c r="O39" i="4" s="1"/>
  <c r="N15" i="4" a="1"/>
  <c r="N15" i="4" s="1"/>
  <c r="Y188" i="2"/>
  <c r="Y194" i="2" s="1"/>
  <c r="Y26" i="2"/>
  <c r="W22" i="2" a="1"/>
  <c r="W22" i="2" l="1"/>
  <c r="N39" i="4" a="1"/>
  <c r="N39" i="4" s="1"/>
  <c r="N8" i="4" a="1"/>
  <c r="N8" i="4" s="1"/>
  <c r="N17" i="4" a="1"/>
  <c r="N17" i="4" s="1"/>
  <c r="S40" i="4"/>
  <c r="M15" i="4" a="1"/>
  <c r="M15" i="4" s="1"/>
  <c r="X188" i="2"/>
  <c r="X194" i="2" s="1"/>
  <c r="X26" i="2"/>
  <c r="V22" i="2" a="1"/>
  <c r="V22" i="2" l="1"/>
  <c r="R40" i="4"/>
  <c r="M8" i="4" a="1"/>
  <c r="M8" i="4" s="1"/>
  <c r="M17" i="4" a="1"/>
  <c r="M17" i="4" s="1"/>
  <c r="M39" i="4" a="1"/>
  <c r="M39" i="4" s="1"/>
  <c r="L15" i="4" a="1"/>
  <c r="L15" i="4" s="1"/>
  <c r="W188" i="2"/>
  <c r="W194" i="2" s="1"/>
  <c r="W26" i="2"/>
  <c r="U22" i="2" a="1"/>
  <c r="U22" i="2" l="1"/>
  <c r="Q40" i="4"/>
  <c r="L39" i="4" a="1"/>
  <c r="L39" i="4" s="1"/>
  <c r="L17" i="4" a="1"/>
  <c r="L17" i="4" s="1"/>
  <c r="L8" i="4" a="1"/>
  <c r="L8" i="4" s="1"/>
  <c r="V188" i="2"/>
  <c r="V26" i="2"/>
  <c r="T22" i="2" a="1"/>
  <c r="T22" i="2" l="1"/>
  <c r="P40" i="4"/>
  <c r="K15" i="4" a="1"/>
  <c r="K15" i="4" s="1"/>
  <c r="U188" i="2"/>
  <c r="U194" i="2" s="1"/>
  <c r="U26" i="2"/>
  <c r="S22" i="2" a="1"/>
  <c r="S22" i="2" l="1"/>
  <c r="K17" i="4" a="1"/>
  <c r="K17" i="4" s="1"/>
  <c r="K8" i="4" a="1"/>
  <c r="K8" i="4" s="1"/>
  <c r="K39" i="4" a="1"/>
  <c r="K39" i="4" s="1"/>
  <c r="J15" i="4" a="1"/>
  <c r="J15" i="4" s="1"/>
  <c r="T188" i="2"/>
  <c r="T194" i="2" s="1"/>
  <c r="T26" i="2"/>
  <c r="R22" i="2" a="1"/>
  <c r="R22" i="2" l="1"/>
  <c r="J39" i="4" a="1"/>
  <c r="J39" i="4" s="1"/>
  <c r="J17" i="4" a="1"/>
  <c r="J17" i="4" s="1"/>
  <c r="J8" i="4" a="1"/>
  <c r="J8" i="4" s="1"/>
  <c r="O40" i="4"/>
  <c r="I15" i="4" a="1"/>
  <c r="I15" i="4" s="1"/>
  <c r="S188" i="2"/>
  <c r="S194" i="2" s="1"/>
  <c r="S26" i="2"/>
  <c r="Q22" i="2" a="1"/>
  <c r="Q22" i="2" l="1"/>
  <c r="N40" i="4"/>
  <c r="I39" i="4" a="1"/>
  <c r="I39" i="4" s="1"/>
  <c r="M40" i="4" s="1"/>
  <c r="I8" i="4" a="1"/>
  <c r="I8" i="4" s="1"/>
  <c r="I17" i="4" a="1"/>
  <c r="I17" i="4" s="1"/>
  <c r="H15" i="4" a="1"/>
  <c r="H15" i="4" s="1"/>
  <c r="R188" i="2"/>
  <c r="R194" i="2" s="1"/>
  <c r="R26" i="2"/>
  <c r="P22" i="2" a="1"/>
  <c r="P22" i="2" l="1"/>
  <c r="H39" i="4" a="1"/>
  <c r="H39" i="4" s="1"/>
  <c r="L40" i="4" s="1"/>
  <c r="H17" i="4" a="1"/>
  <c r="H17" i="4" s="1"/>
  <c r="H8" i="4" a="1"/>
  <c r="H8" i="4" s="1"/>
  <c r="Q188" i="2"/>
  <c r="Q194" i="2" s="1"/>
  <c r="Q198" i="2" s="1"/>
  <c r="Q26" i="2"/>
  <c r="O22" i="2" a="1"/>
  <c r="O22" i="2" l="1"/>
  <c r="G15" i="4" a="1"/>
  <c r="G15" i="4" s="1"/>
  <c r="P188" i="2"/>
  <c r="P194" i="2" s="1"/>
  <c r="P26" i="2"/>
  <c r="AK21" i="2"/>
  <c r="AI21" i="2"/>
  <c r="AJ21" i="2" s="1"/>
  <c r="AF21" i="2"/>
  <c r="AD21" i="2"/>
  <c r="AC21" i="2"/>
  <c r="AB21" i="2"/>
  <c r="AA21" i="2"/>
  <c r="Y21" i="2"/>
  <c r="X21" i="2"/>
  <c r="W21" i="2"/>
  <c r="V21" i="2"/>
  <c r="T21" i="2"/>
  <c r="S21" i="2"/>
  <c r="R21" i="2"/>
  <c r="Q21" i="2"/>
  <c r="O21" i="2"/>
  <c r="AK20" i="2"/>
  <c r="AI20" i="2"/>
  <c r="AF20" i="2"/>
  <c r="AD20" i="2"/>
  <c r="AC20" i="2"/>
  <c r="AB20" i="2"/>
  <c r="AA20" i="2"/>
  <c r="Y20" i="2"/>
  <c r="X20" i="2"/>
  <c r="W20" i="2"/>
  <c r="V20" i="2"/>
  <c r="T20" i="2"/>
  <c r="S20" i="2"/>
  <c r="R20" i="2"/>
  <c r="Q20" i="2"/>
  <c r="O20" i="2"/>
  <c r="AK19" i="2"/>
  <c r="AI19" i="2"/>
  <c r="AI18" i="2" s="1"/>
  <c r="AF19" i="2"/>
  <c r="AF18" i="2" s="1"/>
  <c r="AD19" i="2"/>
  <c r="AD18" i="2" s="1"/>
  <c r="AC19" i="2"/>
  <c r="AB19" i="2"/>
  <c r="AB18" i="2" s="1"/>
  <c r="AA19" i="2"/>
  <c r="AA18" i="2" s="1"/>
  <c r="Y19" i="2"/>
  <c r="Y18" i="2" s="1"/>
  <c r="X19" i="2"/>
  <c r="X18" i="2" s="1"/>
  <c r="W19" i="2"/>
  <c r="W18" i="2" s="1"/>
  <c r="V19" i="2"/>
  <c r="T19" i="2"/>
  <c r="T18" i="2" s="1"/>
  <c r="S19" i="2"/>
  <c r="S18" i="2" s="1"/>
  <c r="R19" i="2"/>
  <c r="R18" i="2" s="1"/>
  <c r="Q19" i="2"/>
  <c r="Q18" i="2" s="1"/>
  <c r="O19" i="2"/>
  <c r="AK18" i="2"/>
  <c r="AO17" i="2"/>
  <c r="AT17" i="2" s="1"/>
  <c r="AN17" i="2"/>
  <c r="AM17" i="2"/>
  <c r="AL17" i="2"/>
  <c r="AH17" i="2"/>
  <c r="AG17" i="2"/>
  <c r="Z17" i="2"/>
  <c r="Y17" i="2"/>
  <c r="X17" i="2"/>
  <c r="W17" i="2"/>
  <c r="U17" i="2"/>
  <c r="T17" i="2"/>
  <c r="S17" i="2"/>
  <c r="R17" i="2"/>
  <c r="Q17" i="2"/>
  <c r="P17" i="2"/>
  <c r="O17" i="2"/>
  <c r="AM14" i="2" a="1"/>
  <c r="U19" i="2" l="1"/>
  <c r="U21" i="2"/>
  <c r="AE21" i="2"/>
  <c r="Z21" i="2"/>
  <c r="Z20" i="2"/>
  <c r="AE20" i="2"/>
  <c r="U20" i="2"/>
  <c r="AC18" i="2"/>
  <c r="AE18" i="2" s="1"/>
  <c r="Z18" i="2"/>
  <c r="AM14" i="2"/>
  <c r="AJ18" i="2"/>
  <c r="F35" i="4" a="1"/>
  <c r="F35" i="4" s="1"/>
  <c r="O287" i="2"/>
  <c r="O185" i="2"/>
  <c r="L35" i="4" a="1"/>
  <c r="L35" i="4" s="1"/>
  <c r="W287" i="2"/>
  <c r="W185" i="2"/>
  <c r="X35" i="4" a="1"/>
  <c r="X35" i="4" s="1"/>
  <c r="AL287" i="2"/>
  <c r="AL185" i="2"/>
  <c r="AT287" i="2"/>
  <c r="AT290" i="2" s="1"/>
  <c r="AT311" i="2" s="1"/>
  <c r="AE19" i="2"/>
  <c r="Y35" i="4" a="1"/>
  <c r="Y35" i="4" s="1"/>
  <c r="AM287" i="2"/>
  <c r="AM185" i="2"/>
  <c r="Q287" i="2"/>
  <c r="Q185" i="2"/>
  <c r="AN287" i="2"/>
  <c r="G35" i="4" a="1"/>
  <c r="G35" i="4" s="1"/>
  <c r="P287" i="2"/>
  <c r="P185" i="2"/>
  <c r="N35" i="4" a="1"/>
  <c r="N35" i="4" s="1"/>
  <c r="Y287" i="2"/>
  <c r="Y185" i="2"/>
  <c r="H35" i="4" a="1"/>
  <c r="H35" i="4" s="1"/>
  <c r="R287" i="2"/>
  <c r="R185" i="2"/>
  <c r="O35" i="4" a="1"/>
  <c r="O35" i="4" s="1"/>
  <c r="Z287" i="2"/>
  <c r="Z185" i="2"/>
  <c r="AO287" i="2"/>
  <c r="AO290" i="2" s="1"/>
  <c r="AO311" i="2" s="1"/>
  <c r="M35" i="4" a="1"/>
  <c r="M35" i="4" s="1"/>
  <c r="X287" i="2"/>
  <c r="X185" i="2"/>
  <c r="I35" i="4" a="1"/>
  <c r="I35" i="4" s="1"/>
  <c r="S287" i="2"/>
  <c r="S185" i="2"/>
  <c r="AA17" i="2"/>
  <c r="AP17" i="2"/>
  <c r="V18" i="2"/>
  <c r="U18" i="2" s="1"/>
  <c r="Z19" i="2"/>
  <c r="G17" i="4" a="1"/>
  <c r="G17" i="4" s="1"/>
  <c r="G8" i="4" a="1"/>
  <c r="G8" i="4" s="1"/>
  <c r="G39" i="4" a="1"/>
  <c r="G39" i="4" s="1"/>
  <c r="K40" i="4" s="1"/>
  <c r="J35" i="4" a="1"/>
  <c r="J35" i="4" s="1"/>
  <c r="T287" i="2"/>
  <c r="T185" i="2"/>
  <c r="T35" i="4" a="1"/>
  <c r="T35" i="4" s="1"/>
  <c r="AG287" i="2"/>
  <c r="AG185" i="2"/>
  <c r="AG186" i="2" s="1"/>
  <c r="AG199" i="2" s="1"/>
  <c r="AG77" i="2"/>
  <c r="AQ17" i="2"/>
  <c r="AY17" i="2"/>
  <c r="AR17" i="2"/>
  <c r="K35" i="4" a="1"/>
  <c r="K35" i="4" s="1"/>
  <c r="U287" i="2"/>
  <c r="U185" i="2"/>
  <c r="U35" i="4" a="1"/>
  <c r="U35" i="4" s="1"/>
  <c r="AH287" i="2"/>
  <c r="AH185" i="2"/>
  <c r="AH186" i="2" s="1"/>
  <c r="AH199" i="2" s="1"/>
  <c r="AH77" i="2"/>
  <c r="V17" i="2"/>
  <c r="AK17" i="2"/>
  <c r="AS17" i="2"/>
  <c r="F15" i="4" a="1"/>
  <c r="F15" i="4" s="1"/>
  <c r="O188" i="2"/>
  <c r="O194" i="2" s="1"/>
  <c r="O26" i="2"/>
  <c r="AL14" i="2" a="1"/>
  <c r="T186" i="2" l="1"/>
  <c r="T199" i="2" s="1"/>
  <c r="U186" i="2"/>
  <c r="U199" i="2" s="1"/>
  <c r="AL14" i="2"/>
  <c r="F39" i="4" a="1"/>
  <c r="F39" i="4" s="1"/>
  <c r="J40" i="4" s="1"/>
  <c r="F17" i="4" a="1"/>
  <c r="F17" i="4" s="1"/>
  <c r="F8" i="4" a="1"/>
  <c r="F8" i="4" s="1"/>
  <c r="AH290" i="2"/>
  <c r="AH292" i="2"/>
  <c r="AY287" i="2"/>
  <c r="AY290" i="2" s="1"/>
  <c r="AY311" i="2" s="1"/>
  <c r="AP287" i="2"/>
  <c r="AP290" i="2" s="1"/>
  <c r="X290" i="2"/>
  <c r="X292" i="2"/>
  <c r="Q290" i="2"/>
  <c r="Q292" i="2"/>
  <c r="AK287" i="2"/>
  <c r="AK185" i="2"/>
  <c r="X186" i="2"/>
  <c r="X199" i="2" s="1"/>
  <c r="AC186" i="2"/>
  <c r="AC199" i="2" s="1"/>
  <c r="AQ287" i="2"/>
  <c r="AQ290" i="2" s="1"/>
  <c r="AU17" i="2"/>
  <c r="AV17" i="2"/>
  <c r="T290" i="2"/>
  <c r="T292" i="2"/>
  <c r="AA287" i="2"/>
  <c r="AA185" i="2"/>
  <c r="AL186" i="2"/>
  <c r="AL199" i="2" s="1"/>
  <c r="AQ185" i="2"/>
  <c r="AR287" i="2"/>
  <c r="AR290" i="2" s="1"/>
  <c r="AW17" i="2"/>
  <c r="AS287" i="2"/>
  <c r="AX17" i="2"/>
  <c r="R290" i="2"/>
  <c r="R292" i="2"/>
  <c r="H43" i="4" s="1" a="1"/>
  <c r="H43" i="4" s="1"/>
  <c r="P290" i="2"/>
  <c r="P292" i="2"/>
  <c r="G43" i="4" s="1" a="1"/>
  <c r="G43" i="4" s="1"/>
  <c r="AM186" i="2"/>
  <c r="AM199" i="2" s="1"/>
  <c r="AR185" i="2"/>
  <c r="AL292" i="2"/>
  <c r="AL290" i="2"/>
  <c r="O290" i="2"/>
  <c r="O292" i="2"/>
  <c r="F43" i="4" s="1" a="1"/>
  <c r="F43" i="4" s="1"/>
  <c r="AM290" i="2"/>
  <c r="AM292" i="2"/>
  <c r="S290" i="2"/>
  <c r="S292" i="2"/>
  <c r="I43" i="4" s="1" a="1"/>
  <c r="I43" i="4" s="1"/>
  <c r="V287" i="2"/>
  <c r="V185" i="2"/>
  <c r="V186" i="2" s="1"/>
  <c r="U292" i="2"/>
  <c r="U290" i="2"/>
  <c r="AG290" i="2"/>
  <c r="AG292" i="2"/>
  <c r="Z186" i="2"/>
  <c r="Z199" i="2" s="1"/>
  <c r="AE186" i="2"/>
  <c r="AE199" i="2" s="1"/>
  <c r="Y186" i="2"/>
  <c r="Y199" i="2" s="1"/>
  <c r="AD186" i="2"/>
  <c r="AD199" i="2" s="1"/>
  <c r="AN290" i="2"/>
  <c r="AN311" i="2" s="1"/>
  <c r="AN308" i="2"/>
  <c r="W186" i="2"/>
  <c r="W199" i="2" s="1"/>
  <c r="AB186" i="2"/>
  <c r="AB199" i="2" s="1"/>
  <c r="Z290" i="2"/>
  <c r="Z292" i="2"/>
  <c r="Y290" i="2"/>
  <c r="Y292" i="2"/>
  <c r="W290" i="2"/>
  <c r="W292" i="2"/>
  <c r="AK14" i="2" a="1"/>
  <c r="AK14" i="2" l="1"/>
  <c r="X43" i="4" a="1"/>
  <c r="X43" i="4" s="1"/>
  <c r="AL293" i="2"/>
  <c r="AA186" i="2"/>
  <c r="AF186" i="2"/>
  <c r="M43" i="4" a="1"/>
  <c r="M43" i="4" s="1"/>
  <c r="X293" i="2"/>
  <c r="AC293" i="2"/>
  <c r="AH304" i="2"/>
  <c r="AH305" i="2" s="1"/>
  <c r="AH301" i="2"/>
  <c r="AH302" i="2" s="1"/>
  <c r="L43" i="4" a="1"/>
  <c r="L43" i="4" s="1"/>
  <c r="W293" i="2"/>
  <c r="AB293" i="2"/>
  <c r="AP311" i="2"/>
  <c r="K43" i="4" a="1"/>
  <c r="K43" i="4" s="1"/>
  <c r="K44" i="4" s="1"/>
  <c r="U293" i="2"/>
  <c r="P304" i="2"/>
  <c r="P301" i="2"/>
  <c r="T43" i="4" a="1"/>
  <c r="T43" i="4" s="1"/>
  <c r="T44" i="4" s="1"/>
  <c r="AG293" i="2"/>
  <c r="AG304" i="2"/>
  <c r="AG305" i="2" s="1"/>
  <c r="AG301" i="2"/>
  <c r="AG302" i="2" s="1"/>
  <c r="S304" i="2"/>
  <c r="S301" i="2"/>
  <c r="AR292" i="2"/>
  <c r="AW185" i="2"/>
  <c r="AW292" i="2" s="1"/>
  <c r="AS290" i="2"/>
  <c r="AS311" i="2" s="1"/>
  <c r="AS308" i="2"/>
  <c r="AA290" i="2"/>
  <c r="AA292" i="2"/>
  <c r="X304" i="2"/>
  <c r="X301" i="2"/>
  <c r="AW287" i="2"/>
  <c r="AW290" i="2" s="1"/>
  <c r="J43" i="4" a="1"/>
  <c r="J43" i="4" s="1"/>
  <c r="J44" i="4" s="1"/>
  <c r="T293" i="2"/>
  <c r="T304" i="2"/>
  <c r="T301" i="2"/>
  <c r="AM304" i="2"/>
  <c r="AM301" i="2"/>
  <c r="AQ292" i="2"/>
  <c r="AV185" i="2"/>
  <c r="AV292" i="2" s="1"/>
  <c r="AU287" i="2"/>
  <c r="AU290" i="2" s="1"/>
  <c r="AK292" i="2"/>
  <c r="AK293" i="2" s="1"/>
  <c r="AK290" i="2"/>
  <c r="U304" i="2"/>
  <c r="U301" i="2"/>
  <c r="W304" i="2"/>
  <c r="W301" i="2"/>
  <c r="Y43" i="4" a="1"/>
  <c r="Y43" i="4" s="1"/>
  <c r="AM293" i="2"/>
  <c r="N43" i="4" a="1"/>
  <c r="N43" i="4" s="1"/>
  <c r="Y293" i="2"/>
  <c r="AD293" i="2"/>
  <c r="AV287" i="2"/>
  <c r="AV290" i="2" s="1"/>
  <c r="AZ17" i="2"/>
  <c r="AK186" i="2"/>
  <c r="Y304" i="2"/>
  <c r="Y301" i="2"/>
  <c r="V292" i="2"/>
  <c r="V293" i="2" s="1"/>
  <c r="V290" i="2"/>
  <c r="O304" i="2"/>
  <c r="O301" i="2"/>
  <c r="R304" i="2"/>
  <c r="R301" i="2"/>
  <c r="O43" i="4" a="1"/>
  <c r="O43" i="4" s="1"/>
  <c r="Z293" i="2"/>
  <c r="AE293" i="2"/>
  <c r="Z304" i="2"/>
  <c r="Z301" i="2"/>
  <c r="AL304" i="2"/>
  <c r="AL301" i="2"/>
  <c r="AX287" i="2"/>
  <c r="Q304" i="2"/>
  <c r="Q301" i="2"/>
  <c r="U43" i="4" a="1"/>
  <c r="U43" i="4" s="1"/>
  <c r="U44" i="4" s="1"/>
  <c r="AH293" i="2"/>
  <c r="AJ14" i="2" a="1"/>
  <c r="AL305" i="2" l="1"/>
  <c r="U305" i="2"/>
  <c r="U302" i="2"/>
  <c r="T305" i="2"/>
  <c r="AJ14" i="2"/>
  <c r="Y305" i="2"/>
  <c r="AD305" i="2"/>
  <c r="N44" i="4"/>
  <c r="R44" i="4"/>
  <c r="AQ308" i="2"/>
  <c r="AQ293" i="2"/>
  <c r="Z305" i="2"/>
  <c r="AE305" i="2"/>
  <c r="AM302" i="2"/>
  <c r="AR301" i="2"/>
  <c r="AW308" i="2"/>
  <c r="AW293" i="2"/>
  <c r="M44" i="4"/>
  <c r="Q44" i="4"/>
  <c r="Z302" i="2"/>
  <c r="AE302" i="2"/>
  <c r="Y44" i="4"/>
  <c r="AM305" i="2"/>
  <c r="X302" i="2"/>
  <c r="AC302" i="2"/>
  <c r="AR308" i="2"/>
  <c r="AR293" i="2"/>
  <c r="V304" i="2"/>
  <c r="V305" i="2" s="1"/>
  <c r="V301" i="2"/>
  <c r="V302" i="2" s="1"/>
  <c r="AZ287" i="2"/>
  <c r="AZ290" i="2" s="1"/>
  <c r="W302" i="2"/>
  <c r="AB302" i="2"/>
  <c r="AK304" i="2"/>
  <c r="AK305" i="2" s="1"/>
  <c r="AK301" i="2"/>
  <c r="T302" i="2"/>
  <c r="X305" i="2"/>
  <c r="AC305" i="2"/>
  <c r="AX290" i="2"/>
  <c r="AX311" i="2" s="1"/>
  <c r="AX308" i="2"/>
  <c r="L44" i="4"/>
  <c r="P44" i="4"/>
  <c r="O44" i="4"/>
  <c r="S44" i="4"/>
  <c r="W305" i="2"/>
  <c r="AB305" i="2"/>
  <c r="AQ301" i="2"/>
  <c r="AL302" i="2"/>
  <c r="AA293" i="2"/>
  <c r="AF293" i="2"/>
  <c r="AA304" i="2"/>
  <c r="AA301" i="2"/>
  <c r="X44" i="4"/>
  <c r="Y302" i="2"/>
  <c r="AD302" i="2"/>
  <c r="AV308" i="2"/>
  <c r="AV293" i="2"/>
  <c r="AI14" i="2" a="1"/>
  <c r="AI14" i="2" l="1"/>
  <c r="AQ334" i="2"/>
  <c r="AB28" i="4" s="1" a="1"/>
  <c r="AB28" i="4" s="1"/>
  <c r="AQ335" i="2"/>
  <c r="AB29" i="4" s="1" a="1"/>
  <c r="AB29" i="4" s="1"/>
  <c r="AQ311" i="2"/>
  <c r="AQ312" i="2" s="1"/>
  <c r="AV301" i="2"/>
  <c r="AV311" i="2" s="1"/>
  <c r="AV312" i="2" s="1"/>
  <c r="AW334" i="2"/>
  <c r="AG28" i="4" s="1" a="1"/>
  <c r="AG28" i="4" s="1"/>
  <c r="AW335" i="2"/>
  <c r="AG29" i="4" s="1" a="1"/>
  <c r="AG29" i="4" s="1"/>
  <c r="AR311" i="2"/>
  <c r="AR312" i="2" s="1"/>
  <c r="AR329" i="2" s="1"/>
  <c r="AW301" i="2"/>
  <c r="AW311" i="2" s="1"/>
  <c r="AW312" i="2" s="1"/>
  <c r="AV334" i="2"/>
  <c r="AF28" i="4" s="1" a="1"/>
  <c r="AF28" i="4" s="1"/>
  <c r="AV335" i="2"/>
  <c r="AF29" i="4" s="1" a="1"/>
  <c r="AF29" i="4" s="1"/>
  <c r="AR334" i="2"/>
  <c r="AC28" i="4" s="1" a="1"/>
  <c r="AC28" i="4" s="1"/>
  <c r="AR335" i="2"/>
  <c r="AC29" i="4" s="1" a="1"/>
  <c r="AC29" i="4" s="1"/>
  <c r="AA302" i="2"/>
  <c r="AF302" i="2"/>
  <c r="AA305" i="2"/>
  <c r="AF305" i="2"/>
  <c r="AP301" i="2"/>
  <c r="AU301" i="2" s="1"/>
  <c r="AZ301" i="2" s="1"/>
  <c r="AK302" i="2"/>
  <c r="AH14" i="2" a="1"/>
  <c r="AH14" i="2" l="1"/>
  <c r="AW339" i="2"/>
  <c r="AW343" i="2"/>
  <c r="AW304" i="2"/>
  <c r="AW331" i="2"/>
  <c r="AW330" i="2"/>
  <c r="AW329" i="2"/>
  <c r="AQ339" i="2"/>
  <c r="AQ343" i="2"/>
  <c r="AQ304" i="2"/>
  <c r="AQ305" i="2" s="1"/>
  <c r="AQ331" i="2"/>
  <c r="AQ330" i="2"/>
  <c r="AQ329" i="2"/>
  <c r="AV343" i="2"/>
  <c r="AV339" i="2"/>
  <c r="AV304" i="2"/>
  <c r="AV331" i="2"/>
  <c r="AV330" i="2"/>
  <c r="AV329" i="2"/>
  <c r="AZ311" i="2"/>
  <c r="AV332" i="2"/>
  <c r="AW332" i="2"/>
  <c r="AQ332" i="2"/>
  <c r="AU311" i="2"/>
  <c r="AR339" i="2"/>
  <c r="AR343" i="2"/>
  <c r="AR304" i="2"/>
  <c r="AR305" i="2" s="1"/>
  <c r="AR331" i="2"/>
  <c r="AR330" i="2"/>
  <c r="AR332" i="2"/>
  <c r="AG14" i="2" a="1"/>
  <c r="AW333" i="2" l="1"/>
  <c r="AR333" i="2"/>
  <c r="AQ333" i="2"/>
  <c r="AG14" i="2"/>
  <c r="AR344" i="2"/>
  <c r="AR349" i="2" s="1"/>
  <c r="AW344" i="2"/>
  <c r="AW349" i="2" s="1"/>
  <c r="AV344" i="2"/>
  <c r="AV349" i="2" s="1"/>
  <c r="AV333" i="2"/>
  <c r="AW305" i="2"/>
  <c r="AV305" i="2"/>
  <c r="AQ344" i="2"/>
  <c r="AQ349" i="2" s="1"/>
  <c r="AF14" i="2" a="1"/>
  <c r="AF14" i="2" l="1"/>
  <c r="AV346" i="2"/>
  <c r="AV438" i="2" s="1"/>
  <c r="AV359" i="2"/>
  <c r="AW346" i="2"/>
  <c r="AW438" i="2" s="1"/>
  <c r="AW359" i="2"/>
  <c r="AR359" i="2"/>
  <c r="AR346" i="2"/>
  <c r="AR438" i="2" s="1"/>
  <c r="AQ346" i="2"/>
  <c r="AQ438" i="2" s="1"/>
  <c r="AQ359" i="2"/>
  <c r="AE14" i="2" a="1"/>
  <c r="AE14" i="2" l="1"/>
  <c r="AW366" i="2"/>
  <c r="AW360" i="2"/>
  <c r="AR366" i="2"/>
  <c r="AR360" i="2"/>
  <c r="AQ366" i="2"/>
  <c r="AQ360" i="2"/>
  <c r="AV366" i="2"/>
  <c r="AV360" i="2"/>
  <c r="AD14" i="2" a="1"/>
  <c r="AD14" i="2" l="1"/>
  <c r="AC14" i="2" a="1"/>
  <c r="AC14" i="2" l="1"/>
  <c r="AB14" i="2" a="1"/>
  <c r="AB14" i="2" l="1"/>
  <c r="AA14" i="2" a="1"/>
  <c r="AA14" i="2" l="1"/>
  <c r="Z14" i="2" a="1"/>
  <c r="Z14" i="2" l="1"/>
  <c r="Y14" i="2" a="1"/>
  <c r="Y14" i="2" l="1"/>
  <c r="X14" i="2" a="1"/>
  <c r="X14" i="2" l="1"/>
  <c r="W14" i="2" a="1"/>
  <c r="W14" i="2" l="1"/>
  <c r="V14" i="2" a="1"/>
  <c r="V14" i="2" l="1"/>
  <c r="U14" i="2" a="1"/>
  <c r="U14" i="2" l="1"/>
  <c r="T14" i="2" a="1"/>
  <c r="T14" i="2" l="1"/>
  <c r="S14" i="2" a="1"/>
  <c r="S14" i="2" l="1"/>
  <c r="R14" i="2" a="1"/>
  <c r="R14" i="2" l="1"/>
  <c r="Q14" i="2" a="1"/>
  <c r="Q14" i="2" l="1"/>
  <c r="P14" i="2" a="1"/>
  <c r="P14" i="2" l="1"/>
  <c r="O14" i="2" a="1"/>
  <c r="O14" i="2" l="1"/>
  <c r="AZ12" i="2"/>
  <c r="AY12" i="2"/>
  <c r="AX12" i="2"/>
  <c r="AW12" i="2"/>
  <c r="AV12" i="2"/>
  <c r="AU12" i="2"/>
  <c r="AT12" i="2"/>
  <c r="AS12" i="2"/>
  <c r="AR12" i="2"/>
  <c r="AQ12" i="2"/>
  <c r="AP12" i="2"/>
  <c r="AO12" i="2"/>
  <c r="AN12" i="2"/>
  <c r="AM12" i="2" a="1"/>
  <c r="AM12" i="2" l="1"/>
  <c r="AL12" i="2" a="1"/>
  <c r="AL12" i="2" l="1"/>
  <c r="AK12" i="2" a="1"/>
  <c r="AK12" i="2" l="1"/>
  <c r="AJ12" i="2" a="1"/>
  <c r="AJ12" i="2" l="1"/>
  <c r="AI12" i="2" a="1"/>
  <c r="AI12" i="2" l="1"/>
  <c r="AH12" i="2" a="1"/>
  <c r="AH12" i="2" l="1"/>
  <c r="AG12" i="2" a="1"/>
  <c r="AG12" i="2" l="1"/>
  <c r="AF12" i="2" a="1"/>
  <c r="AF12" i="2" l="1"/>
  <c r="AE12" i="2" a="1"/>
  <c r="AE12" i="2" l="1"/>
  <c r="AD12" i="2" a="1"/>
  <c r="AD12" i="2" l="1"/>
  <c r="AC12" i="2" a="1"/>
  <c r="AC12" i="2" l="1"/>
  <c r="AB12" i="2" a="1"/>
  <c r="AB12" i="2" l="1"/>
  <c r="AA12" i="2" a="1"/>
  <c r="AA12" i="2" l="1"/>
  <c r="Z12" i="2" a="1"/>
  <c r="Z12" i="2" l="1"/>
  <c r="Y12" i="2" a="1"/>
  <c r="Y12" i="2" l="1"/>
  <c r="X12" i="2" a="1"/>
  <c r="X12" i="2" l="1"/>
  <c r="W12" i="2" a="1"/>
  <c r="W12" i="2" l="1"/>
  <c r="V12" i="2" a="1"/>
  <c r="V12" i="2" l="1"/>
  <c r="U12" i="2" a="1"/>
  <c r="U12" i="2" l="1"/>
  <c r="T12" i="2" a="1"/>
  <c r="T12" i="2" l="1"/>
  <c r="S12" i="2" a="1"/>
  <c r="S12" i="2" l="1"/>
  <c r="R12" i="2" a="1"/>
  <c r="R12" i="2" l="1"/>
  <c r="Q12" i="2" a="1"/>
  <c r="Q12" i="2" l="1"/>
  <c r="P12" i="2" a="1"/>
  <c r="P12" i="2" l="1"/>
  <c r="O12" i="2" a="1"/>
  <c r="O12" i="2" l="1"/>
  <c r="AZ11" i="2"/>
  <c r="AY11" i="2"/>
  <c r="AX11" i="2"/>
  <c r="AW11" i="2"/>
  <c r="AV11" i="2"/>
  <c r="AU11" i="2"/>
  <c r="AT11" i="2"/>
  <c r="AS11" i="2"/>
  <c r="AR11" i="2"/>
  <c r="AQ11" i="2"/>
  <c r="AP11" i="2"/>
  <c r="AO11" i="2"/>
  <c r="AN11" i="2"/>
  <c r="AM11" i="2" a="1"/>
  <c r="AM11" i="2" l="1"/>
  <c r="AM13" i="2" s="1"/>
  <c r="AM15" i="2" s="1"/>
  <c r="AL11" i="2" a="1"/>
  <c r="AL11" i="2" l="1"/>
  <c r="AL13" i="2" s="1"/>
  <c r="AL15" i="2" s="1"/>
  <c r="AK11" i="2" a="1"/>
  <c r="AK11" i="2" l="1"/>
  <c r="AK13" i="2" s="1"/>
  <c r="AK15" i="2" s="1"/>
  <c r="AJ11" i="2" a="1"/>
  <c r="AJ11" i="2" l="1"/>
  <c r="AJ13" i="2" s="1"/>
  <c r="AJ15" i="2" s="1"/>
  <c r="AI11" i="2" a="1"/>
  <c r="AI11" i="2" l="1"/>
  <c r="AI13" i="2" s="1"/>
  <c r="AI15" i="2" s="1"/>
  <c r="AH11" i="2" a="1"/>
  <c r="AH11" i="2" l="1"/>
  <c r="AH13" i="2" s="1"/>
  <c r="AH15" i="2" s="1"/>
  <c r="AG11" i="2" a="1"/>
  <c r="AG11" i="2" l="1"/>
  <c r="AG13" i="2" s="1"/>
  <c r="AG15" i="2" s="1"/>
  <c r="AF11" i="2" a="1"/>
  <c r="AF11" i="2" l="1"/>
  <c r="AF13" i="2" s="1"/>
  <c r="AF15" i="2" s="1"/>
  <c r="AE11" i="2" a="1"/>
  <c r="AE11" i="2" l="1"/>
  <c r="AE13" i="2" s="1"/>
  <c r="AE15" i="2" s="1"/>
  <c r="AD11" i="2" a="1"/>
  <c r="AD11" i="2" l="1"/>
  <c r="AD13" i="2" s="1"/>
  <c r="AD15" i="2" s="1"/>
  <c r="AC11" i="2" a="1"/>
  <c r="AC11" i="2" l="1"/>
  <c r="AC13" i="2" s="1"/>
  <c r="AC15" i="2" s="1"/>
  <c r="AB11" i="2" a="1"/>
  <c r="AB11" i="2" l="1"/>
  <c r="AB13" i="2" s="1"/>
  <c r="AB15" i="2" s="1"/>
  <c r="AA11" i="2" a="1"/>
  <c r="AA11" i="2" l="1"/>
  <c r="AA13" i="2" s="1"/>
  <c r="AA15" i="2" s="1"/>
  <c r="Z11" i="2" a="1"/>
  <c r="Z11" i="2" l="1"/>
  <c r="Z13" i="2" s="1"/>
  <c r="Z15" i="2" s="1"/>
  <c r="Y11" i="2" a="1"/>
  <c r="Y11" i="2" l="1"/>
  <c r="Y13" i="2" s="1"/>
  <c r="Y15" i="2" s="1"/>
  <c r="X11" i="2" a="1"/>
  <c r="X11" i="2" l="1"/>
  <c r="X13" i="2" s="1"/>
  <c r="X15" i="2" s="1"/>
  <c r="W11" i="2" a="1"/>
  <c r="W11" i="2" l="1"/>
  <c r="W13" i="2" s="1"/>
  <c r="W15" i="2" s="1"/>
  <c r="V11" i="2" a="1"/>
  <c r="V11" i="2" l="1"/>
  <c r="V13" i="2" s="1"/>
  <c r="V15" i="2" s="1"/>
  <c r="U11" i="2" a="1"/>
  <c r="U11" i="2" l="1"/>
  <c r="U13" i="2" s="1"/>
  <c r="U15" i="2" s="1"/>
  <c r="T11" i="2" a="1"/>
  <c r="T11" i="2" l="1"/>
  <c r="T13" i="2" s="1"/>
  <c r="T15" i="2" s="1"/>
  <c r="S11" i="2" a="1"/>
  <c r="S11" i="2" l="1"/>
  <c r="S13" i="2" s="1"/>
  <c r="S15" i="2" s="1"/>
  <c r="R11" i="2" a="1"/>
  <c r="R11" i="2" l="1"/>
  <c r="R13" i="2" s="1"/>
  <c r="R15" i="2" s="1"/>
  <c r="Q11" i="2" a="1"/>
  <c r="Q11" i="2" l="1"/>
  <c r="Q13" i="2" s="1"/>
  <c r="Q15" i="2" s="1"/>
  <c r="P11" i="2" a="1"/>
  <c r="P11" i="2" l="1"/>
  <c r="P13" i="2" s="1"/>
  <c r="P15" i="2" s="1"/>
  <c r="O11" i="2" a="1"/>
  <c r="O11" i="2" l="1"/>
  <c r="O13" i="2" s="1"/>
  <c r="O15" i="2" s="1"/>
  <c r="AY10" i="2"/>
  <c r="AX10" i="2"/>
  <c r="AW10" i="2"/>
  <c r="AV10" i="2"/>
  <c r="AT10" i="2"/>
  <c r="AS10" i="2"/>
  <c r="AR10" i="2"/>
  <c r="AQ10" i="2"/>
  <c r="AO10" i="2"/>
  <c r="AN10" i="2"/>
  <c r="AM10" i="2"/>
  <c r="AL10" i="2"/>
  <c r="AK10" i="2"/>
  <c r="AI10" i="2"/>
  <c r="AH10" i="2"/>
  <c r="AG10" i="2"/>
  <c r="AF10" i="2"/>
  <c r="AA10" i="2"/>
  <c r="Z10" i="2"/>
  <c r="Y10" i="2"/>
  <c r="X10" i="2"/>
  <c r="W10" i="2"/>
  <c r="U10" i="2"/>
  <c r="T10" i="2"/>
  <c r="S10" i="2"/>
  <c r="R10" i="2"/>
  <c r="Q10" i="2"/>
  <c r="P10" i="2"/>
  <c r="O10" i="2"/>
  <c r="AZ7" i="2" a="1"/>
  <c r="AU10" i="2" l="1"/>
  <c r="AU148" i="2" s="1"/>
  <c r="AZ7" i="2"/>
  <c r="W148" i="2"/>
  <c r="W139" i="2"/>
  <c r="W137" i="2"/>
  <c r="P148" i="2"/>
  <c r="P139" i="2"/>
  <c r="P137" i="2"/>
  <c r="R148" i="2"/>
  <c r="R139" i="2"/>
  <c r="R137" i="2"/>
  <c r="Z148" i="2"/>
  <c r="Z139" i="2"/>
  <c r="Z137" i="2"/>
  <c r="AL148" i="2"/>
  <c r="AL139" i="2"/>
  <c r="AL137" i="2"/>
  <c r="AT148" i="2"/>
  <c r="AT139" i="2"/>
  <c r="AT15" i="2"/>
  <c r="AT137" i="2"/>
  <c r="AI137" i="2"/>
  <c r="AI138" i="2" s="1"/>
  <c r="V48" i="4" s="1" a="1"/>
  <c r="V48" i="4" s="1"/>
  <c r="AI139" i="2"/>
  <c r="AI140" i="2" s="1"/>
  <c r="V49" i="4" s="1" a="1"/>
  <c r="V49" i="4" s="1"/>
  <c r="AI148" i="2"/>
  <c r="S148" i="2"/>
  <c r="S139" i="2"/>
  <c r="S137" i="2"/>
  <c r="AM148" i="2"/>
  <c r="AM139" i="2"/>
  <c r="AM137" i="2"/>
  <c r="T148" i="2"/>
  <c r="T139" i="2"/>
  <c r="T137" i="2"/>
  <c r="AF139" i="2"/>
  <c r="AF137" i="2"/>
  <c r="AF148" i="2"/>
  <c r="D16" i="10"/>
  <c r="AN148" i="2"/>
  <c r="AN139" i="2"/>
  <c r="AN140" i="2" s="1"/>
  <c r="Z49" i="4" s="1" a="1"/>
  <c r="Z49" i="4" s="1"/>
  <c r="AN15" i="2"/>
  <c r="AN137" i="2"/>
  <c r="AV148" i="2"/>
  <c r="AV139" i="2"/>
  <c r="AV15" i="2"/>
  <c r="AV137" i="2"/>
  <c r="U148" i="2"/>
  <c r="U139" i="2"/>
  <c r="U140" i="2" s="1"/>
  <c r="K49" i="4" s="1" a="1"/>
  <c r="K49" i="4" s="1"/>
  <c r="U137" i="2"/>
  <c r="U138" i="2" s="1"/>
  <c r="K48" i="4" s="1" a="1"/>
  <c r="K48" i="4" s="1"/>
  <c r="AG148" i="2"/>
  <c r="AG139" i="2"/>
  <c r="AG140" i="2" s="1"/>
  <c r="T49" i="4" s="1" a="1"/>
  <c r="T49" i="4" s="1"/>
  <c r="AG137" i="2"/>
  <c r="AG138" i="2" s="1"/>
  <c r="T48" i="4" s="1" a="1"/>
  <c r="T48" i="4" s="1"/>
  <c r="E16" i="10"/>
  <c r="AO148" i="2"/>
  <c r="AO139" i="2"/>
  <c r="AO137" i="2"/>
  <c r="AW148" i="2"/>
  <c r="AW139" i="2"/>
  <c r="AW15" i="2"/>
  <c r="AW137" i="2"/>
  <c r="AY148" i="2"/>
  <c r="AY139" i="2"/>
  <c r="AY15" i="2"/>
  <c r="AY137" i="2"/>
  <c r="AY138" i="2" s="1"/>
  <c r="AI48" i="4" s="1" a="1"/>
  <c r="AI48" i="4" s="1"/>
  <c r="AA148" i="2"/>
  <c r="AA139" i="2"/>
  <c r="AA137" i="2"/>
  <c r="V10" i="2"/>
  <c r="AH148" i="2"/>
  <c r="AH139" i="2"/>
  <c r="AH140" i="2" s="1"/>
  <c r="U49" i="4" s="1" a="1"/>
  <c r="U49" i="4" s="1"/>
  <c r="AH137" i="2"/>
  <c r="AH138" i="2" s="1"/>
  <c r="U48" i="4" s="1" a="1"/>
  <c r="U48" i="4" s="1"/>
  <c r="AP10" i="2"/>
  <c r="AU15" i="2" s="1"/>
  <c r="AX148" i="2"/>
  <c r="AX139" i="2"/>
  <c r="AX15" i="2"/>
  <c r="AX137" i="2"/>
  <c r="O148" i="2"/>
  <c r="O139" i="2"/>
  <c r="O137" i="2"/>
  <c r="AQ148" i="2"/>
  <c r="AQ139" i="2"/>
  <c r="AQ15" i="2"/>
  <c r="AQ137" i="2"/>
  <c r="AQ138" i="2" s="1"/>
  <c r="AB48" i="4" s="1" a="1"/>
  <c r="AB48" i="4" s="1"/>
  <c r="X148" i="2"/>
  <c r="X139" i="2"/>
  <c r="X137" i="2"/>
  <c r="AJ10" i="2"/>
  <c r="AO15" i="2" s="1"/>
  <c r="AR148" i="2"/>
  <c r="AR139" i="2"/>
  <c r="AR15" i="2"/>
  <c r="AR137" i="2"/>
  <c r="AZ10" i="2"/>
  <c r="Q148" i="2"/>
  <c r="Q139" i="2"/>
  <c r="Q137" i="2"/>
  <c r="Y148" i="2"/>
  <c r="Y139" i="2"/>
  <c r="Y137" i="2"/>
  <c r="AK148" i="2"/>
  <c r="AK139" i="2"/>
  <c r="AK137" i="2"/>
  <c r="AS148" i="2"/>
  <c r="AS139" i="2"/>
  <c r="AS15" i="2"/>
  <c r="AS137" i="2"/>
  <c r="AY7" i="2" a="1"/>
  <c r="G16" i="10" l="1"/>
  <c r="AS138" i="2"/>
  <c r="AD48" i="4" s="1" a="1"/>
  <c r="AD48" i="4" s="1"/>
  <c r="AR138" i="2"/>
  <c r="AC48" i="4" s="1" a="1"/>
  <c r="AC48" i="4" s="1"/>
  <c r="AU137" i="2"/>
  <c r="AU139" i="2"/>
  <c r="AS140" i="2"/>
  <c r="AD49" i="4" s="1" a="1"/>
  <c r="AD49" i="4" s="1"/>
  <c r="AV140" i="2"/>
  <c r="AF49" i="4" s="1" a="1"/>
  <c r="AF49" i="4" s="1"/>
  <c r="AT140" i="2"/>
  <c r="AE49" i="4" s="1" a="1"/>
  <c r="AE49" i="4" s="1"/>
  <c r="AX138" i="2"/>
  <c r="AH48" i="4" s="1" a="1"/>
  <c r="AH48" i="4" s="1"/>
  <c r="AW140" i="2"/>
  <c r="AG49" i="4" s="1" a="1"/>
  <c r="AG49" i="4" s="1"/>
  <c r="AY7" i="2"/>
  <c r="G13" i="10"/>
  <c r="F6" i="11"/>
  <c r="F8" i="11" s="1"/>
  <c r="E13" i="10"/>
  <c r="D6" i="11"/>
  <c r="D8" i="11" s="1"/>
  <c r="AY140" i="2"/>
  <c r="AI49" i="4" s="1" a="1"/>
  <c r="AI49" i="4" s="1"/>
  <c r="U429" i="2"/>
  <c r="U432" i="2" s="1"/>
  <c r="U181" i="2"/>
  <c r="U154" i="2"/>
  <c r="U157" i="2"/>
  <c r="U150" i="2"/>
  <c r="AN390" i="2"/>
  <c r="AN150" i="2"/>
  <c r="AM138" i="2"/>
  <c r="Y48" i="4" s="1" a="1"/>
  <c r="Y48" i="4" s="1"/>
  <c r="AK140" i="2"/>
  <c r="AZ148" i="2"/>
  <c r="AZ150" i="2" s="1"/>
  <c r="AZ139" i="2"/>
  <c r="AZ140" i="2" s="1"/>
  <c r="AZ15" i="2"/>
  <c r="AZ137" i="2"/>
  <c r="X429" i="2"/>
  <c r="X432" i="2" s="1"/>
  <c r="X181" i="2"/>
  <c r="X154" i="2"/>
  <c r="X157" i="2"/>
  <c r="X150" i="2"/>
  <c r="AC150" i="2"/>
  <c r="V148" i="2"/>
  <c r="V139" i="2"/>
  <c r="V140" i="2" s="1"/>
  <c r="V137" i="2"/>
  <c r="V138" i="2" s="1"/>
  <c r="AW138" i="2"/>
  <c r="AG48" i="4" s="1" a="1"/>
  <c r="AG48" i="4" s="1"/>
  <c r="AF429" i="2"/>
  <c r="AF432" i="2" s="1"/>
  <c r="AF181" i="2"/>
  <c r="AF154" i="2"/>
  <c r="AF157" i="2"/>
  <c r="AF150" i="2"/>
  <c r="AM429" i="2"/>
  <c r="AM432" i="2" s="1"/>
  <c r="AM181" i="2"/>
  <c r="AM157" i="2"/>
  <c r="AM154" i="2"/>
  <c r="AM150" i="2"/>
  <c r="Z429" i="2"/>
  <c r="Z432" i="2" s="1"/>
  <c r="Z181" i="2"/>
  <c r="Z154" i="2"/>
  <c r="Z157" i="2"/>
  <c r="Z150" i="2"/>
  <c r="AE150" i="2"/>
  <c r="AB140" i="2"/>
  <c r="P49" i="4" s="1" a="1"/>
  <c r="P49" i="4" s="1"/>
  <c r="W140" i="2"/>
  <c r="L49" i="4" s="1" a="1"/>
  <c r="L49" i="4" s="1"/>
  <c r="AK429" i="2"/>
  <c r="AK432" i="2" s="1"/>
  <c r="AK181" i="2"/>
  <c r="AK157" i="2"/>
  <c r="AK154" i="2"/>
  <c r="AK150" i="2"/>
  <c r="W429" i="2"/>
  <c r="W432" i="2" s="1"/>
  <c r="W181" i="2"/>
  <c r="W157" i="2"/>
  <c r="W154" i="2"/>
  <c r="W150" i="2"/>
  <c r="AB150" i="2"/>
  <c r="AF138" i="2"/>
  <c r="Y138" i="2"/>
  <c r="N48" i="4" s="1" a="1"/>
  <c r="N48" i="4" s="1"/>
  <c r="AD138" i="2"/>
  <c r="R48" i="4" s="1" a="1"/>
  <c r="R48" i="4" s="1"/>
  <c r="AX140" i="2"/>
  <c r="AH49" i="4" s="1" a="1"/>
  <c r="AH49" i="4" s="1"/>
  <c r="AV390" i="2"/>
  <c r="AV150" i="2"/>
  <c r="AF140" i="2"/>
  <c r="AT390" i="2"/>
  <c r="AU390" i="2" s="1"/>
  <c r="AT150" i="2"/>
  <c r="Y140" i="2"/>
  <c r="N49" i="4" s="1" a="1"/>
  <c r="N49" i="4" s="1"/>
  <c r="AD140" i="2"/>
  <c r="R49" i="4" s="1" a="1"/>
  <c r="R49" i="4" s="1"/>
  <c r="AR140" i="2"/>
  <c r="AC49" i="4" s="1" a="1"/>
  <c r="AC49" i="4" s="1"/>
  <c r="AQ140" i="2"/>
  <c r="AB49" i="4" s="1" a="1"/>
  <c r="AB49" i="4" s="1"/>
  <c r="AX390" i="2"/>
  <c r="AX150" i="2"/>
  <c r="AA429" i="2"/>
  <c r="AA432" i="2" s="1"/>
  <c r="AA181" i="2"/>
  <c r="AA154" i="2"/>
  <c r="AA157" i="2"/>
  <c r="AA150" i="2"/>
  <c r="AW390" i="2"/>
  <c r="AW150" i="2"/>
  <c r="AG429" i="2"/>
  <c r="AG432" i="2" s="1"/>
  <c r="AG181" i="2"/>
  <c r="AG182" i="2" s="1"/>
  <c r="AG154" i="2"/>
  <c r="AG156" i="2" s="1"/>
  <c r="AG157" i="2"/>
  <c r="AG150" i="2"/>
  <c r="AN138" i="2"/>
  <c r="Z48" i="4" s="1" a="1"/>
  <c r="Z48" i="4" s="1"/>
  <c r="T138" i="2"/>
  <c r="J48" i="4" s="1" a="1"/>
  <c r="J48" i="4" s="1"/>
  <c r="S429" i="2"/>
  <c r="S432" i="2" s="1"/>
  <c r="S181" i="2"/>
  <c r="S182" i="2" s="1"/>
  <c r="S154" i="2"/>
  <c r="S157" i="2"/>
  <c r="AL138" i="2"/>
  <c r="X48" i="4" s="1" a="1"/>
  <c r="X48" i="4" s="1"/>
  <c r="R429" i="2"/>
  <c r="R432" i="2" s="1"/>
  <c r="R181" i="2"/>
  <c r="R182" i="2" s="1"/>
  <c r="R154" i="2"/>
  <c r="R157" i="2"/>
  <c r="Y429" i="2"/>
  <c r="Y432" i="2" s="1"/>
  <c r="Y181" i="2"/>
  <c r="Y154" i="2"/>
  <c r="Y157" i="2"/>
  <c r="Y150" i="2"/>
  <c r="AD150" i="2"/>
  <c r="AR390" i="2"/>
  <c r="AR150" i="2"/>
  <c r="AQ390" i="2"/>
  <c r="AQ150" i="2"/>
  <c r="F16" i="10"/>
  <c r="AP148" i="2"/>
  <c r="AP150" i="2" s="1"/>
  <c r="AP139" i="2"/>
  <c r="AP140" i="2" s="1"/>
  <c r="AP15" i="2"/>
  <c r="AP137" i="2"/>
  <c r="AP138" i="2" s="1"/>
  <c r="D13" i="10"/>
  <c r="C6" i="11"/>
  <c r="C8" i="11" s="1"/>
  <c r="T140" i="2"/>
  <c r="J49" i="4" s="1" a="1"/>
  <c r="J49" i="4" s="1"/>
  <c r="AI429" i="2"/>
  <c r="AI432" i="2" s="1"/>
  <c r="AI181" i="2"/>
  <c r="AI154" i="2"/>
  <c r="AI156" i="2" s="1"/>
  <c r="AI157" i="2"/>
  <c r="AI150" i="2"/>
  <c r="AL140" i="2"/>
  <c r="X49" i="4" s="1" a="1"/>
  <c r="X49" i="4" s="1"/>
  <c r="T429" i="2"/>
  <c r="T432" i="2" s="1"/>
  <c r="T181" i="2"/>
  <c r="T154" i="2"/>
  <c r="T157" i="2"/>
  <c r="T150" i="2"/>
  <c r="AL429" i="2"/>
  <c r="AL432" i="2" s="1"/>
  <c r="AL181" i="2"/>
  <c r="AL157" i="2"/>
  <c r="AL154" i="2"/>
  <c r="AL150" i="2"/>
  <c r="AS390" i="2"/>
  <c r="AS150" i="2"/>
  <c r="X138" i="2"/>
  <c r="M48" i="4" s="1" a="1"/>
  <c r="M48" i="4" s="1"/>
  <c r="AC138" i="2"/>
  <c r="Q48" i="4" s="1" a="1"/>
  <c r="Q48" i="4" s="1"/>
  <c r="AJ137" i="2"/>
  <c r="AJ138" i="2" s="1"/>
  <c r="W48" i="4" s="1" a="1"/>
  <c r="W48" i="4" s="1"/>
  <c r="AJ139" i="2"/>
  <c r="AJ140" i="2" s="1"/>
  <c r="W49" i="4" s="1" a="1"/>
  <c r="W49" i="4" s="1"/>
  <c r="AJ148" i="2"/>
  <c r="AO150" i="2" s="1"/>
  <c r="Z138" i="2"/>
  <c r="O48" i="4" s="1" a="1"/>
  <c r="O48" i="4" s="1"/>
  <c r="AE138" i="2"/>
  <c r="S48" i="4" s="1" a="1"/>
  <c r="S48" i="4" s="1"/>
  <c r="P429" i="2"/>
  <c r="P432" i="2" s="1"/>
  <c r="P181" i="2"/>
  <c r="P157" i="2"/>
  <c r="P154" i="2"/>
  <c r="AK138" i="2"/>
  <c r="Q429" i="2"/>
  <c r="Q432" i="2" s="1"/>
  <c r="Q181" i="2"/>
  <c r="Q154" i="2"/>
  <c r="Q157" i="2"/>
  <c r="AC140" i="2"/>
  <c r="Q49" i="4" s="1" a="1"/>
  <c r="Q49" i="4" s="1"/>
  <c r="X140" i="2"/>
  <c r="M49" i="4" s="1" a="1"/>
  <c r="M49" i="4" s="1"/>
  <c r="O429" i="2"/>
  <c r="O181" i="2"/>
  <c r="O157" i="2"/>
  <c r="O154" i="2"/>
  <c r="AH429" i="2"/>
  <c r="AH432" i="2" s="1"/>
  <c r="AH181" i="2"/>
  <c r="AH182" i="2" s="1"/>
  <c r="AH154" i="2"/>
  <c r="AH156" i="2" s="1"/>
  <c r="AH157" i="2"/>
  <c r="AH150" i="2"/>
  <c r="AY390" i="2"/>
  <c r="AZ390" i="2" s="1"/>
  <c r="AY150" i="2"/>
  <c r="AO390" i="2"/>
  <c r="AP390" i="2" s="1"/>
  <c r="AV138" i="2"/>
  <c r="AF48" i="4" s="1" a="1"/>
  <c r="AF48" i="4" s="1"/>
  <c r="AM140" i="2"/>
  <c r="Y49" i="4" s="1" a="1"/>
  <c r="Y49" i="4" s="1"/>
  <c r="AT138" i="2"/>
  <c r="AE48" i="4" s="1" a="1"/>
  <c r="AE48" i="4" s="1"/>
  <c r="Z140" i="2"/>
  <c r="O49" i="4" s="1" a="1"/>
  <c r="O49" i="4" s="1"/>
  <c r="AE140" i="2"/>
  <c r="S49" i="4" s="1" a="1"/>
  <c r="S49" i="4" s="1"/>
  <c r="AB138" i="2"/>
  <c r="P48" i="4" s="1" a="1"/>
  <c r="P48" i="4" s="1"/>
  <c r="W138" i="2"/>
  <c r="L48" i="4" s="1" a="1"/>
  <c r="L48" i="4" s="1"/>
  <c r="AX7" i="2" a="1"/>
  <c r="AZ138" i="2" l="1"/>
  <c r="AU138" i="2"/>
  <c r="AX445" i="2"/>
  <c r="AA140" i="2"/>
  <c r="AT445" i="2"/>
  <c r="AZ429" i="2"/>
  <c r="AU140" i="2"/>
  <c r="AR445" i="2"/>
  <c r="AL156" i="2"/>
  <c r="AA138" i="2"/>
  <c r="AK156" i="2"/>
  <c r="AF182" i="2"/>
  <c r="AK182" i="2"/>
  <c r="AX7" i="2"/>
  <c r="AJ429" i="2"/>
  <c r="AJ432" i="2" s="1"/>
  <c r="AJ181" i="2"/>
  <c r="AJ154" i="2"/>
  <c r="AJ156" i="2" s="1"/>
  <c r="AJ157" i="2"/>
  <c r="AJ150" i="2"/>
  <c r="T182" i="2"/>
  <c r="AN181" i="2"/>
  <c r="AI182" i="2"/>
  <c r="AS445" i="2"/>
  <c r="R161" i="2"/>
  <c r="W182" i="2"/>
  <c r="AB182" i="2"/>
  <c r="AM156" i="2"/>
  <c r="X156" i="2"/>
  <c r="AC156" i="2"/>
  <c r="AM161" i="2"/>
  <c r="AM158" i="2"/>
  <c r="X182" i="2"/>
  <c r="AC182" i="2"/>
  <c r="AO140" i="2"/>
  <c r="AA49" i="4" s="1" a="1"/>
  <c r="AA49" i="4" s="1"/>
  <c r="AL158" i="2"/>
  <c r="AL161" i="2"/>
  <c r="AU150" i="2"/>
  <c r="AY445" i="2"/>
  <c r="AV445" i="2"/>
  <c r="AU429" i="2"/>
  <c r="AR181" i="2"/>
  <c r="AM182" i="2"/>
  <c r="AL182" i="2"/>
  <c r="AQ181" i="2"/>
  <c r="Y158" i="2"/>
  <c r="Y161" i="2"/>
  <c r="AD158" i="2"/>
  <c r="Z158" i="2"/>
  <c r="Z161" i="2"/>
  <c r="AE158" i="2"/>
  <c r="AO445" i="2"/>
  <c r="Y156" i="2"/>
  <c r="AD156" i="2"/>
  <c r="AG158" i="2"/>
  <c r="AG161" i="2"/>
  <c r="AA161" i="2"/>
  <c r="AK158" i="2"/>
  <c r="AK161" i="2"/>
  <c r="Z156" i="2"/>
  <c r="AE156" i="2"/>
  <c r="V429" i="2"/>
  <c r="V432" i="2" s="1"/>
  <c r="V181" i="2"/>
  <c r="V182" i="2" s="1"/>
  <c r="V157" i="2"/>
  <c r="V154" i="2"/>
  <c r="V156" i="2" s="1"/>
  <c r="V150" i="2"/>
  <c r="Z182" i="2"/>
  <c r="AE182" i="2"/>
  <c r="AF158" i="2"/>
  <c r="AF161" i="2"/>
  <c r="U158" i="2"/>
  <c r="U161" i="2"/>
  <c r="AO138" i="2"/>
  <c r="AA48" i="4" s="1" a="1"/>
  <c r="AA48" i="4" s="1"/>
  <c r="Y182" i="2"/>
  <c r="AD182" i="2"/>
  <c r="S161" i="2"/>
  <c r="AP429" i="2"/>
  <c r="AQ445" i="2"/>
  <c r="T158" i="2"/>
  <c r="T161" i="2"/>
  <c r="AI158" i="2"/>
  <c r="AI161" i="2"/>
  <c r="AW445" i="2"/>
  <c r="W156" i="2"/>
  <c r="AB156" i="2"/>
  <c r="AF156" i="2"/>
  <c r="U156" i="2"/>
  <c r="AH158" i="2"/>
  <c r="AH161" i="2"/>
  <c r="T156" i="2"/>
  <c r="F13" i="10"/>
  <c r="E6" i="11"/>
  <c r="E8" i="11" s="1"/>
  <c r="W161" i="2"/>
  <c r="W158" i="2"/>
  <c r="AB158" i="2"/>
  <c r="X161" i="2"/>
  <c r="X158" i="2"/>
  <c r="AC158" i="2"/>
  <c r="U182" i="2"/>
  <c r="AW7" i="2" a="1"/>
  <c r="AA156" i="2" l="1"/>
  <c r="AA182" i="2"/>
  <c r="AW7" i="2"/>
  <c r="AW181" i="2"/>
  <c r="AW169" i="2" s="1"/>
  <c r="AW154" i="2" s="1"/>
  <c r="AR169" i="2"/>
  <c r="AR154" i="2" s="1"/>
  <c r="AN169" i="2"/>
  <c r="AS181" i="2"/>
  <c r="AU445" i="2"/>
  <c r="AP445" i="2"/>
  <c r="AZ445" i="2"/>
  <c r="AJ158" i="2"/>
  <c r="AJ161" i="2"/>
  <c r="V158" i="2"/>
  <c r="V161" i="2"/>
  <c r="AA158" i="2"/>
  <c r="AV181" i="2"/>
  <c r="AV169" i="2" s="1"/>
  <c r="AQ169" i="2"/>
  <c r="AO181" i="2"/>
  <c r="AJ182" i="2"/>
  <c r="AV7" i="2" a="1"/>
  <c r="AV7" i="2" l="1"/>
  <c r="AQ154" i="2"/>
  <c r="AV154" i="2"/>
  <c r="AT181" i="2"/>
  <c r="AO169" i="2"/>
  <c r="AS169" i="2"/>
  <c r="AX181" i="2"/>
  <c r="AX169" i="2" s="1"/>
  <c r="AP169" i="2"/>
  <c r="AR156" i="2"/>
  <c r="AR157" i="2"/>
  <c r="AW156" i="2"/>
  <c r="AW157" i="2"/>
  <c r="AU7" i="2" a="1"/>
  <c r="AU7" i="2" l="1"/>
  <c r="AW158" i="2"/>
  <c r="AW151" i="2"/>
  <c r="AV157" i="2"/>
  <c r="AV156" i="2"/>
  <c r="AP181" i="2"/>
  <c r="AP182" i="2" s="1"/>
  <c r="AT169" i="2"/>
  <c r="AY181" i="2"/>
  <c r="AY169" i="2" s="1"/>
  <c r="AZ169" i="2" s="1"/>
  <c r="AR158" i="2"/>
  <c r="AR151" i="2"/>
  <c r="AQ156" i="2"/>
  <c r="AQ157" i="2"/>
  <c r="AT7" i="2" a="1"/>
  <c r="AT7" i="2" l="1"/>
  <c r="AR403" i="2"/>
  <c r="AR391" i="2"/>
  <c r="AR153" i="2"/>
  <c r="AZ181" i="2"/>
  <c r="AV158" i="2"/>
  <c r="AV151" i="2"/>
  <c r="AW403" i="2"/>
  <c r="AW391" i="2"/>
  <c r="AW153" i="2"/>
  <c r="AU169" i="2"/>
  <c r="AQ158" i="2"/>
  <c r="AQ151" i="2"/>
  <c r="AS7" i="2" a="1"/>
  <c r="AS7" i="2" l="1"/>
  <c r="AU181" i="2"/>
  <c r="AU182" i="2" s="1"/>
  <c r="AV403" i="2"/>
  <c r="AW447" i="2" s="1"/>
  <c r="AV391" i="2"/>
  <c r="AW446" i="2" s="1"/>
  <c r="AV153" i="2"/>
  <c r="AQ403" i="2"/>
  <c r="AQ391" i="2"/>
  <c r="AR446" i="2" s="1"/>
  <c r="AQ153" i="2"/>
  <c r="AW410" i="2"/>
  <c r="AR410" i="2"/>
  <c r="AR7" i="2" a="1"/>
  <c r="AZ182" i="2" l="1"/>
  <c r="AR7" i="2"/>
  <c r="AW448" i="2"/>
  <c r="AW449" i="2" s="1"/>
  <c r="AW468" i="2" s="1"/>
  <c r="AQ410" i="2"/>
  <c r="AV410" i="2"/>
  <c r="AR447" i="2"/>
  <c r="AR448" i="2" s="1"/>
  <c r="AR449" i="2" s="1"/>
  <c r="AR468" i="2" s="1"/>
  <c r="AQ7" i="2" a="1"/>
  <c r="AQ7" i="2" l="1"/>
  <c r="AP7" i="2" a="1"/>
  <c r="AP7" i="2" l="1"/>
  <c r="AK7" i="2" a="1"/>
  <c r="AK7" i="2" l="1"/>
  <c r="AJ7" i="2" a="1"/>
  <c r="AJ7" i="2" l="1"/>
  <c r="AI7" i="2" a="1"/>
  <c r="AJ371" i="2" l="1"/>
  <c r="AI7" i="2"/>
  <c r="AK373" i="2"/>
  <c r="AK371" i="2"/>
  <c r="AH7" i="2" a="1"/>
  <c r="AJ383" i="2" l="1"/>
  <c r="AH7" i="2"/>
  <c r="AI371" i="2"/>
  <c r="AG7" i="2" a="1"/>
  <c r="AI383" i="2" l="1"/>
  <c r="AG7" i="2"/>
  <c r="AH371" i="2"/>
  <c r="AF7" i="2" a="1"/>
  <c r="AH383" i="2" l="1"/>
  <c r="AF7" i="2"/>
  <c r="AE7" i="2" a="1"/>
  <c r="AE7" i="2" l="1"/>
  <c r="AG371" i="2"/>
  <c r="AJ373" i="2"/>
  <c r="AG383" i="2"/>
  <c r="AD7" i="2" a="1"/>
  <c r="AD7" i="2" l="1"/>
  <c r="AK384" i="2"/>
  <c r="AF373" i="2"/>
  <c r="AF371" i="2"/>
  <c r="AC7" i="2" a="1"/>
  <c r="AE383" i="2" l="1"/>
  <c r="AC7" i="2"/>
  <c r="AE371" i="2"/>
  <c r="AI373" i="2"/>
  <c r="AJ384" i="2"/>
  <c r="AB7" i="2" a="1"/>
  <c r="AD383" i="2" l="1"/>
  <c r="AB7" i="2"/>
  <c r="AI384" i="2"/>
  <c r="AD371" i="2"/>
  <c r="AH373" i="2"/>
  <c r="AA7" i="2" a="1"/>
  <c r="AC383" i="2" l="1"/>
  <c r="AA7" i="2"/>
  <c r="AH384" i="2"/>
  <c r="AC371" i="2"/>
  <c r="AG373" i="2"/>
  <c r="Z7" i="2" a="1"/>
  <c r="AB383" i="2" l="1"/>
  <c r="Z7" i="2"/>
  <c r="AE373" i="2"/>
  <c r="AB371" i="2"/>
  <c r="AG384" i="2"/>
  <c r="Y7" i="2" a="1"/>
  <c r="Y7" i="2" l="1"/>
  <c r="AF384" i="2"/>
  <c r="AA373" i="2"/>
  <c r="AA371" i="2"/>
  <c r="X7" i="2" a="1"/>
  <c r="Z383" i="2" l="1"/>
  <c r="X7" i="2"/>
  <c r="Z371" i="2"/>
  <c r="AD373" i="2"/>
  <c r="AE384" i="2"/>
  <c r="W7" i="2" a="1"/>
  <c r="W7" i="2" l="1"/>
  <c r="Y371" i="2"/>
  <c r="AC373" i="2"/>
  <c r="Y383" i="2"/>
  <c r="AD384" i="2"/>
  <c r="V7" i="2" a="1"/>
  <c r="X383" i="2" l="1"/>
  <c r="V7" i="2"/>
  <c r="X371" i="2"/>
  <c r="AB373" i="2"/>
  <c r="AC384" i="2"/>
  <c r="U7" i="2" a="1"/>
  <c r="W383" i="2" l="1"/>
  <c r="U7" i="2"/>
  <c r="Z373" i="2"/>
  <c r="W371" i="2"/>
  <c r="AB384" i="2"/>
  <c r="T7" i="2" a="1"/>
  <c r="T7" i="2" l="1"/>
  <c r="V373" i="2"/>
  <c r="V371" i="2"/>
  <c r="AA384" i="2"/>
  <c r="S7" i="2" a="1"/>
  <c r="U383" i="2" l="1"/>
  <c r="S7" i="2"/>
  <c r="U371" i="2"/>
  <c r="Y373" i="2"/>
  <c r="Z384" i="2"/>
  <c r="T383" i="2" l="1"/>
  <c r="T371" i="2"/>
  <c r="X373" i="2"/>
  <c r="Y384" i="2"/>
  <c r="Q7" i="2" a="1"/>
  <c r="Q7" i="2" l="1"/>
  <c r="S371" i="2"/>
  <c r="W373" i="2"/>
  <c r="S383" i="2"/>
  <c r="X384" i="2"/>
  <c r="P7" i="2" a="1"/>
  <c r="V384" i="2" l="1"/>
  <c r="P7" i="2"/>
  <c r="R371" i="2"/>
  <c r="U373" i="2"/>
  <c r="R383" i="2"/>
  <c r="W384" i="2"/>
  <c r="O7" i="2" a="1"/>
  <c r="O7" i="2" l="1"/>
  <c r="Q373" i="2"/>
  <c r="Q371" i="2"/>
  <c r="N7" i="2" a="1"/>
  <c r="N7" i="2" l="1"/>
  <c r="P371" i="2"/>
  <c r="T373" i="2"/>
  <c r="M7" i="2" a="1"/>
  <c r="M7" i="2" l="1"/>
  <c r="O371" i="2"/>
  <c r="S373" i="2"/>
  <c r="L7" i="2" a="1"/>
  <c r="L7" i="2" l="1"/>
  <c r="K7" i="2" a="1"/>
  <c r="K7" i="2" l="1"/>
  <c r="J7" i="2" a="1"/>
  <c r="J7" i="2" l="1"/>
  <c r="I7" i="2" a="1"/>
  <c r="I7" i="2" l="1"/>
  <c r="H7" i="2" a="1"/>
  <c r="H7" i="2" l="1"/>
  <c r="G7" i="2" a="1"/>
  <c r="G7" i="2" l="1"/>
  <c r="F7" i="2" a="1"/>
  <c r="F7" i="2" l="1"/>
  <c r="AP238" i="2" a="1"/>
  <c r="AP239" i="2" a="1"/>
  <c r="AP240" i="2" a="1"/>
  <c r="AP252" i="2" a="1"/>
  <c r="AP253" i="2" a="1"/>
  <c r="AP251" i="2" a="1"/>
  <c r="AP254" i="2" a="1"/>
  <c r="AP254" i="2" l="1"/>
  <c r="AP253" i="2"/>
  <c r="AP252" i="2"/>
  <c r="AP251" i="2"/>
  <c r="AP263" i="2" s="1"/>
  <c r="AP196" i="2" s="1"/>
  <c r="AP198" i="2" s="1"/>
  <c r="AP186" i="2" s="1"/>
  <c r="AP185" i="2" s="1"/>
  <c r="AU185" i="2" s="1"/>
  <c r="AP240" i="2"/>
  <c r="AP239" i="2"/>
  <c r="AP238" i="2"/>
  <c r="AP248" i="2" s="1"/>
  <c r="AP229" i="2" s="1"/>
  <c r="AP231" i="2" s="1"/>
  <c r="AP208" i="2" s="1"/>
  <c r="AP207" i="2" s="1"/>
  <c r="AU207" i="2" s="1"/>
  <c r="AZ207" i="2" s="1"/>
  <c r="AU292" i="2" l="1"/>
  <c r="AZ185" i="2"/>
  <c r="AZ292" i="2" s="1"/>
  <c r="AZ293" i="2" s="1"/>
  <c r="AJ252" i="2" a="1"/>
  <c r="AJ251" i="2" a="1"/>
  <c r="AJ238" i="2" a="1"/>
  <c r="AJ253" i="2" a="1"/>
  <c r="AJ254" i="2" a="1"/>
  <c r="AJ239" i="2" a="1"/>
  <c r="AJ240" i="2" a="1"/>
  <c r="AJ254" i="2" l="1"/>
  <c r="AJ253" i="2"/>
  <c r="AJ252" i="2"/>
  <c r="AJ251" i="2"/>
  <c r="AJ263" i="2" s="1"/>
  <c r="AJ196" i="2" s="1"/>
  <c r="AJ240" i="2"/>
  <c r="AJ239" i="2"/>
  <c r="AJ238" i="2"/>
  <c r="AJ248" i="2" s="1"/>
  <c r="AJ229" i="2" s="1"/>
  <c r="AI251" i="2" a="1"/>
  <c r="AI252" i="2" a="1"/>
  <c r="AI253" i="2" a="1"/>
  <c r="AI254" i="2" a="1"/>
  <c r="AI238" i="2" a="1"/>
  <c r="AI239" i="2" a="1"/>
  <c r="AI240" i="2" a="1"/>
  <c r="AI254" i="2" l="1"/>
  <c r="AI253" i="2"/>
  <c r="AI252" i="2"/>
  <c r="AI251" i="2"/>
  <c r="AI263" i="2" s="1"/>
  <c r="AI196" i="2" s="1"/>
  <c r="AI240" i="2"/>
  <c r="AI239" i="2"/>
  <c r="AI238" i="2"/>
  <c r="AI248" i="2" s="1"/>
  <c r="AI229" i="2" s="1"/>
  <c r="AJ231" i="2"/>
  <c r="AJ233" i="2" s="1"/>
  <c r="AJ230" i="2"/>
  <c r="AJ197" i="2"/>
  <c r="AJ198" i="2" s="1"/>
  <c r="AJ200" i="2" s="1"/>
  <c r="AH251" i="2" a="1"/>
  <c r="AH252" i="2" a="1"/>
  <c r="AH253" i="2" a="1"/>
  <c r="AH238" i="2" a="1"/>
  <c r="AH254" i="2" a="1"/>
  <c r="AH240" i="2" a="1"/>
  <c r="AH239" i="2" a="1"/>
  <c r="AH254" i="2" l="1"/>
  <c r="AH253" i="2"/>
  <c r="AH252" i="2"/>
  <c r="AH251" i="2"/>
  <c r="AH263" i="2" s="1"/>
  <c r="AH196" i="2" s="1"/>
  <c r="AH240" i="2"/>
  <c r="AH239" i="2"/>
  <c r="AH238" i="2"/>
  <c r="AH248" i="2" s="1"/>
  <c r="AH229" i="2" s="1"/>
  <c r="AI231" i="2"/>
  <c r="AI233" i="2" s="1"/>
  <c r="AI230" i="2"/>
  <c r="AI197" i="2"/>
  <c r="AI198" i="2" s="1"/>
  <c r="AI200" i="2" s="1"/>
  <c r="AG252" i="2" a="1"/>
  <c r="AG238" i="2" a="1"/>
  <c r="AG239" i="2" a="1"/>
  <c r="AG253" i="2" a="1"/>
  <c r="AG254" i="2" a="1"/>
  <c r="AG240" i="2" a="1"/>
  <c r="AG251" i="2" a="1"/>
  <c r="AG254" i="2" l="1"/>
  <c r="AG253" i="2"/>
  <c r="AG252" i="2"/>
  <c r="AG251" i="2"/>
  <c r="AG263" i="2" s="1"/>
  <c r="AG196" i="2" s="1"/>
  <c r="AG240" i="2"/>
  <c r="AG239" i="2"/>
  <c r="AG238" i="2"/>
  <c r="AG248" i="2" s="1"/>
  <c r="AG229" i="2" s="1"/>
  <c r="AH230" i="2"/>
  <c r="AH231" i="2" s="1"/>
  <c r="AH233" i="2" s="1"/>
  <c r="AH197" i="2"/>
  <c r="AH198" i="2" s="1"/>
  <c r="AH200" i="2" s="1"/>
  <c r="AG230" i="2" l="1"/>
  <c r="AG231" i="2" s="1"/>
  <c r="AG233" i="2" s="1"/>
  <c r="AG197" i="2"/>
  <c r="AG198" i="2" s="1"/>
  <c r="AG200" i="2" s="1"/>
  <c r="AE252" i="2" a="1"/>
  <c r="AE254" i="2" a="1"/>
  <c r="AE253" i="2" a="1"/>
  <c r="AE238" i="2" a="1"/>
  <c r="AE251" i="2" a="1"/>
  <c r="AE239" i="2" a="1"/>
  <c r="AE240" i="2" a="1"/>
  <c r="AE254" i="2" l="1"/>
  <c r="AE253" i="2"/>
  <c r="AE252" i="2"/>
  <c r="AE251" i="2"/>
  <c r="AE240" i="2"/>
  <c r="AE239" i="2"/>
  <c r="AE238" i="2"/>
  <c r="AE248" i="2" s="1"/>
  <c r="AE229" i="2" s="1"/>
  <c r="AD239" i="2" a="1"/>
  <c r="AD240" i="2" a="1"/>
  <c r="AD251" i="2" a="1"/>
  <c r="AD252" i="2" a="1"/>
  <c r="AD254" i="2" a="1"/>
  <c r="AD253" i="2" a="1"/>
  <c r="AD238" i="2" a="1"/>
  <c r="AE263" i="2" l="1"/>
  <c r="AE196" i="2" s="1"/>
  <c r="AE197" i="2" s="1"/>
  <c r="AE198" i="2" s="1"/>
  <c r="AE200" i="2" s="1"/>
  <c r="AD254" i="2"/>
  <c r="AD253" i="2"/>
  <c r="AD252" i="2"/>
  <c r="AD251" i="2"/>
  <c r="AD263" i="2" s="1"/>
  <c r="AD196" i="2" s="1"/>
  <c r="AD240" i="2"/>
  <c r="AD239" i="2"/>
  <c r="AD238" i="2"/>
  <c r="AD248" i="2" s="1"/>
  <c r="AD229" i="2" s="1"/>
  <c r="AE231" i="2"/>
  <c r="AE233" i="2" s="1"/>
  <c r="AE230" i="2"/>
  <c r="AC251" i="2" a="1"/>
  <c r="AC239" i="2" a="1"/>
  <c r="AC253" i="2" a="1"/>
  <c r="AC238" i="2" a="1"/>
  <c r="AC240" i="2" a="1"/>
  <c r="AC252" i="2" a="1"/>
  <c r="AC254" i="2" a="1"/>
  <c r="AC254" i="2" l="1"/>
  <c r="AC253" i="2"/>
  <c r="AC252" i="2"/>
  <c r="AC251" i="2"/>
  <c r="AC240" i="2"/>
  <c r="AC239" i="2"/>
  <c r="AC238" i="2"/>
  <c r="AC248" i="2" s="1"/>
  <c r="AC229" i="2" s="1"/>
  <c r="AD197" i="2"/>
  <c r="AD198" i="2" s="1"/>
  <c r="AD200" i="2" s="1"/>
  <c r="AD230" i="2"/>
  <c r="AD231" i="2" s="1"/>
  <c r="AD233" i="2" s="1"/>
  <c r="AB239" i="2" a="1"/>
  <c r="AB238" i="2" a="1"/>
  <c r="AB254" i="2" a="1"/>
  <c r="AB253" i="2" a="1"/>
  <c r="AB252" i="2" a="1"/>
  <c r="AB240" i="2" a="1"/>
  <c r="AB251" i="2" a="1"/>
  <c r="AC263" i="2" l="1"/>
  <c r="AC196" i="2" s="1"/>
  <c r="AC197" i="2" s="1"/>
  <c r="AC198" i="2" s="1"/>
  <c r="AC200" i="2" s="1"/>
  <c r="AB254" i="2"/>
  <c r="AB253" i="2"/>
  <c r="AB252" i="2"/>
  <c r="AB251" i="2"/>
  <c r="AB240" i="2"/>
  <c r="AB239" i="2"/>
  <c r="AB238" i="2"/>
  <c r="AB248" i="2" s="1"/>
  <c r="AB229" i="2" s="1"/>
  <c r="AC230" i="2"/>
  <c r="AC231" i="2" s="1"/>
  <c r="AC233" i="2" s="1"/>
  <c r="AB263" i="2" l="1"/>
  <c r="AB196" i="2" s="1"/>
  <c r="AB197" i="2" s="1"/>
  <c r="AB198" i="2" s="1"/>
  <c r="AB200" i="2" s="1"/>
  <c r="AB230" i="2"/>
  <c r="AB231" i="2" s="1"/>
  <c r="AB233" i="2" s="1"/>
  <c r="Z240" i="2" a="1"/>
  <c r="Z253" i="2" a="1"/>
  <c r="Z251" i="2" a="1"/>
  <c r="Z239" i="2" a="1"/>
  <c r="Z254" i="2" a="1"/>
  <c r="Z252" i="2" a="1"/>
  <c r="Z238" i="2" a="1"/>
  <c r="Z254" i="2" l="1"/>
  <c r="Z253" i="2"/>
  <c r="Z252" i="2"/>
  <c r="Z251" i="2"/>
  <c r="Z263" i="2" s="1"/>
  <c r="Z196" i="2" s="1"/>
  <c r="Z240" i="2"/>
  <c r="Z239" i="2"/>
  <c r="Z238" i="2"/>
  <c r="Z248" i="2" s="1"/>
  <c r="Z229" i="2" s="1"/>
  <c r="Y251" i="2" a="1"/>
  <c r="Y239" i="2" a="1"/>
  <c r="Y238" i="2" a="1"/>
  <c r="Y252" i="2" a="1"/>
  <c r="Y240" i="2" a="1"/>
  <c r="Y253" i="2" a="1"/>
  <c r="Y254" i="2" a="1"/>
  <c r="Y254" i="2" l="1"/>
  <c r="Y253" i="2"/>
  <c r="Y252" i="2"/>
  <c r="Y251" i="2"/>
  <c r="Y263" i="2" s="1"/>
  <c r="Y196" i="2" s="1"/>
  <c r="Y240" i="2"/>
  <c r="Y239" i="2"/>
  <c r="Y238" i="2"/>
  <c r="Y248" i="2" s="1"/>
  <c r="Y229" i="2" s="1"/>
  <c r="Z230" i="2"/>
  <c r="Z231" i="2" s="1"/>
  <c r="Z233" i="2" s="1"/>
  <c r="Z197" i="2"/>
  <c r="Z198" i="2" s="1"/>
  <c r="Z200" i="2" s="1"/>
  <c r="X239" i="2" a="1"/>
  <c r="X254" i="2" a="1"/>
  <c r="X253" i="2" a="1"/>
  <c r="X252" i="2" a="1"/>
  <c r="X238" i="2" a="1"/>
  <c r="X251" i="2" a="1"/>
  <c r="X240" i="2" a="1"/>
  <c r="X254" i="2" l="1"/>
  <c r="X253" i="2"/>
  <c r="X252" i="2"/>
  <c r="X251" i="2"/>
  <c r="X240" i="2"/>
  <c r="X239" i="2"/>
  <c r="X238" i="2"/>
  <c r="X248" i="2" s="1"/>
  <c r="X229" i="2" s="1"/>
  <c r="Y197" i="2"/>
  <c r="Y198" i="2" s="1"/>
  <c r="Y200" i="2" s="1"/>
  <c r="Y230" i="2"/>
  <c r="Y231" i="2" s="1"/>
  <c r="Y233" i="2" s="1"/>
  <c r="W239" i="2" a="1"/>
  <c r="W253" i="2" a="1"/>
  <c r="W254" i="2" a="1"/>
  <c r="W238" i="2" a="1"/>
  <c r="W252" i="2" a="1"/>
  <c r="W251" i="2" a="1"/>
  <c r="W240" i="2" a="1"/>
  <c r="X263" i="2" l="1"/>
  <c r="X196" i="2" s="1"/>
  <c r="X197" i="2" s="1"/>
  <c r="X198" i="2" s="1"/>
  <c r="X200" i="2" s="1"/>
  <c r="W254" i="2"/>
  <c r="W253" i="2"/>
  <c r="W252" i="2"/>
  <c r="W251" i="2"/>
  <c r="W240" i="2"/>
  <c r="W239" i="2"/>
  <c r="W238" i="2"/>
  <c r="W248" i="2" s="1"/>
  <c r="W229" i="2" s="1"/>
  <c r="X230" i="2"/>
  <c r="X231" i="2" s="1"/>
  <c r="X233" i="2" s="1"/>
  <c r="W263" i="2" l="1"/>
  <c r="W196" i="2" s="1"/>
  <c r="W197" i="2" s="1"/>
  <c r="W198" i="2" s="1"/>
  <c r="W200" i="2" s="1"/>
  <c r="W230" i="2"/>
  <c r="W231" i="2" s="1"/>
  <c r="W233" i="2" s="1"/>
  <c r="U239" i="2" a="1"/>
  <c r="U254" i="2" a="1"/>
  <c r="U238" i="2" a="1"/>
  <c r="U251" i="2" a="1"/>
  <c r="U240" i="2" a="1"/>
  <c r="U253" i="2" a="1"/>
  <c r="U252" i="2" a="1"/>
  <c r="U254" i="2" l="1"/>
  <c r="U253" i="2"/>
  <c r="U252" i="2"/>
  <c r="U251" i="2"/>
  <c r="U240" i="2"/>
  <c r="U239" i="2"/>
  <c r="U238" i="2"/>
  <c r="U248" i="2" s="1"/>
  <c r="U229" i="2" s="1"/>
  <c r="T251" i="2" a="1"/>
  <c r="T252" i="2" a="1"/>
  <c r="T253" i="2" a="1"/>
  <c r="T238" i="2" a="1"/>
  <c r="T254" i="2" a="1"/>
  <c r="T239" i="2" a="1"/>
  <c r="T240" i="2" a="1"/>
  <c r="U263" i="2" l="1"/>
  <c r="U196" i="2" s="1"/>
  <c r="U197" i="2" s="1"/>
  <c r="U198" i="2" s="1"/>
  <c r="U200" i="2" s="1"/>
  <c r="T254" i="2"/>
  <c r="T253" i="2"/>
  <c r="T252" i="2"/>
  <c r="T251" i="2"/>
  <c r="T240" i="2"/>
  <c r="T239" i="2"/>
  <c r="T238" i="2"/>
  <c r="T248" i="2" s="1"/>
  <c r="T229" i="2" s="1"/>
  <c r="U230" i="2"/>
  <c r="U231" i="2" s="1"/>
  <c r="U233" i="2" s="1"/>
  <c r="S238" i="2" a="1"/>
  <c r="S251" i="2" a="1"/>
  <c r="S252" i="2" a="1"/>
  <c r="S254" i="2" a="1"/>
  <c r="S239" i="2" a="1"/>
  <c r="S240" i="2" a="1"/>
  <c r="S253" i="2" a="1"/>
  <c r="T263" i="2" l="1"/>
  <c r="T196" i="2" s="1"/>
  <c r="T197" i="2" s="1"/>
  <c r="T198" i="2" s="1"/>
  <c r="T200" i="2" s="1"/>
  <c r="S254" i="2"/>
  <c r="S253" i="2"/>
  <c r="S252" i="2"/>
  <c r="S251" i="2"/>
  <c r="S240" i="2"/>
  <c r="S239" i="2"/>
  <c r="S238" i="2"/>
  <c r="S248" i="2" s="1"/>
  <c r="S229" i="2" s="1"/>
  <c r="S231" i="2" s="1"/>
  <c r="T230" i="2"/>
  <c r="T231" i="2" s="1"/>
  <c r="T233" i="2" s="1"/>
  <c r="R238" i="2" a="1"/>
  <c r="R240" i="2" a="1"/>
  <c r="R254" i="2" a="1"/>
  <c r="R239" i="2" a="1"/>
  <c r="R252" i="2" a="1"/>
  <c r="R253" i="2" a="1"/>
  <c r="R251" i="2" a="1"/>
  <c r="S263" i="2" l="1"/>
  <c r="S196" i="2" s="1"/>
  <c r="S198" i="2" s="1"/>
  <c r="R254" i="2"/>
  <c r="R253" i="2"/>
  <c r="R252" i="2"/>
  <c r="R251" i="2"/>
  <c r="R263" i="2" s="1"/>
  <c r="R196" i="2" s="1"/>
  <c r="R198" i="2" s="1"/>
  <c r="R240" i="2"/>
  <c r="R239" i="2"/>
  <c r="R238" i="2"/>
  <c r="R248" i="2" s="1"/>
  <c r="R229" i="2" s="1"/>
  <c r="R231" i="2" s="1"/>
  <c r="P239" i="2" a="1"/>
  <c r="P240" i="2" a="1"/>
  <c r="P254" i="2" a="1"/>
  <c r="P251" i="2" a="1"/>
  <c r="P252" i="2" a="1"/>
  <c r="P238" i="2" a="1"/>
  <c r="P253" i="2" a="1"/>
  <c r="P254" i="2" l="1"/>
  <c r="P253" i="2"/>
  <c r="P252" i="2"/>
  <c r="P251" i="2"/>
  <c r="P240" i="2"/>
  <c r="P239" i="2"/>
  <c r="P238" i="2"/>
  <c r="P248" i="2" s="1"/>
  <c r="P229" i="2" s="1"/>
  <c r="P231" i="2" s="1"/>
  <c r="O251" i="2" a="1"/>
  <c r="O252" i="2" a="1"/>
  <c r="O253" i="2" a="1"/>
  <c r="O240" i="2" a="1"/>
  <c r="O254" i="2" a="1"/>
  <c r="O238" i="2" a="1"/>
  <c r="O239" i="2" a="1"/>
  <c r="P263" i="2" l="1"/>
  <c r="P196" i="2" s="1"/>
  <c r="P198" i="2" s="1"/>
  <c r="O254" i="2"/>
  <c r="O253" i="2"/>
  <c r="O252" i="2"/>
  <c r="O251" i="2"/>
  <c r="O263" i="2" s="1"/>
  <c r="O196" i="2" s="1"/>
  <c r="O198" i="2" s="1"/>
  <c r="O240" i="2"/>
  <c r="O239" i="2"/>
  <c r="O238" i="2"/>
  <c r="O248" i="2" s="1"/>
  <c r="O229" i="2" s="1"/>
  <c r="O231" i="2" s="1"/>
  <c r="N239" i="2" a="1"/>
  <c r="N240" i="2" a="1"/>
  <c r="N254" i="2" a="1"/>
  <c r="N251" i="2" a="1"/>
  <c r="N252" i="2" a="1"/>
  <c r="N253" i="2" a="1"/>
  <c r="N238" i="2" a="1"/>
  <c r="N254" i="2" l="1"/>
  <c r="N253" i="2"/>
  <c r="N252" i="2"/>
  <c r="N251" i="2"/>
  <c r="N240" i="2"/>
  <c r="N239" i="2"/>
  <c r="N238" i="2"/>
  <c r="N248" i="2" s="1"/>
  <c r="M251" i="2" a="1"/>
  <c r="M252" i="2" a="1"/>
  <c r="M253" i="2" a="1"/>
  <c r="M254" i="2" a="1"/>
  <c r="M238" i="2" a="1"/>
  <c r="M239" i="2" a="1"/>
  <c r="M240" i="2" a="1"/>
  <c r="N263" i="2" l="1"/>
  <c r="M254" i="2"/>
  <c r="M253" i="2"/>
  <c r="M252" i="2"/>
  <c r="M251" i="2"/>
  <c r="M240" i="2"/>
  <c r="M239" i="2"/>
  <c r="M238" i="2"/>
  <c r="M248" i="2" s="1"/>
  <c r="M263" i="2" l="1"/>
  <c r="AY5" i="2"/>
  <c r="AX5" i="2"/>
  <c r="AW5" i="2"/>
  <c r="AV5" i="2"/>
  <c r="AT5" i="2"/>
  <c r="AS5" i="2"/>
  <c r="AR5" i="2"/>
  <c r="AQ5" i="2"/>
  <c r="AJ5" i="2"/>
  <c r="AI5" i="2"/>
  <c r="AH5" i="2"/>
  <c r="AG5" i="2"/>
  <c r="AE5" i="2"/>
  <c r="AD5" i="2"/>
  <c r="AC5" i="2"/>
  <c r="AB5" i="2"/>
  <c r="Z5" i="2"/>
  <c r="Y5" i="2"/>
  <c r="X5" i="2"/>
  <c r="W5" i="2"/>
  <c r="U5" i="2"/>
  <c r="T5" i="2"/>
  <c r="S5" i="2"/>
  <c r="R5" i="2"/>
  <c r="P5" i="2"/>
  <c r="O5" i="2"/>
  <c r="N5" i="2"/>
  <c r="M5" i="2"/>
  <c r="K5" i="2"/>
  <c r="AY3" i="2"/>
  <c r="AX3" i="2"/>
  <c r="AW3" i="2"/>
  <c r="AV3" i="2"/>
  <c r="AT3" i="2"/>
  <c r="AS3" i="2"/>
  <c r="AR3" i="2"/>
  <c r="AQ3" i="2"/>
  <c r="AJ3" i="2"/>
  <c r="AI3" i="2"/>
  <c r="AH3" i="2"/>
  <c r="AG3" i="2"/>
  <c r="AE3" i="2"/>
  <c r="AD3" i="2"/>
  <c r="AC3" i="2"/>
  <c r="AB3" i="2"/>
  <c r="Z3" i="2"/>
  <c r="Y3" i="2"/>
  <c r="X3" i="2"/>
  <c r="W3" i="2"/>
  <c r="U3" i="2"/>
  <c r="T3" i="2"/>
  <c r="S3" i="2"/>
  <c r="R3" i="2"/>
  <c r="P3" i="2"/>
  <c r="O3" i="2"/>
  <c r="N3" i="2"/>
  <c r="M3" i="2"/>
  <c r="K3" i="2"/>
  <c r="J3" i="2"/>
  <c r="I3" i="2"/>
  <c r="H3" i="2"/>
  <c r="AO2" i="2"/>
  <c r="AN2" i="2"/>
  <c r="AM2" i="2"/>
  <c r="AL2" i="2"/>
  <c r="C13" i="1"/>
  <c r="G8" i="1"/>
  <c r="AQ103" i="2" a="1"/>
  <c r="AQ272" i="2" a="1"/>
  <c r="AG102" i="2" a="1"/>
  <c r="AG269" i="2" a="1"/>
  <c r="W100" i="2" a="1"/>
  <c r="W268" i="2" a="1"/>
  <c r="M99" i="2" a="1"/>
  <c r="M272" i="2" a="1"/>
  <c r="AR102" i="2" a="1"/>
  <c r="AR269" i="2" a="1"/>
  <c r="AY100" i="2" a="1"/>
  <c r="AY268" i="2" a="1"/>
  <c r="AE99" i="2" a="1"/>
  <c r="AE125" i="2" a="1"/>
  <c r="U97" i="2" a="1"/>
  <c r="U124" i="2" a="1"/>
  <c r="K96" i="2" a="1"/>
  <c r="K268" i="2" a="1"/>
  <c r="N99" i="2" a="1"/>
  <c r="N272" i="2" a="1"/>
  <c r="AX102" i="2" a="1"/>
  <c r="AX269" i="2" a="1"/>
  <c r="AD100" i="2" a="1"/>
  <c r="AD268" i="2" a="1"/>
  <c r="T99" i="2" a="1"/>
  <c r="T125" i="2" a="1"/>
  <c r="AW97" i="2" a="1"/>
  <c r="AW124" i="2" a="1"/>
  <c r="AC96" i="2" a="1"/>
  <c r="AC123" i="2" a="1"/>
  <c r="AC281" i="2" a="1"/>
  <c r="S106" i="2" a="1"/>
  <c r="S280" i="2" a="1"/>
  <c r="AV105" i="2" a="1"/>
  <c r="AV273" i="2" a="1"/>
  <c r="AB103" i="2" a="1"/>
  <c r="AB272" i="2" a="1"/>
  <c r="R102" i="2" a="1"/>
  <c r="R269" i="2" a="1"/>
  <c r="AT100" i="2" a="1"/>
  <c r="AT268" i="2" a="1"/>
  <c r="AJ99" i="2" a="1"/>
  <c r="AJ125" i="2" a="1"/>
  <c r="Z97" i="2" a="1"/>
  <c r="Z124" i="2" a="1"/>
  <c r="P96" i="2" a="1"/>
  <c r="P268" i="2" a="1"/>
  <c r="AH99" i="2" a="1"/>
  <c r="AH125" i="2" a="1"/>
  <c r="AS97" i="2" a="1"/>
  <c r="AS124" i="2" a="1"/>
  <c r="AI96" i="2" a="1"/>
  <c r="AI123" i="2" a="1"/>
  <c r="AI281" i="2" a="1"/>
  <c r="Y106" i="2" a="1"/>
  <c r="Y280" i="2" a="1"/>
  <c r="O105" i="2" a="1"/>
  <c r="X96" i="2" a="1"/>
  <c r="X123" i="2" a="1"/>
  <c r="X281" i="2" a="1"/>
  <c r="AQ102" i="2" a="1"/>
  <c r="W125" i="2" a="1"/>
  <c r="AE97" i="2" a="1"/>
  <c r="N269" i="2" a="1"/>
  <c r="T124" i="2" a="1"/>
  <c r="S273" i="2" a="1"/>
  <c r="AT99" i="2" a="1"/>
  <c r="P106" i="2" a="1"/>
  <c r="AI280" i="2" a="1"/>
  <c r="AQ105" i="2" a="1"/>
  <c r="AQ273" i="2" a="1"/>
  <c r="AG103" i="2" a="1"/>
  <c r="AG272" i="2" a="1"/>
  <c r="W102" i="2" a="1"/>
  <c r="W269" i="2" a="1"/>
  <c r="M100" i="2" a="1"/>
  <c r="M273" i="2" a="1"/>
  <c r="AR103" i="2" a="1"/>
  <c r="AR272" i="2" a="1"/>
  <c r="AY102" i="2" a="1"/>
  <c r="AY269" i="2" a="1"/>
  <c r="AE100" i="2" a="1"/>
  <c r="AE268" i="2" a="1"/>
  <c r="U99" i="2" a="1"/>
  <c r="U125" i="2" a="1"/>
  <c r="K97" i="2" a="1"/>
  <c r="K269" i="2" a="1"/>
  <c r="N100" i="2" a="1"/>
  <c r="N273" i="2" a="1"/>
  <c r="AX103" i="2" a="1"/>
  <c r="AX272" i="2" a="1"/>
  <c r="AD102" i="2" a="1"/>
  <c r="AD269" i="2" a="1"/>
  <c r="T100" i="2" a="1"/>
  <c r="T268" i="2" a="1"/>
  <c r="AW99" i="2" a="1"/>
  <c r="AW125" i="2" a="1"/>
  <c r="AC97" i="2" a="1"/>
  <c r="AC124" i="2" a="1"/>
  <c r="S96" i="2" a="1"/>
  <c r="S123" i="2" a="1"/>
  <c r="S281" i="2" a="1"/>
  <c r="AV106" i="2" a="1"/>
  <c r="AV280" i="2" a="1"/>
  <c r="AB105" i="2" a="1"/>
  <c r="AB273" i="2" a="1"/>
  <c r="R103" i="2" a="1"/>
  <c r="R272" i="2" a="1"/>
  <c r="AT102" i="2" a="1"/>
  <c r="AT269" i="2" a="1"/>
  <c r="AJ100" i="2" a="1"/>
  <c r="AJ268" i="2" a="1"/>
  <c r="Z99" i="2" a="1"/>
  <c r="Z125" i="2" a="1"/>
  <c r="P97" i="2" a="1"/>
  <c r="P269" i="2" a="1"/>
  <c r="AH100" i="2" a="1"/>
  <c r="AH268" i="2" a="1"/>
  <c r="AS99" i="2" a="1"/>
  <c r="AS125" i="2" a="1"/>
  <c r="AI97" i="2" a="1"/>
  <c r="AI124" i="2" a="1"/>
  <c r="Y96" i="2" a="1"/>
  <c r="Y123" i="2" a="1"/>
  <c r="Y281" i="2" a="1"/>
  <c r="O106" i="2" a="1"/>
  <c r="X97" i="2" a="1"/>
  <c r="X124" i="2" a="1"/>
  <c r="AQ269" i="2" a="1"/>
  <c r="M269" i="2" a="1"/>
  <c r="U96" i="2" a="1"/>
  <c r="AX268" i="2" a="1"/>
  <c r="AC280" i="2" a="1"/>
  <c r="R100" i="2" a="1"/>
  <c r="Z281" i="2" a="1"/>
  <c r="AS281" i="2" a="1"/>
  <c r="X106" i="2" a="1"/>
  <c r="AQ106" i="2" a="1"/>
  <c r="AQ280" i="2" a="1"/>
  <c r="AG105" i="2" a="1"/>
  <c r="AG273" i="2" a="1"/>
  <c r="W103" i="2" a="1"/>
  <c r="W272" i="2" a="1"/>
  <c r="M102" i="2" a="1"/>
  <c r="M280" i="2" a="1"/>
  <c r="AR105" i="2" a="1"/>
  <c r="AR273" i="2" a="1"/>
  <c r="AY103" i="2" a="1"/>
  <c r="AY272" i="2" a="1"/>
  <c r="AE102" i="2" a="1"/>
  <c r="AE269" i="2" a="1"/>
  <c r="U100" i="2" a="1"/>
  <c r="U268" i="2" a="1"/>
  <c r="K99" i="2" a="1"/>
  <c r="K272" i="2" a="1"/>
  <c r="N102" i="2" a="1"/>
  <c r="N280" i="2" a="1"/>
  <c r="AX105" i="2" a="1"/>
  <c r="AX273" i="2" a="1"/>
  <c r="AD103" i="2" a="1"/>
  <c r="AD272" i="2" a="1"/>
  <c r="T102" i="2" a="1"/>
  <c r="T269" i="2" a="1"/>
  <c r="AW100" i="2" a="1"/>
  <c r="AW268" i="2" a="1"/>
  <c r="AC99" i="2" a="1"/>
  <c r="AC125" i="2" a="1"/>
  <c r="S97" i="2" a="1"/>
  <c r="S124" i="2" a="1"/>
  <c r="AV96" i="2" a="1"/>
  <c r="AV123" i="2" a="1"/>
  <c r="AV281" i="2" a="1"/>
  <c r="AB106" i="2" a="1"/>
  <c r="AB280" i="2" a="1"/>
  <c r="R105" i="2" a="1"/>
  <c r="R273" i="2" a="1"/>
  <c r="AT103" i="2" a="1"/>
  <c r="AT272" i="2" a="1"/>
  <c r="AJ102" i="2" a="1"/>
  <c r="AJ269" i="2" a="1"/>
  <c r="Z100" i="2" a="1"/>
  <c r="Z268" i="2" a="1"/>
  <c r="P99" i="2" a="1"/>
  <c r="P272" i="2" a="1"/>
  <c r="AH102" i="2" a="1"/>
  <c r="AH269" i="2" a="1"/>
  <c r="AS100" i="2" a="1"/>
  <c r="AS268" i="2" a="1"/>
  <c r="AI99" i="2" a="1"/>
  <c r="AI125" i="2" a="1"/>
  <c r="Y97" i="2" a="1"/>
  <c r="Y124" i="2" a="1"/>
  <c r="O96" i="2" a="1"/>
  <c r="O268" i="2" a="1"/>
  <c r="X99" i="2" a="1"/>
  <c r="X125" i="2" a="1"/>
  <c r="W99" i="2" a="1"/>
  <c r="AY99" i="2" a="1"/>
  <c r="U123" i="2" a="1"/>
  <c r="AD125" i="2" a="1"/>
  <c r="AW281" i="2" a="1"/>
  <c r="AV272" i="2" a="1"/>
  <c r="AJ97" i="2" a="1"/>
  <c r="AS96" i="2" a="1"/>
  <c r="Y273" i="2" a="1"/>
  <c r="AQ96" i="2" a="1"/>
  <c r="AQ123" i="2" a="1"/>
  <c r="AQ281" i="2" a="1"/>
  <c r="AG106" i="2" a="1"/>
  <c r="AG280" i="2" a="1"/>
  <c r="W105" i="2" a="1"/>
  <c r="W273" i="2" a="1"/>
  <c r="M103" i="2" a="1"/>
  <c r="M281" i="2" a="1"/>
  <c r="AR106" i="2" a="1"/>
  <c r="AR280" i="2" a="1"/>
  <c r="AY105" i="2" a="1"/>
  <c r="AY273" i="2" a="1"/>
  <c r="AE103" i="2" a="1"/>
  <c r="AE272" i="2" a="1"/>
  <c r="U102" i="2" a="1"/>
  <c r="U269" i="2" a="1"/>
  <c r="K100" i="2" a="1"/>
  <c r="K273" i="2" a="1"/>
  <c r="N103" i="2" a="1"/>
  <c r="N281" i="2" a="1"/>
  <c r="AX106" i="2" a="1"/>
  <c r="AX280" i="2" a="1"/>
  <c r="AD105" i="2" a="1"/>
  <c r="AD273" i="2" a="1"/>
  <c r="T103" i="2" a="1"/>
  <c r="T272" i="2" a="1"/>
  <c r="AW102" i="2" a="1"/>
  <c r="AW269" i="2" a="1"/>
  <c r="AC100" i="2" a="1"/>
  <c r="AC268" i="2" a="1"/>
  <c r="S99" i="2" a="1"/>
  <c r="S125" i="2" a="1"/>
  <c r="AV97" i="2" a="1"/>
  <c r="AV124" i="2" a="1"/>
  <c r="AB96" i="2" a="1"/>
  <c r="AB123" i="2" a="1"/>
  <c r="AB281" i="2" a="1"/>
  <c r="R106" i="2" a="1"/>
  <c r="R280" i="2" a="1"/>
  <c r="AT105" i="2" a="1"/>
  <c r="AT273" i="2" a="1"/>
  <c r="AJ103" i="2" a="1"/>
  <c r="AJ272" i="2" a="1"/>
  <c r="Z102" i="2" a="1"/>
  <c r="Z269" i="2" a="1"/>
  <c r="P100" i="2" a="1"/>
  <c r="P273" i="2" a="1"/>
  <c r="AH103" i="2" a="1"/>
  <c r="AH272" i="2" a="1"/>
  <c r="AS102" i="2" a="1"/>
  <c r="AS269" i="2" a="1"/>
  <c r="AI100" i="2" a="1"/>
  <c r="AI268" i="2" a="1"/>
  <c r="Y99" i="2" a="1"/>
  <c r="Y125" i="2" a="1"/>
  <c r="O97" i="2" a="1"/>
  <c r="O269" i="2" a="1"/>
  <c r="X100" i="2" a="1"/>
  <c r="X268" i="2" a="1"/>
  <c r="X269" i="2" a="1"/>
  <c r="AG100" i="2" a="1"/>
  <c r="M97" i="2" a="1"/>
  <c r="AE124" i="2" a="1"/>
  <c r="AX100" i="2" a="1"/>
  <c r="AW96" i="2" a="1"/>
  <c r="AV103" i="2" a="1"/>
  <c r="AT125" i="2" a="1"/>
  <c r="AH97" i="2" a="1"/>
  <c r="Y105" i="2" a="1"/>
  <c r="X280" i="2" a="1"/>
  <c r="AQ97" i="2" a="1"/>
  <c r="AQ124" i="2" a="1"/>
  <c r="AG96" i="2" a="1"/>
  <c r="AG123" i="2" a="1"/>
  <c r="AG281" i="2" a="1"/>
  <c r="W106" i="2" a="1"/>
  <c r="W280" i="2" a="1"/>
  <c r="M105" i="2" a="1"/>
  <c r="AR96" i="2" a="1"/>
  <c r="AR123" i="2" a="1"/>
  <c r="AR281" i="2" a="1"/>
  <c r="AY106" i="2" a="1"/>
  <c r="AY280" i="2" a="1"/>
  <c r="AE105" i="2" a="1"/>
  <c r="AE273" i="2" a="1"/>
  <c r="U103" i="2" a="1"/>
  <c r="U272" i="2" a="1"/>
  <c r="K102" i="2" a="1"/>
  <c r="K280" i="2" a="1"/>
  <c r="N105" i="2" a="1"/>
  <c r="AX96" i="2" a="1"/>
  <c r="AX123" i="2" a="1"/>
  <c r="AX281" i="2" a="1"/>
  <c r="AD106" i="2" a="1"/>
  <c r="AD280" i="2" a="1"/>
  <c r="T105" i="2" a="1"/>
  <c r="T273" i="2" a="1"/>
  <c r="AW103" i="2" a="1"/>
  <c r="AW272" i="2" a="1"/>
  <c r="AC102" i="2" a="1"/>
  <c r="AC269" i="2" a="1"/>
  <c r="S100" i="2" a="1"/>
  <c r="S268" i="2" a="1"/>
  <c r="AV99" i="2" a="1"/>
  <c r="AV125" i="2" a="1"/>
  <c r="AB97" i="2" a="1"/>
  <c r="AB124" i="2" a="1"/>
  <c r="R96" i="2" a="1"/>
  <c r="R123" i="2" a="1"/>
  <c r="R281" i="2" a="1"/>
  <c r="AT106" i="2" a="1"/>
  <c r="AT280" i="2" a="1"/>
  <c r="AJ105" i="2" a="1"/>
  <c r="AJ273" i="2" a="1"/>
  <c r="Z103" i="2" a="1"/>
  <c r="Z272" i="2" a="1"/>
  <c r="P102" i="2" a="1"/>
  <c r="P280" i="2" a="1"/>
  <c r="AH105" i="2" a="1"/>
  <c r="AH273" i="2" a="1"/>
  <c r="AS103" i="2" a="1"/>
  <c r="AS272" i="2" a="1"/>
  <c r="AI102" i="2" a="1"/>
  <c r="AI269" i="2" a="1"/>
  <c r="Y100" i="2" a="1"/>
  <c r="Y268" i="2" a="1"/>
  <c r="O99" i="2" a="1"/>
  <c r="O272" i="2" a="1"/>
  <c r="X102" i="2" a="1"/>
  <c r="AR100" i="2" a="1"/>
  <c r="K106" i="2" a="1"/>
  <c r="AW123" i="2" a="1"/>
  <c r="AB102" i="2" a="1"/>
  <c r="Z96" i="2" a="1"/>
  <c r="AI106" i="2" a="1"/>
  <c r="AQ99" i="2" a="1"/>
  <c r="AQ125" i="2" a="1"/>
  <c r="AG97" i="2" a="1"/>
  <c r="AG124" i="2" a="1"/>
  <c r="W96" i="2" a="1"/>
  <c r="W123" i="2" a="1"/>
  <c r="W281" i="2" a="1"/>
  <c r="M106" i="2" a="1"/>
  <c r="AR97" i="2" a="1"/>
  <c r="AR124" i="2" a="1"/>
  <c r="AY96" i="2" a="1"/>
  <c r="AY123" i="2" a="1"/>
  <c r="AY281" i="2" a="1"/>
  <c r="AE106" i="2" a="1"/>
  <c r="AE280" i="2" a="1"/>
  <c r="U105" i="2" a="1"/>
  <c r="U273" i="2" a="1"/>
  <c r="K103" i="2" a="1"/>
  <c r="K281" i="2" a="1"/>
  <c r="N106" i="2" a="1"/>
  <c r="AX97" i="2" a="1"/>
  <c r="AX124" i="2" a="1"/>
  <c r="AD96" i="2" a="1"/>
  <c r="AD123" i="2" a="1"/>
  <c r="AD281" i="2" a="1"/>
  <c r="T106" i="2" a="1"/>
  <c r="T280" i="2" a="1"/>
  <c r="AW105" i="2" a="1"/>
  <c r="AW273" i="2" a="1"/>
  <c r="AC103" i="2" a="1"/>
  <c r="AC272" i="2" a="1"/>
  <c r="S102" i="2" a="1"/>
  <c r="S269" i="2" a="1"/>
  <c r="AV100" i="2" a="1"/>
  <c r="AV268" i="2" a="1"/>
  <c r="AB99" i="2" a="1"/>
  <c r="AB125" i="2" a="1"/>
  <c r="R97" i="2" a="1"/>
  <c r="R124" i="2" a="1"/>
  <c r="AT96" i="2" a="1"/>
  <c r="AT123" i="2" a="1"/>
  <c r="AT281" i="2" a="1"/>
  <c r="AJ106" i="2" a="1"/>
  <c r="AJ280" i="2" a="1"/>
  <c r="Z105" i="2" a="1"/>
  <c r="Z273" i="2" a="1"/>
  <c r="P103" i="2" a="1"/>
  <c r="P281" i="2" a="1"/>
  <c r="AH106" i="2" a="1"/>
  <c r="AH280" i="2" a="1"/>
  <c r="AS105" i="2" a="1"/>
  <c r="AS273" i="2" a="1"/>
  <c r="AI103" i="2" a="1"/>
  <c r="AI272" i="2" a="1"/>
  <c r="Y102" i="2" a="1"/>
  <c r="Y269" i="2" a="1"/>
  <c r="O100" i="2" a="1"/>
  <c r="O273" i="2" a="1"/>
  <c r="X103" i="2" a="1"/>
  <c r="X272" i="2" a="1"/>
  <c r="AY125" i="2" a="1"/>
  <c r="N97" i="2" a="1"/>
  <c r="T97" i="2" a="1"/>
  <c r="S105" i="2" a="1"/>
  <c r="R268" i="2" a="1"/>
  <c r="Z123" i="2" a="1"/>
  <c r="AS123" i="2" a="1"/>
  <c r="O281" i="2" a="1"/>
  <c r="AQ100" i="2" a="1"/>
  <c r="AQ268" i="2" a="1"/>
  <c r="AG99" i="2" a="1"/>
  <c r="AG125" i="2" a="1"/>
  <c r="W97" i="2" a="1"/>
  <c r="W124" i="2" a="1"/>
  <c r="M96" i="2" a="1"/>
  <c r="M268" i="2" a="1"/>
  <c r="AR99" i="2" a="1"/>
  <c r="AR125" i="2" a="1"/>
  <c r="AY97" i="2" a="1"/>
  <c r="AY124" i="2" a="1"/>
  <c r="AE96" i="2" a="1"/>
  <c r="AE123" i="2" a="1"/>
  <c r="AE281" i="2" a="1"/>
  <c r="U106" i="2" a="1"/>
  <c r="U280" i="2" a="1"/>
  <c r="K105" i="2" a="1"/>
  <c r="N96" i="2" a="1"/>
  <c r="N268" i="2" a="1"/>
  <c r="AX99" i="2" a="1"/>
  <c r="AX125" i="2" a="1"/>
  <c r="AD97" i="2" a="1"/>
  <c r="AD124" i="2" a="1"/>
  <c r="T96" i="2" a="1"/>
  <c r="T123" i="2" a="1"/>
  <c r="T281" i="2" a="1"/>
  <c r="AW106" i="2" a="1"/>
  <c r="AW280" i="2" a="1"/>
  <c r="AC105" i="2" a="1"/>
  <c r="AC273" i="2" a="1"/>
  <c r="S103" i="2" a="1"/>
  <c r="S272" i="2" a="1"/>
  <c r="AV102" i="2" a="1"/>
  <c r="AV269" i="2" a="1"/>
  <c r="AB100" i="2" a="1"/>
  <c r="AB268" i="2" a="1"/>
  <c r="R99" i="2" a="1"/>
  <c r="R125" i="2" a="1"/>
  <c r="AT97" i="2" a="1"/>
  <c r="AT124" i="2" a="1"/>
  <c r="AJ96" i="2" a="1"/>
  <c r="AJ123" i="2" a="1"/>
  <c r="AJ281" i="2" a="1"/>
  <c r="Z106" i="2" a="1"/>
  <c r="Z280" i="2" a="1"/>
  <c r="P105" i="2" a="1"/>
  <c r="AH96" i="2" a="1"/>
  <c r="AH123" i="2" a="1"/>
  <c r="AH281" i="2" a="1"/>
  <c r="AS106" i="2" a="1"/>
  <c r="AS280" i="2" a="1"/>
  <c r="AI105" i="2" a="1"/>
  <c r="AI273" i="2" a="1"/>
  <c r="Y103" i="2" a="1"/>
  <c r="Y272" i="2" a="1"/>
  <c r="O102" i="2" a="1"/>
  <c r="O280" i="2" a="1"/>
  <c r="X105" i="2" a="1"/>
  <c r="X273" i="2" a="1"/>
  <c r="AG268" i="2" a="1"/>
  <c r="AR268" i="2" a="1"/>
  <c r="U281" i="2" a="1"/>
  <c r="AD99" i="2" a="1"/>
  <c r="AC106" i="2" a="1"/>
  <c r="AB269" i="2" a="1"/>
  <c r="AJ124" i="2" a="1"/>
  <c r="AH124" i="2" a="1"/>
  <c r="O103" i="2" a="1"/>
  <c r="G4" i="1" a="1"/>
  <c r="AL7" i="2" a="1"/>
  <c r="AN7" i="2" a="1"/>
  <c r="AM7" i="2" a="1"/>
  <c r="AO7" i="2" a="1"/>
  <c r="Z166" i="2" l="1"/>
  <c r="AM3" i="2"/>
  <c r="AE115" i="2"/>
  <c r="AW166" i="2"/>
  <c r="AL5" i="2"/>
  <c r="AM5" i="2"/>
  <c r="G4" i="1"/>
  <c r="X281" i="2"/>
  <c r="X280" i="2"/>
  <c r="X273" i="2"/>
  <c r="X272" i="2"/>
  <c r="X269" i="2"/>
  <c r="X268" i="2"/>
  <c r="X125" i="2"/>
  <c r="X124" i="2"/>
  <c r="X123" i="2"/>
  <c r="X106" i="2"/>
  <c r="M37" i="4" s="1" a="1"/>
  <c r="M37" i="4" s="1"/>
  <c r="X105" i="2"/>
  <c r="X103" i="2"/>
  <c r="X102" i="2"/>
  <c r="X100" i="2"/>
  <c r="M36" i="4" s="1" a="1"/>
  <c r="M36" i="4" s="1"/>
  <c r="X99" i="2"/>
  <c r="X97" i="2"/>
  <c r="X96" i="2"/>
  <c r="O281" i="2"/>
  <c r="O280" i="2"/>
  <c r="O273" i="2"/>
  <c r="O272" i="2"/>
  <c r="O269" i="2"/>
  <c r="O268" i="2"/>
  <c r="O106" i="2"/>
  <c r="F37" i="4" s="1" a="1"/>
  <c r="F37" i="4" s="1"/>
  <c r="O105" i="2"/>
  <c r="O103" i="2"/>
  <c r="O102" i="2"/>
  <c r="O100" i="2"/>
  <c r="F36" i="4" s="1" a="1"/>
  <c r="F36" i="4" s="1"/>
  <c r="O99" i="2"/>
  <c r="O97" i="2"/>
  <c r="O96" i="2"/>
  <c r="Y281" i="2"/>
  <c r="Y280" i="2"/>
  <c r="Y273" i="2"/>
  <c r="Y272" i="2"/>
  <c r="Y269" i="2"/>
  <c r="Y268" i="2"/>
  <c r="Y125" i="2"/>
  <c r="Y124" i="2"/>
  <c r="Y123" i="2"/>
  <c r="Y106" i="2"/>
  <c r="N37" i="4" s="1" a="1"/>
  <c r="N37" i="4" s="1"/>
  <c r="Y105" i="2"/>
  <c r="Y103" i="2"/>
  <c r="Y102" i="2"/>
  <c r="Y100" i="2"/>
  <c r="N36" i="4" s="1" a="1"/>
  <c r="N36" i="4" s="1"/>
  <c r="Y99" i="2"/>
  <c r="Y97" i="2"/>
  <c r="Y96" i="2"/>
  <c r="AI281" i="2"/>
  <c r="AI280" i="2"/>
  <c r="AI273" i="2"/>
  <c r="AI272" i="2"/>
  <c r="AI269" i="2"/>
  <c r="AI268" i="2"/>
  <c r="AI125" i="2"/>
  <c r="AI124" i="2"/>
  <c r="AI123" i="2"/>
  <c r="AI106" i="2"/>
  <c r="V37" i="4" s="1" a="1"/>
  <c r="V37" i="4" s="1"/>
  <c r="AI105" i="2"/>
  <c r="AI103" i="2"/>
  <c r="AI102" i="2"/>
  <c r="AI100" i="2"/>
  <c r="V36" i="4" s="1" a="1"/>
  <c r="V36" i="4" s="1"/>
  <c r="AI99" i="2"/>
  <c r="AI97" i="2"/>
  <c r="AI96" i="2"/>
  <c r="AS281" i="2"/>
  <c r="AS280" i="2"/>
  <c r="AS273" i="2"/>
  <c r="AS272" i="2"/>
  <c r="AS269" i="2"/>
  <c r="AS268" i="2"/>
  <c r="AS125" i="2"/>
  <c r="AS124" i="2"/>
  <c r="AS123" i="2"/>
  <c r="AS106" i="2"/>
  <c r="AS105" i="2"/>
  <c r="AS103" i="2"/>
  <c r="AS102" i="2"/>
  <c r="AS100" i="2"/>
  <c r="AS99" i="2"/>
  <c r="AS97" i="2"/>
  <c r="AS96" i="2"/>
  <c r="AH281" i="2"/>
  <c r="AH280" i="2"/>
  <c r="AH273" i="2"/>
  <c r="AH272" i="2"/>
  <c r="AH269" i="2"/>
  <c r="AH268" i="2"/>
  <c r="AH125" i="2"/>
  <c r="AH124" i="2"/>
  <c r="AH123" i="2"/>
  <c r="AH106" i="2"/>
  <c r="U37" i="4" s="1" a="1"/>
  <c r="U37" i="4" s="1"/>
  <c r="AH105" i="2"/>
  <c r="AH103" i="2"/>
  <c r="AH102" i="2"/>
  <c r="AH100" i="2"/>
  <c r="U36" i="4" s="1" a="1"/>
  <c r="U36" i="4" s="1"/>
  <c r="AH99" i="2"/>
  <c r="AH97" i="2"/>
  <c r="AH96" i="2"/>
  <c r="P281" i="2"/>
  <c r="P280" i="2"/>
  <c r="P273" i="2"/>
  <c r="P272" i="2"/>
  <c r="P269" i="2"/>
  <c r="P268" i="2"/>
  <c r="P106" i="2"/>
  <c r="G37" i="4" s="1" a="1"/>
  <c r="G37" i="4" s="1"/>
  <c r="P105" i="2"/>
  <c r="P103" i="2"/>
  <c r="P102" i="2"/>
  <c r="P100" i="2"/>
  <c r="G36" i="4" s="1" a="1"/>
  <c r="G36" i="4" s="1"/>
  <c r="P99" i="2"/>
  <c r="P97" i="2"/>
  <c r="P96" i="2"/>
  <c r="Z281" i="2"/>
  <c r="Z280" i="2"/>
  <c r="Z273" i="2"/>
  <c r="Z272" i="2"/>
  <c r="Z269" i="2"/>
  <c r="Z268" i="2"/>
  <c r="Z125" i="2"/>
  <c r="Z124" i="2"/>
  <c r="Z123" i="2"/>
  <c r="Z106" i="2"/>
  <c r="O37" i="4" s="1" a="1"/>
  <c r="O37" i="4" s="1"/>
  <c r="Z105" i="2"/>
  <c r="Z103" i="2"/>
  <c r="Z102" i="2"/>
  <c r="Z100" i="2"/>
  <c r="O36" i="4" s="1" a="1"/>
  <c r="O36" i="4" s="1"/>
  <c r="Z99" i="2"/>
  <c r="Z97" i="2"/>
  <c r="Z96" i="2"/>
  <c r="AJ281" i="2"/>
  <c r="AJ280" i="2"/>
  <c r="AJ273" i="2"/>
  <c r="AJ272" i="2"/>
  <c r="AJ269" i="2"/>
  <c r="AJ268" i="2"/>
  <c r="AJ125" i="2"/>
  <c r="AJ124" i="2"/>
  <c r="AJ123" i="2"/>
  <c r="AJ106" i="2"/>
  <c r="W37" i="4" s="1" a="1"/>
  <c r="W37" i="4" s="1"/>
  <c r="AJ105" i="2"/>
  <c r="AJ103" i="2"/>
  <c r="AJ102" i="2"/>
  <c r="AJ100" i="2"/>
  <c r="W36" i="4" s="1" a="1"/>
  <c r="W36" i="4" s="1"/>
  <c r="AJ99" i="2"/>
  <c r="AJ97" i="2"/>
  <c r="AJ96" i="2"/>
  <c r="AT281" i="2"/>
  <c r="AT280" i="2"/>
  <c r="AT273" i="2"/>
  <c r="AT272" i="2"/>
  <c r="AT269" i="2"/>
  <c r="AT268" i="2"/>
  <c r="AT125" i="2"/>
  <c r="AT124" i="2"/>
  <c r="AT123" i="2"/>
  <c r="AT106" i="2"/>
  <c r="AT105" i="2"/>
  <c r="AT103" i="2"/>
  <c r="AT102" i="2"/>
  <c r="AT100" i="2"/>
  <c r="AT99" i="2"/>
  <c r="AT97" i="2"/>
  <c r="AT96" i="2"/>
  <c r="AN7" i="2"/>
  <c r="AC166" i="2"/>
  <c r="R281" i="2"/>
  <c r="R280" i="2"/>
  <c r="R273" i="2"/>
  <c r="R272" i="2"/>
  <c r="R269" i="2"/>
  <c r="R268" i="2"/>
  <c r="R125" i="2"/>
  <c r="R124" i="2"/>
  <c r="R123" i="2"/>
  <c r="R106" i="2"/>
  <c r="H37" i="4" s="1" a="1"/>
  <c r="H37" i="4" s="1"/>
  <c r="R105" i="2"/>
  <c r="R103" i="2"/>
  <c r="R102" i="2"/>
  <c r="R100" i="2"/>
  <c r="H36" i="4" s="1" a="1"/>
  <c r="H36" i="4" s="1"/>
  <c r="R99" i="2"/>
  <c r="R97" i="2"/>
  <c r="R96" i="2"/>
  <c r="AB281" i="2"/>
  <c r="AB280" i="2"/>
  <c r="AB273" i="2"/>
  <c r="AB272" i="2"/>
  <c r="AB269" i="2"/>
  <c r="AB268" i="2"/>
  <c r="AB125" i="2"/>
  <c r="AB124" i="2"/>
  <c r="AB123" i="2"/>
  <c r="AB106" i="2"/>
  <c r="P37" i="4" s="1" a="1"/>
  <c r="P37" i="4" s="1"/>
  <c r="AB105" i="2"/>
  <c r="AB103" i="2"/>
  <c r="AB102" i="2"/>
  <c r="AB100" i="2"/>
  <c r="P36" i="4" s="1" a="1"/>
  <c r="P36" i="4" s="1"/>
  <c r="AB99" i="2"/>
  <c r="AB97" i="2"/>
  <c r="AB96" i="2"/>
  <c r="AV281" i="2"/>
  <c r="AV280" i="2"/>
  <c r="AV273" i="2"/>
  <c r="AV272" i="2"/>
  <c r="AV269" i="2"/>
  <c r="AV268" i="2"/>
  <c r="AV125" i="2"/>
  <c r="AV124" i="2"/>
  <c r="AV123" i="2"/>
  <c r="AV106" i="2"/>
  <c r="AV105" i="2"/>
  <c r="AV103" i="2"/>
  <c r="AV102" i="2"/>
  <c r="AV100" i="2"/>
  <c r="AV99" i="2"/>
  <c r="AV97" i="2"/>
  <c r="AV96" i="2"/>
  <c r="AO7" i="2"/>
  <c r="S281" i="2"/>
  <c r="S280" i="2"/>
  <c r="S273" i="2"/>
  <c r="S272" i="2"/>
  <c r="S269" i="2"/>
  <c r="S268" i="2"/>
  <c r="S125" i="2"/>
  <c r="S124" i="2"/>
  <c r="S123" i="2"/>
  <c r="S106" i="2"/>
  <c r="I37" i="4" s="1" a="1"/>
  <c r="I37" i="4" s="1"/>
  <c r="S105" i="2"/>
  <c r="S103" i="2"/>
  <c r="S102" i="2"/>
  <c r="S100" i="2"/>
  <c r="I36" i="4" s="1" a="1"/>
  <c r="I36" i="4" s="1"/>
  <c r="S99" i="2"/>
  <c r="S97" i="2"/>
  <c r="S96" i="2"/>
  <c r="AC281" i="2"/>
  <c r="AC280" i="2"/>
  <c r="AC273" i="2"/>
  <c r="AC272" i="2"/>
  <c r="AC269" i="2"/>
  <c r="AC268" i="2"/>
  <c r="AC125" i="2"/>
  <c r="AC124" i="2"/>
  <c r="AC123" i="2"/>
  <c r="AC106" i="2"/>
  <c r="Q37" i="4" s="1" a="1"/>
  <c r="Q37" i="4" s="1"/>
  <c r="AC105" i="2"/>
  <c r="AC103" i="2"/>
  <c r="AC102" i="2"/>
  <c r="AC100" i="2"/>
  <c r="Q36" i="4" s="1" a="1"/>
  <c r="Q36" i="4" s="1"/>
  <c r="AC99" i="2"/>
  <c r="AC97" i="2"/>
  <c r="AC96" i="2"/>
  <c r="AW281" i="2"/>
  <c r="AW280" i="2"/>
  <c r="AW273" i="2"/>
  <c r="AW272" i="2"/>
  <c r="AW269" i="2"/>
  <c r="AW268" i="2"/>
  <c r="AW125" i="2"/>
  <c r="AW124" i="2"/>
  <c r="AW123" i="2"/>
  <c r="AW106" i="2"/>
  <c r="AW105" i="2"/>
  <c r="AW103" i="2"/>
  <c r="AW102" i="2"/>
  <c r="AW100" i="2"/>
  <c r="AW99" i="2"/>
  <c r="AW97" i="2"/>
  <c r="AW96" i="2"/>
  <c r="T281" i="2"/>
  <c r="T280" i="2"/>
  <c r="T273" i="2"/>
  <c r="T272" i="2"/>
  <c r="T269" i="2"/>
  <c r="T268" i="2"/>
  <c r="T125" i="2"/>
  <c r="T124" i="2"/>
  <c r="T123" i="2"/>
  <c r="T106" i="2"/>
  <c r="J37" i="4" s="1" a="1"/>
  <c r="J37" i="4" s="1"/>
  <c r="T105" i="2"/>
  <c r="T103" i="2"/>
  <c r="T102" i="2"/>
  <c r="T100" i="2"/>
  <c r="J36" i="4" s="1" a="1"/>
  <c r="J36" i="4" s="1"/>
  <c r="T99" i="2"/>
  <c r="T97" i="2"/>
  <c r="T96" i="2"/>
  <c r="AD281" i="2"/>
  <c r="AD280" i="2"/>
  <c r="AD273" i="2"/>
  <c r="AD272" i="2"/>
  <c r="AD269" i="2"/>
  <c r="AD268" i="2"/>
  <c r="AD125" i="2"/>
  <c r="AD124" i="2"/>
  <c r="AD123" i="2"/>
  <c r="AD106" i="2"/>
  <c r="R37" i="4" s="1" a="1"/>
  <c r="R37" i="4" s="1"/>
  <c r="AD105" i="2"/>
  <c r="AD103" i="2"/>
  <c r="AD102" i="2"/>
  <c r="AD100" i="2"/>
  <c r="R36" i="4" s="1" a="1"/>
  <c r="R36" i="4" s="1"/>
  <c r="AD99" i="2"/>
  <c r="AD97" i="2"/>
  <c r="AD96" i="2"/>
  <c r="AX281" i="2"/>
  <c r="AX280" i="2"/>
  <c r="AX273" i="2"/>
  <c r="AX272" i="2"/>
  <c r="AX269" i="2"/>
  <c r="AX268" i="2"/>
  <c r="AX125" i="2"/>
  <c r="AX124" i="2"/>
  <c r="AX123" i="2"/>
  <c r="AX106" i="2"/>
  <c r="AX105" i="2"/>
  <c r="AX103" i="2"/>
  <c r="AX102" i="2"/>
  <c r="AX100" i="2"/>
  <c r="AX99" i="2"/>
  <c r="AX97" i="2"/>
  <c r="AX96" i="2"/>
  <c r="N281" i="2"/>
  <c r="N280" i="2"/>
  <c r="N273" i="2"/>
  <c r="N272" i="2"/>
  <c r="N269" i="2"/>
  <c r="N268" i="2"/>
  <c r="N106" i="2"/>
  <c r="N105" i="2"/>
  <c r="N103" i="2"/>
  <c r="N102" i="2"/>
  <c r="N100" i="2"/>
  <c r="N99" i="2"/>
  <c r="N97" i="2"/>
  <c r="N96" i="2"/>
  <c r="AL7" i="2"/>
  <c r="AG166" i="2"/>
  <c r="K281" i="2"/>
  <c r="K280" i="2"/>
  <c r="K273" i="2"/>
  <c r="K272" i="2"/>
  <c r="K269" i="2"/>
  <c r="K268" i="2"/>
  <c r="K106" i="2"/>
  <c r="K105" i="2"/>
  <c r="K103" i="2"/>
  <c r="K102" i="2"/>
  <c r="K100" i="2"/>
  <c r="K99" i="2"/>
  <c r="K97" i="2"/>
  <c r="K96" i="2"/>
  <c r="U281" i="2"/>
  <c r="U280" i="2"/>
  <c r="U273" i="2"/>
  <c r="U272" i="2"/>
  <c r="U269" i="2"/>
  <c r="U268" i="2"/>
  <c r="U125" i="2"/>
  <c r="U124" i="2"/>
  <c r="U123" i="2"/>
  <c r="U106" i="2"/>
  <c r="K37" i="4" s="1" a="1"/>
  <c r="K37" i="4" s="1"/>
  <c r="U105" i="2"/>
  <c r="U103" i="2"/>
  <c r="U102" i="2"/>
  <c r="U100" i="2"/>
  <c r="K36" i="4" s="1" a="1"/>
  <c r="K36" i="4" s="1"/>
  <c r="U99" i="2"/>
  <c r="U97" i="2"/>
  <c r="U96" i="2"/>
  <c r="AE281" i="2"/>
  <c r="AE280" i="2"/>
  <c r="AE273" i="2"/>
  <c r="AE272" i="2"/>
  <c r="AE269" i="2"/>
  <c r="AE268" i="2"/>
  <c r="AE125" i="2"/>
  <c r="AE124" i="2"/>
  <c r="AE123" i="2"/>
  <c r="AE106" i="2"/>
  <c r="S37" i="4" s="1" a="1"/>
  <c r="S37" i="4" s="1"/>
  <c r="AE105" i="2"/>
  <c r="AE103" i="2"/>
  <c r="AE102" i="2"/>
  <c r="AE100" i="2"/>
  <c r="S36" i="4" s="1" a="1"/>
  <c r="S36" i="4" s="1"/>
  <c r="AE99" i="2"/>
  <c r="AE97" i="2"/>
  <c r="AE96" i="2"/>
  <c r="AY281" i="2"/>
  <c r="AY280" i="2"/>
  <c r="AY273" i="2"/>
  <c r="AY272" i="2"/>
  <c r="AY269" i="2"/>
  <c r="AY268" i="2"/>
  <c r="AY125" i="2"/>
  <c r="AY124" i="2"/>
  <c r="AY123" i="2"/>
  <c r="AY106" i="2"/>
  <c r="AY105" i="2"/>
  <c r="AY103" i="2"/>
  <c r="AY102" i="2"/>
  <c r="AY100" i="2"/>
  <c r="AY99" i="2"/>
  <c r="AY97" i="2"/>
  <c r="AY96" i="2"/>
  <c r="AR281" i="2"/>
  <c r="AR280" i="2"/>
  <c r="AR273" i="2"/>
  <c r="AR272" i="2"/>
  <c r="AR269" i="2"/>
  <c r="AR268" i="2"/>
  <c r="AR125" i="2"/>
  <c r="AR124" i="2"/>
  <c r="AR123" i="2"/>
  <c r="AR106" i="2"/>
  <c r="AR105" i="2"/>
  <c r="AR103" i="2"/>
  <c r="AR102" i="2"/>
  <c r="AR100" i="2"/>
  <c r="AR99" i="2"/>
  <c r="AR97" i="2"/>
  <c r="AR96" i="2"/>
  <c r="AM7" i="2"/>
  <c r="X166" i="2"/>
  <c r="M281" i="2"/>
  <c r="M280" i="2"/>
  <c r="M273" i="2"/>
  <c r="M272" i="2"/>
  <c r="M269" i="2"/>
  <c r="M268" i="2"/>
  <c r="M106" i="2"/>
  <c r="M105" i="2"/>
  <c r="M103" i="2"/>
  <c r="M102" i="2"/>
  <c r="M100" i="2"/>
  <c r="M99" i="2"/>
  <c r="M97" i="2"/>
  <c r="M96" i="2"/>
  <c r="W281" i="2"/>
  <c r="W280" i="2"/>
  <c r="W273" i="2"/>
  <c r="W272" i="2"/>
  <c r="W269" i="2"/>
  <c r="W268" i="2"/>
  <c r="W125" i="2"/>
  <c r="W124" i="2"/>
  <c r="W123" i="2"/>
  <c r="W106" i="2"/>
  <c r="L37" i="4" s="1" a="1"/>
  <c r="L37" i="4" s="1"/>
  <c r="W105" i="2"/>
  <c r="W103" i="2"/>
  <c r="W102" i="2"/>
  <c r="W100" i="2"/>
  <c r="L36" i="4" s="1" a="1"/>
  <c r="L36" i="4" s="1"/>
  <c r="W99" i="2"/>
  <c r="W97" i="2"/>
  <c r="W96" i="2"/>
  <c r="AG281" i="2"/>
  <c r="AG280" i="2"/>
  <c r="AG273" i="2"/>
  <c r="AG272" i="2"/>
  <c r="AG269" i="2"/>
  <c r="AG268" i="2"/>
  <c r="AG125" i="2"/>
  <c r="AG124" i="2"/>
  <c r="AG123" i="2"/>
  <c r="AG106" i="2"/>
  <c r="T37" i="4" s="1" a="1"/>
  <c r="T37" i="4" s="1"/>
  <c r="AG105" i="2"/>
  <c r="AG103" i="2"/>
  <c r="AG102" i="2"/>
  <c r="AG100" i="2"/>
  <c r="T36" i="4" s="1" a="1"/>
  <c r="T36" i="4" s="1"/>
  <c r="AG99" i="2"/>
  <c r="AG97" i="2"/>
  <c r="AG96" i="2"/>
  <c r="AQ281" i="2"/>
  <c r="AQ280" i="2"/>
  <c r="AQ273" i="2"/>
  <c r="AQ272" i="2"/>
  <c r="AQ269" i="2"/>
  <c r="AQ268" i="2"/>
  <c r="AQ125" i="2"/>
  <c r="AQ124" i="2"/>
  <c r="AQ123" i="2"/>
  <c r="AQ106" i="2"/>
  <c r="AQ105" i="2"/>
  <c r="AQ103" i="2"/>
  <c r="AQ102" i="2"/>
  <c r="AQ100" i="2"/>
  <c r="AQ99" i="2"/>
  <c r="AQ97" i="2"/>
  <c r="AQ96" i="2"/>
  <c r="AL3" i="2"/>
  <c r="AN3" i="2"/>
  <c r="AO3" i="2"/>
  <c r="AN5" i="2"/>
  <c r="AO5" i="2"/>
  <c r="AL280" i="2" a="1"/>
  <c r="AL106" i="2" a="1"/>
  <c r="AM281" i="2" a="1"/>
  <c r="AM123" i="2" a="1"/>
  <c r="AM96" i="2" a="1"/>
  <c r="AN106" i="2" a="1"/>
  <c r="AN280" i="2" a="1"/>
  <c r="AO105" i="2" a="1"/>
  <c r="AO273" i="2" a="1"/>
  <c r="AO106" i="2" a="1"/>
  <c r="AL103" i="2" a="1"/>
  <c r="AM273" i="2" a="1"/>
  <c r="AM105" i="2" a="1"/>
  <c r="AO96" i="2" a="1"/>
  <c r="AL273" i="2" a="1"/>
  <c r="AL105" i="2" a="1"/>
  <c r="AM280" i="2" a="1"/>
  <c r="AM106" i="2" a="1"/>
  <c r="AN96" i="2" a="1"/>
  <c r="AN123" i="2" a="1"/>
  <c r="AN281" i="2" a="1"/>
  <c r="AO280" i="2" a="1"/>
  <c r="AO123" i="2" a="1"/>
  <c r="AL272" i="2" a="1"/>
  <c r="AO281" i="2" a="1"/>
  <c r="AL269" i="2" a="1"/>
  <c r="AL102" i="2" a="1"/>
  <c r="AM272" i="2" a="1"/>
  <c r="AM103" i="2" a="1"/>
  <c r="AN99" i="2" a="1"/>
  <c r="AN125" i="2" a="1"/>
  <c r="AO97" i="2" a="1"/>
  <c r="AO124" i="2" a="1"/>
  <c r="AL124" i="2" a="1"/>
  <c r="AM125" i="2" a="1"/>
  <c r="AN103" i="2" a="1"/>
  <c r="AN272" i="2" a="1"/>
  <c r="AO269" i="2" a="1"/>
  <c r="AN97" i="2" a="1"/>
  <c r="AL268" i="2" a="1"/>
  <c r="AL100" i="2" a="1"/>
  <c r="AM269" i="2" a="1"/>
  <c r="AM102" i="2" a="1"/>
  <c r="AN100" i="2" a="1"/>
  <c r="AN268" i="2" a="1"/>
  <c r="AO99" i="2" a="1"/>
  <c r="AO125" i="2" a="1"/>
  <c r="AL125" i="2" a="1"/>
  <c r="AL99" i="2" a="1"/>
  <c r="AM268" i="2" a="1"/>
  <c r="AM100" i="2" a="1"/>
  <c r="AN102" i="2" a="1"/>
  <c r="AN269" i="2" a="1"/>
  <c r="AO100" i="2" a="1"/>
  <c r="AO268" i="2" a="1"/>
  <c r="AM99" i="2" a="1"/>
  <c r="AO102" i="2" a="1"/>
  <c r="AN124" i="2" a="1"/>
  <c r="AL97" i="2" a="1"/>
  <c r="AL281" i="2" a="1"/>
  <c r="AL123" i="2" a="1"/>
  <c r="AL96" i="2" a="1"/>
  <c r="AM124" i="2" a="1"/>
  <c r="AM97" i="2" a="1"/>
  <c r="AN105" i="2" a="1"/>
  <c r="AN273" i="2" a="1"/>
  <c r="AO103" i="2" a="1"/>
  <c r="AO272" i="2" a="1"/>
  <c r="AO254" i="2" a="1"/>
  <c r="AL251" i="2" a="1"/>
  <c r="AM252" i="2" a="1"/>
  <c r="AL238" i="2" a="1"/>
  <c r="AO252" i="2" a="1"/>
  <c r="AM238" i="2" a="1"/>
  <c r="AN253" i="2" a="1"/>
  <c r="AO240" i="2" a="1"/>
  <c r="G2" i="1" a="1"/>
  <c r="AO238" i="2" a="1"/>
  <c r="AO239" i="2" a="1"/>
  <c r="AM239" i="2" a="1"/>
  <c r="AO253" i="2" a="1"/>
  <c r="AN240" i="2" a="1"/>
  <c r="AL239" i="2" a="1"/>
  <c r="AL240" i="2" a="1"/>
  <c r="AL254" i="2" a="1"/>
  <c r="AO251" i="2" a="1"/>
  <c r="AL252" i="2" a="1"/>
  <c r="AM254" i="2" a="1"/>
  <c r="AL253" i="2" a="1"/>
  <c r="AD166" i="2" l="1"/>
  <c r="AY115" i="2"/>
  <c r="AY117" i="2" s="1"/>
  <c r="AH166" i="2"/>
  <c r="R166" i="2"/>
  <c r="Y166" i="2"/>
  <c r="O166" i="2"/>
  <c r="AB166" i="2"/>
  <c r="AJ274" i="2"/>
  <c r="AI274" i="2"/>
  <c r="AQ166" i="2"/>
  <c r="S166" i="2"/>
  <c r="U166" i="2"/>
  <c r="AE166" i="2"/>
  <c r="AV166" i="2"/>
  <c r="AI166" i="2"/>
  <c r="T282" i="2"/>
  <c r="AV104" i="2"/>
  <c r="AQ270" i="2"/>
  <c r="M98" i="2"/>
  <c r="D9" i="4" s="1" a="1"/>
  <c r="D9" i="4" s="1"/>
  <c r="M270" i="2"/>
  <c r="AR98" i="2"/>
  <c r="AV274" i="2"/>
  <c r="AR166" i="2"/>
  <c r="AW274" i="2"/>
  <c r="S270" i="2"/>
  <c r="AV98" i="2"/>
  <c r="AT270" i="2"/>
  <c r="P270" i="2"/>
  <c r="AY282" i="2"/>
  <c r="U274" i="2"/>
  <c r="K104" i="2"/>
  <c r="K282" i="2"/>
  <c r="P166" i="2"/>
  <c r="AQ98" i="2"/>
  <c r="AG282" i="2"/>
  <c r="N98" i="2"/>
  <c r="E9" i="4" s="1" a="1"/>
  <c r="E9" i="4" s="1"/>
  <c r="N270" i="2"/>
  <c r="AB270" i="2"/>
  <c r="AR115" i="2"/>
  <c r="AR117" i="2" s="1"/>
  <c r="AC13" i="4" s="1" a="1"/>
  <c r="AC13" i="4" s="1"/>
  <c r="AO115" i="2"/>
  <c r="AO117" i="2" s="1"/>
  <c r="AN115" i="2"/>
  <c r="AN117" i="2" s="1"/>
  <c r="AQ115" i="2"/>
  <c r="AQ117" i="2" s="1"/>
  <c r="AM371" i="2"/>
  <c r="AR282" i="2"/>
  <c r="AY274" i="2"/>
  <c r="U270" i="2"/>
  <c r="K274" i="2"/>
  <c r="N274" i="2"/>
  <c r="AX104" i="2"/>
  <c r="AW98" i="2"/>
  <c r="AV270" i="2"/>
  <c r="AS98" i="2"/>
  <c r="T166" i="2"/>
  <c r="AX115" i="2"/>
  <c r="AX117" i="2" s="1"/>
  <c r="AH270" i="2"/>
  <c r="AQ274" i="2"/>
  <c r="W270" i="2"/>
  <c r="M274" i="2"/>
  <c r="AX282" i="2"/>
  <c r="T274" i="2"/>
  <c r="AW270" i="2"/>
  <c r="AB274" i="2"/>
  <c r="AT98" i="2"/>
  <c r="AH274" i="2"/>
  <c r="AG274" i="2"/>
  <c r="AW104" i="2"/>
  <c r="AC270" i="2"/>
  <c r="AS104" i="2"/>
  <c r="X270" i="2"/>
  <c r="AY104" i="2"/>
  <c r="AE270" i="2"/>
  <c r="S274" i="2"/>
  <c r="AT104" i="2"/>
  <c r="AS282" i="2"/>
  <c r="Y274" i="2"/>
  <c r="O282" i="2"/>
  <c r="W166" i="2"/>
  <c r="AJ166" i="2"/>
  <c r="AM96" i="2"/>
  <c r="AM97" i="2"/>
  <c r="Y32" i="4" s="1" a="1"/>
  <c r="Y32" i="4" s="1"/>
  <c r="AM99" i="2"/>
  <c r="AM100" i="2"/>
  <c r="Y36" i="4" s="1" a="1"/>
  <c r="Y36" i="4" s="1"/>
  <c r="AM102" i="2"/>
  <c r="Y23" i="4" s="1" a="1"/>
  <c r="Y23" i="4" s="1"/>
  <c r="AM103" i="2"/>
  <c r="Y24" i="4" s="1" a="1"/>
  <c r="Y24" i="4" s="1"/>
  <c r="AM105" i="2"/>
  <c r="AM106" i="2"/>
  <c r="Y37" i="4" s="1" a="1"/>
  <c r="Y37" i="4" s="1"/>
  <c r="AM123" i="2"/>
  <c r="AM124" i="2"/>
  <c r="AM125" i="2"/>
  <c r="AM268" i="2"/>
  <c r="AM269" i="2"/>
  <c r="AM272" i="2"/>
  <c r="AM273" i="2"/>
  <c r="AM280" i="2"/>
  <c r="AM281" i="2"/>
  <c r="AL96" i="2"/>
  <c r="X19" i="4" s="1" a="1"/>
  <c r="X19" i="4" s="1"/>
  <c r="AL97" i="2"/>
  <c r="X20" i="4" s="1" a="1"/>
  <c r="X20" i="4" s="1"/>
  <c r="AL99" i="2"/>
  <c r="AL100" i="2"/>
  <c r="X36" i="4" s="1" a="1"/>
  <c r="X36" i="4" s="1"/>
  <c r="AL102" i="2"/>
  <c r="AL103" i="2"/>
  <c r="AL105" i="2"/>
  <c r="AL106" i="2"/>
  <c r="X37" i="4" s="1" a="1"/>
  <c r="X37" i="4" s="1"/>
  <c r="AL123" i="2"/>
  <c r="AL124" i="2"/>
  <c r="AL125" i="2"/>
  <c r="AL268" i="2"/>
  <c r="AL269" i="2"/>
  <c r="AL272" i="2"/>
  <c r="AL273" i="2"/>
  <c r="AL280" i="2"/>
  <c r="AL281" i="2"/>
  <c r="R270" i="2"/>
  <c r="AT274" i="2"/>
  <c r="Z270" i="2"/>
  <c r="P274" i="2"/>
  <c r="Y282" i="2"/>
  <c r="X274" i="2"/>
  <c r="W282" i="2"/>
  <c r="AY98" i="2"/>
  <c r="AE282" i="2"/>
  <c r="AX274" i="2"/>
  <c r="T270" i="2"/>
  <c r="AC274" i="2"/>
  <c r="AV282" i="2"/>
  <c r="R274" i="2"/>
  <c r="AR270" i="2"/>
  <c r="AJ282" i="2"/>
  <c r="Z282" i="2"/>
  <c r="AI270" i="2"/>
  <c r="AQ104" i="2"/>
  <c r="AR274" i="2"/>
  <c r="AY270" i="2"/>
  <c r="K98" i="2"/>
  <c r="K270" i="2"/>
  <c r="AX98" i="2"/>
  <c r="AD282" i="2"/>
  <c r="S282" i="2"/>
  <c r="AS274" i="2"/>
  <c r="Y270" i="2"/>
  <c r="O274" i="2"/>
  <c r="G2" i="1"/>
  <c r="G3" i="1" s="1"/>
  <c r="AO281" i="2"/>
  <c r="AO280" i="2"/>
  <c r="AO273" i="2"/>
  <c r="AO272" i="2"/>
  <c r="AO269" i="2"/>
  <c r="AO268" i="2"/>
  <c r="AO125" i="2"/>
  <c r="AO124" i="2"/>
  <c r="AO123" i="2"/>
  <c r="AO106" i="2"/>
  <c r="AO105" i="2"/>
  <c r="AO103" i="2"/>
  <c r="AO102" i="2"/>
  <c r="AO100" i="2"/>
  <c r="AO99" i="2"/>
  <c r="AO97" i="2"/>
  <c r="AO96" i="2"/>
  <c r="AO238" i="2"/>
  <c r="AO239" i="2"/>
  <c r="AO240" i="2"/>
  <c r="AO251" i="2"/>
  <c r="AO252" i="2"/>
  <c r="AO253" i="2"/>
  <c r="AO254" i="2"/>
  <c r="AM238" i="2"/>
  <c r="AM239" i="2"/>
  <c r="AM252" i="2"/>
  <c r="AM254" i="2"/>
  <c r="AN240" i="2"/>
  <c r="AN253" i="2"/>
  <c r="AL238" i="2"/>
  <c r="AL239" i="2"/>
  <c r="AL240" i="2"/>
  <c r="AL251" i="2"/>
  <c r="AL252" i="2"/>
  <c r="AL253" i="2"/>
  <c r="AL254" i="2"/>
  <c r="AN281" i="2"/>
  <c r="AN280" i="2"/>
  <c r="AN273" i="2"/>
  <c r="AN272" i="2"/>
  <c r="AN269" i="2"/>
  <c r="AN268" i="2"/>
  <c r="AN125" i="2"/>
  <c r="AN124" i="2"/>
  <c r="AN123" i="2"/>
  <c r="AN106" i="2"/>
  <c r="AN105" i="2"/>
  <c r="AN103" i="2"/>
  <c r="AN102" i="2"/>
  <c r="AN100" i="2"/>
  <c r="AN99" i="2"/>
  <c r="AN97" i="2"/>
  <c r="AN96" i="2"/>
  <c r="S20" i="4" a="1"/>
  <c r="S20" i="4" s="1"/>
  <c r="S32" i="4" a="1"/>
  <c r="S32" i="4" s="1"/>
  <c r="K19" i="4" a="1"/>
  <c r="K19" i="4" s="1"/>
  <c r="U98" i="2"/>
  <c r="J33" i="4" a="1"/>
  <c r="J33" i="4" s="1"/>
  <c r="J24" i="4" a="1"/>
  <c r="J24" i="4" s="1"/>
  <c r="M20" i="4" a="1"/>
  <c r="M20" i="4" s="1"/>
  <c r="M32" i="4" a="1"/>
  <c r="M32" i="4" s="1"/>
  <c r="V33" i="4" a="1"/>
  <c r="V33" i="4" s="1"/>
  <c r="V24" i="4" a="1"/>
  <c r="V24" i="4" s="1"/>
  <c r="N23" i="4" a="1"/>
  <c r="N23" i="4" s="1"/>
  <c r="Y104" i="2"/>
  <c r="AI115" i="2"/>
  <c r="AI117" i="2" s="1"/>
  <c r="AV115" i="2"/>
  <c r="AV117" i="2" s="1"/>
  <c r="AZ114" i="2"/>
  <c r="X23" i="4" a="1"/>
  <c r="X23" i="4" s="1"/>
  <c r="R20" i="4" a="1"/>
  <c r="R20" i="4" s="1"/>
  <c r="R32" i="4" a="1"/>
  <c r="R32" i="4" s="1"/>
  <c r="J19" i="4" a="1"/>
  <c r="J19" i="4" s="1"/>
  <c r="T98" i="2"/>
  <c r="Q24" i="4" a="1"/>
  <c r="Q24" i="4" s="1"/>
  <c r="Q33" i="4" a="1"/>
  <c r="Q33" i="4" s="1"/>
  <c r="I23" i="4" a="1"/>
  <c r="I23" i="4" s="1"/>
  <c r="S104" i="2"/>
  <c r="P23" i="4" a="1"/>
  <c r="P23" i="4" s="1"/>
  <c r="AB104" i="2"/>
  <c r="O20" i="4" a="1"/>
  <c r="O20" i="4" s="1"/>
  <c r="O32" i="4" a="1"/>
  <c r="O32" i="4" s="1"/>
  <c r="G19" i="4" a="1"/>
  <c r="G19" i="4" s="1"/>
  <c r="P98" i="2"/>
  <c r="N33" i="4" a="1"/>
  <c r="N33" i="4" s="1"/>
  <c r="N24" i="4" a="1"/>
  <c r="N24" i="4" s="1"/>
  <c r="F23" i="4" a="1"/>
  <c r="F23" i="4" s="1"/>
  <c r="O104" i="2"/>
  <c r="AC115" i="2"/>
  <c r="AC117" i="2" s="1"/>
  <c r="W19" i="4" a="1"/>
  <c r="W19" i="4" s="1"/>
  <c r="AJ98" i="2"/>
  <c r="U20" i="4" a="1"/>
  <c r="U20" i="4" s="1"/>
  <c r="U32" i="4" a="1"/>
  <c r="U32" i="4" s="1"/>
  <c r="V23" i="4" a="1"/>
  <c r="V23" i="4" s="1"/>
  <c r="AI104" i="2"/>
  <c r="AG270" i="2"/>
  <c r="S33" i="4" a="1"/>
  <c r="S33" i="4" s="1"/>
  <c r="S24" i="4" a="1"/>
  <c r="S24" i="4" s="1"/>
  <c r="AE274" i="2"/>
  <c r="K23" i="4" a="1"/>
  <c r="K23" i="4" s="1"/>
  <c r="U104" i="2"/>
  <c r="AX270" i="2"/>
  <c r="J20" i="4" a="1"/>
  <c r="J20" i="4" s="1"/>
  <c r="J32" i="4" a="1"/>
  <c r="J32" i="4" s="1"/>
  <c r="AI13" i="4" a="1"/>
  <c r="AI13" i="4" s="1"/>
  <c r="AY118" i="2"/>
  <c r="AW282" i="2"/>
  <c r="I24" i="4" a="1"/>
  <c r="I24" i="4" s="1"/>
  <c r="I33" i="4" a="1"/>
  <c r="I33" i="4" s="1"/>
  <c r="AD115" i="2"/>
  <c r="AD117" i="2" s="1"/>
  <c r="P33" i="4" a="1"/>
  <c r="P33" i="4" s="1"/>
  <c r="P24" i="4" a="1"/>
  <c r="P24" i="4" s="1"/>
  <c r="H23" i="4" a="1"/>
  <c r="H23" i="4" s="1"/>
  <c r="R104" i="2"/>
  <c r="AJ270" i="2"/>
  <c r="G20" i="4" a="1"/>
  <c r="G20" i="4" s="1"/>
  <c r="G32" i="4" a="1"/>
  <c r="G32" i="4" s="1"/>
  <c r="U23" i="4" a="1"/>
  <c r="U23" i="4" s="1"/>
  <c r="AH104" i="2"/>
  <c r="AI282" i="2"/>
  <c r="F33" i="4" a="1"/>
  <c r="F33" i="4" s="1"/>
  <c r="F24" i="4" a="1"/>
  <c r="F24" i="4" s="1"/>
  <c r="M23" i="4" a="1"/>
  <c r="M23" i="4" s="1"/>
  <c r="X104" i="2"/>
  <c r="G33" i="4" a="1"/>
  <c r="G33" i="4" s="1"/>
  <c r="G24" i="4" a="1"/>
  <c r="G24" i="4" s="1"/>
  <c r="U19" i="4" a="1"/>
  <c r="U19" i="4" s="1"/>
  <c r="AH98" i="2"/>
  <c r="F20" i="4" a="1"/>
  <c r="F20" i="4" s="1"/>
  <c r="F32" i="4" a="1"/>
  <c r="F32" i="4" s="1"/>
  <c r="M19" i="4" a="1"/>
  <c r="M19" i="4" s="1"/>
  <c r="X98" i="2"/>
  <c r="T19" i="4" a="1"/>
  <c r="T19" i="4" s="1"/>
  <c r="AG98" i="2"/>
  <c r="T20" i="4" a="1"/>
  <c r="T20" i="4" s="1"/>
  <c r="T32" i="4" a="1"/>
  <c r="T32" i="4" s="1"/>
  <c r="L19" i="4" a="1"/>
  <c r="L19" i="4" s="1"/>
  <c r="W98" i="2"/>
  <c r="R19" i="4" a="1"/>
  <c r="R19" i="4" s="1"/>
  <c r="AD98" i="2"/>
  <c r="AH115" i="2"/>
  <c r="AH117" i="2" s="1"/>
  <c r="K33" i="4" a="1"/>
  <c r="K33" i="4" s="1"/>
  <c r="K24" i="4" a="1"/>
  <c r="K24" i="4" s="1"/>
  <c r="AD270" i="2"/>
  <c r="AC282" i="2"/>
  <c r="H33" i="4" a="1"/>
  <c r="H33" i="4" s="1"/>
  <c r="H24" i="4" a="1"/>
  <c r="H24" i="4" s="1"/>
  <c r="W23" i="4" a="1"/>
  <c r="W23" i="4" s="1"/>
  <c r="AJ104" i="2"/>
  <c r="AB115" i="2"/>
  <c r="AB117" i="2" s="1"/>
  <c r="AF114" i="2"/>
  <c r="U24" i="4" a="1"/>
  <c r="U24" i="4" s="1"/>
  <c r="U33" i="4" a="1"/>
  <c r="U33" i="4" s="1"/>
  <c r="V19" i="4" a="1"/>
  <c r="V19" i="4" s="1"/>
  <c r="AI98" i="2"/>
  <c r="M24" i="4" a="1"/>
  <c r="M24" i="4" s="1"/>
  <c r="M33" i="4" a="1"/>
  <c r="M33" i="4" s="1"/>
  <c r="AH13" i="4" a="1"/>
  <c r="AH13" i="4" s="1"/>
  <c r="AX118" i="2"/>
  <c r="AW115" i="2"/>
  <c r="AW117" i="2" s="1"/>
  <c r="AJ115" i="2"/>
  <c r="AJ117" i="2" s="1"/>
  <c r="Q23" i="4" a="1"/>
  <c r="Q23" i="4" s="1"/>
  <c r="AC104" i="2"/>
  <c r="W20" i="4" a="1"/>
  <c r="W20" i="4" s="1"/>
  <c r="W32" i="4" a="1"/>
  <c r="W32" i="4" s="1"/>
  <c r="O19" i="4" a="1"/>
  <c r="O19" i="4" s="1"/>
  <c r="Z98" i="2"/>
  <c r="L20" i="4" a="1"/>
  <c r="L20" i="4" s="1"/>
  <c r="L32" i="4" a="1"/>
  <c r="L32" i="4" s="1"/>
  <c r="S23" i="4" a="1"/>
  <c r="S23" i="4" s="1"/>
  <c r="AE104" i="2"/>
  <c r="T23" i="4" a="1"/>
  <c r="T23" i="4" s="1"/>
  <c r="AG104" i="2"/>
  <c r="R23" i="4" a="1"/>
  <c r="R23" i="4" s="1"/>
  <c r="AD104" i="2"/>
  <c r="Q19" i="4" a="1"/>
  <c r="Q19" i="4" s="1"/>
  <c r="AC98" i="2"/>
  <c r="AB282" i="2"/>
  <c r="W33" i="4" a="1"/>
  <c r="W33" i="4" s="1"/>
  <c r="W24" i="4" a="1"/>
  <c r="W24" i="4" s="1"/>
  <c r="O23" i="4" a="1"/>
  <c r="O23" i="4" s="1"/>
  <c r="Z104" i="2"/>
  <c r="V20" i="4" a="1"/>
  <c r="V20" i="4" s="1"/>
  <c r="V32" i="4" a="1"/>
  <c r="V32" i="4" s="1"/>
  <c r="N19" i="4" a="1"/>
  <c r="N19" i="4" s="1"/>
  <c r="Y98" i="2"/>
  <c r="X32" i="4" a="1"/>
  <c r="X32" i="4" s="1"/>
  <c r="Y19" i="4" a="1"/>
  <c r="Y19" i="4" s="1"/>
  <c r="I20" i="4" a="1"/>
  <c r="I20" i="4" s="1"/>
  <c r="I32" i="4" a="1"/>
  <c r="I32" i="4" s="1"/>
  <c r="P20" i="4" a="1"/>
  <c r="P20" i="4" s="1"/>
  <c r="P32" i="4" a="1"/>
  <c r="P32" i="4" s="1"/>
  <c r="H19" i="4" a="1"/>
  <c r="H19" i="4" s="1"/>
  <c r="R98" i="2"/>
  <c r="K20" i="4" a="1"/>
  <c r="K20" i="4" s="1"/>
  <c r="K32" i="4" a="1"/>
  <c r="K32" i="4" s="1"/>
  <c r="H20" i="4" a="1"/>
  <c r="H20" i="4" s="1"/>
  <c r="H32" i="4" a="1"/>
  <c r="H32" i="4" s="1"/>
  <c r="AG115" i="2"/>
  <c r="AG117" i="2" s="1"/>
  <c r="AK114" i="2"/>
  <c r="T33" i="4" a="1"/>
  <c r="T33" i="4" s="1"/>
  <c r="T24" i="4" a="1"/>
  <c r="T24" i="4" s="1"/>
  <c r="L23" i="4" a="1"/>
  <c r="L23" i="4" s="1"/>
  <c r="W104" i="2"/>
  <c r="AQ282" i="2"/>
  <c r="L33" i="4" a="1"/>
  <c r="L33" i="4" s="1"/>
  <c r="L24" i="4" a="1"/>
  <c r="L24" i="4" s="1"/>
  <c r="W274" i="2"/>
  <c r="M104" i="2"/>
  <c r="D10" i="4" s="1" a="1"/>
  <c r="D10" i="4" s="1"/>
  <c r="M282" i="2"/>
  <c r="AR104" i="2"/>
  <c r="S19" i="4" a="1"/>
  <c r="S19" i="4" s="1"/>
  <c r="AE98" i="2"/>
  <c r="U282" i="2"/>
  <c r="AU114" i="2"/>
  <c r="N104" i="2"/>
  <c r="E10" i="4" s="1" a="1"/>
  <c r="E10" i="4" s="1"/>
  <c r="N282" i="2"/>
  <c r="R33" i="4" a="1"/>
  <c r="R33" i="4" s="1"/>
  <c r="R24" i="4" a="1"/>
  <c r="R24" i="4" s="1"/>
  <c r="AD274" i="2"/>
  <c r="J23" i="4" a="1"/>
  <c r="J23" i="4" s="1"/>
  <c r="T104" i="2"/>
  <c r="AE117" i="2"/>
  <c r="Q20" i="4" a="1"/>
  <c r="Q20" i="4" s="1"/>
  <c r="Q32" i="4" a="1"/>
  <c r="Q32" i="4" s="1"/>
  <c r="I19" i="4" a="1"/>
  <c r="I19" i="4" s="1"/>
  <c r="S98" i="2"/>
  <c r="P19" i="4" a="1"/>
  <c r="P19" i="4" s="1"/>
  <c r="AB98" i="2"/>
  <c r="R282" i="2"/>
  <c r="AT282" i="2"/>
  <c r="O33" i="4" a="1"/>
  <c r="O33" i="4" s="1"/>
  <c r="O24" i="4" a="1"/>
  <c r="O24" i="4" s="1"/>
  <c r="Z274" i="2"/>
  <c r="G23" i="4" a="1"/>
  <c r="G23" i="4" s="1"/>
  <c r="P104" i="2"/>
  <c r="P282" i="2"/>
  <c r="AH282" i="2"/>
  <c r="AS270" i="2"/>
  <c r="N20" i="4" a="1"/>
  <c r="N20" i="4" s="1"/>
  <c r="N32" i="4" a="1"/>
  <c r="N32" i="4" s="1"/>
  <c r="F19" i="4" a="1"/>
  <c r="F19" i="4" s="1"/>
  <c r="O98" i="2"/>
  <c r="O270" i="2"/>
  <c r="X282" i="2"/>
  <c r="AN239" i="2" a="1"/>
  <c r="AM253" i="2" a="1"/>
  <c r="AN252" i="2" a="1"/>
  <c r="AN238" i="2" a="1"/>
  <c r="AN251" i="2" a="1"/>
  <c r="AN254" i="2" a="1"/>
  <c r="AM240" i="2" a="1"/>
  <c r="AM251" i="2" a="1"/>
  <c r="AN238" i="2" l="1"/>
  <c r="AM240" i="2"/>
  <c r="AM251" i="2"/>
  <c r="AN254" i="2"/>
  <c r="AN251" i="2"/>
  <c r="AN252" i="2"/>
  <c r="AM253" i="2"/>
  <c r="AM263" i="2" s="1"/>
  <c r="AM196" i="2" s="1"/>
  <c r="AM197" i="2" s="1"/>
  <c r="AM198" i="2" s="1"/>
  <c r="AM200" i="2" s="1"/>
  <c r="AN239" i="2"/>
  <c r="AN248" i="2" s="1"/>
  <c r="AN229" i="2" s="1"/>
  <c r="AN231" i="2" s="1"/>
  <c r="AN208" i="2" s="1"/>
  <c r="AN207" i="2" s="1"/>
  <c r="AN212" i="2" s="1"/>
  <c r="Y20" i="4" a="1"/>
  <c r="Y20" i="4" s="1"/>
  <c r="AT115" i="2"/>
  <c r="AT117" i="2" s="1"/>
  <c r="AT118" i="2" s="1"/>
  <c r="AM98" i="2"/>
  <c r="AL166" i="2"/>
  <c r="AR118" i="2"/>
  <c r="Y33" i="4" a="1"/>
  <c r="Y33" i="4" s="1"/>
  <c r="AM115" i="2"/>
  <c r="AM117" i="2" s="1"/>
  <c r="AM118" i="2" s="1"/>
  <c r="AM282" i="2"/>
  <c r="AM166" i="2"/>
  <c r="AL104" i="2"/>
  <c r="X10" i="4" s="1" a="1"/>
  <c r="X10" i="4" s="1"/>
  <c r="AM274" i="2"/>
  <c r="AM104" i="2"/>
  <c r="Y25" i="4" s="1" a="1"/>
  <c r="Y25" i="4" s="1"/>
  <c r="AO104" i="2"/>
  <c r="AL282" i="2"/>
  <c r="AM270" i="2"/>
  <c r="X24" i="4" a="1"/>
  <c r="X24" i="4" s="1"/>
  <c r="X33" i="4" a="1"/>
  <c r="X33" i="4" s="1"/>
  <c r="AO98" i="2"/>
  <c r="AN274" i="2"/>
  <c r="AO282" i="2"/>
  <c r="AL274" i="2"/>
  <c r="AL98" i="2"/>
  <c r="X21" i="4" s="1" a="1"/>
  <c r="X21" i="4" s="1"/>
  <c r="AL270" i="2"/>
  <c r="AN270" i="2"/>
  <c r="AO274" i="2"/>
  <c r="AO248" i="2"/>
  <c r="AO229" i="2" s="1"/>
  <c r="AO231" i="2" s="1"/>
  <c r="AO208" i="2" s="1"/>
  <c r="AO207" i="2" s="1"/>
  <c r="AT207" i="2" s="1"/>
  <c r="AL263" i="2"/>
  <c r="AL196" i="2" s="1"/>
  <c r="AL197" i="2" s="1"/>
  <c r="AL198" i="2" s="1"/>
  <c r="AL200" i="2" s="1"/>
  <c r="AM248" i="2"/>
  <c r="AM229" i="2" s="1"/>
  <c r="AL248" i="2"/>
  <c r="AL229" i="2" s="1"/>
  <c r="AL230" i="2" s="1"/>
  <c r="AL231" i="2" s="1"/>
  <c r="AL233" i="2" s="1"/>
  <c r="AO263" i="2"/>
  <c r="AO196" i="2" s="1"/>
  <c r="AO198" i="2" s="1"/>
  <c r="AO186" i="2" s="1"/>
  <c r="AO185" i="2" s="1"/>
  <c r="AO292" i="2" s="1"/>
  <c r="R13" i="4" a="1"/>
  <c r="R13" i="4" s="1"/>
  <c r="AD118" i="2"/>
  <c r="T13" i="4" a="1"/>
  <c r="T13" i="4" s="1"/>
  <c r="AG118" i="2"/>
  <c r="Q13" i="4" a="1"/>
  <c r="Q13" i="4" s="1"/>
  <c r="AC118" i="2"/>
  <c r="V13" i="4" a="1"/>
  <c r="V13" i="4" s="1"/>
  <c r="AI118" i="2"/>
  <c r="M25" i="4" a="1"/>
  <c r="M25" i="4" s="1"/>
  <c r="M10" i="4" a="1"/>
  <c r="M10" i="4" s="1"/>
  <c r="AZ115" i="2"/>
  <c r="AZ117" i="2" s="1"/>
  <c r="AZ118" i="2" s="1"/>
  <c r="AM384" i="2"/>
  <c r="AM383" i="2"/>
  <c r="AN104" i="2"/>
  <c r="AO270" i="2"/>
  <c r="S13" i="4" a="1"/>
  <c r="S13" i="4" s="1"/>
  <c r="AE118" i="2"/>
  <c r="W13" i="4" a="1"/>
  <c r="W13" i="4" s="1"/>
  <c r="AJ118" i="2"/>
  <c r="T25" i="4" a="1"/>
  <c r="T25" i="4" s="1"/>
  <c r="T10" i="4" a="1"/>
  <c r="T10" i="4" s="1"/>
  <c r="J25" i="4" a="1"/>
  <c r="J25" i="4" s="1"/>
  <c r="J10" i="4" a="1"/>
  <c r="J10" i="4" s="1"/>
  <c r="AF13" i="4" a="1"/>
  <c r="AF13" i="4" s="1"/>
  <c r="AV118" i="2"/>
  <c r="Z13" i="4" a="1"/>
  <c r="Z13" i="4" s="1"/>
  <c r="AN118" i="2"/>
  <c r="P9" i="4" a="1"/>
  <c r="P9" i="4" s="1"/>
  <c r="P21" i="4" a="1"/>
  <c r="P21" i="4" s="1"/>
  <c r="S25" i="4" a="1"/>
  <c r="S25" i="4" s="1"/>
  <c r="S10" i="4" a="1"/>
  <c r="S10" i="4" s="1"/>
  <c r="Q25" i="4" a="1"/>
  <c r="Q25" i="4" s="1"/>
  <c r="Q10" i="4" a="1"/>
  <c r="Q10" i="4" s="1"/>
  <c r="F25" i="4" a="1"/>
  <c r="F25" i="4" s="1"/>
  <c r="F10" i="4" a="1"/>
  <c r="F10" i="4" s="1"/>
  <c r="P25" i="4" a="1"/>
  <c r="P25" i="4" s="1"/>
  <c r="P10" i="4" a="1"/>
  <c r="P10" i="4" s="1"/>
  <c r="J9" i="4" a="1"/>
  <c r="J9" i="4" s="1"/>
  <c r="J21" i="4" a="1"/>
  <c r="J21" i="4" s="1"/>
  <c r="Y10" i="4" a="1"/>
  <c r="Y10" i="4" s="1"/>
  <c r="Y21" i="4" a="1"/>
  <c r="Y21" i="4" s="1"/>
  <c r="Y9" i="4" a="1"/>
  <c r="Y9" i="4" s="1"/>
  <c r="O25" i="4" a="1"/>
  <c r="O25" i="4" s="1"/>
  <c r="O10" i="4" a="1"/>
  <c r="O10" i="4" s="1"/>
  <c r="AB13" i="4" a="1"/>
  <c r="AB13" i="4" s="1"/>
  <c r="AQ118" i="2"/>
  <c r="S9" i="4" a="1"/>
  <c r="S9" i="4" s="1"/>
  <c r="S21" i="4" a="1"/>
  <c r="S21" i="4" s="1"/>
  <c r="N21" i="4" a="1"/>
  <c r="N21" i="4" s="1"/>
  <c r="N9" i="4" a="1"/>
  <c r="N9" i="4" s="1"/>
  <c r="U21" i="4" a="1"/>
  <c r="U21" i="4" s="1"/>
  <c r="U9" i="4" a="1"/>
  <c r="U9" i="4" s="1"/>
  <c r="AN282" i="2"/>
  <c r="L21" i="4" a="1"/>
  <c r="L21" i="4" s="1"/>
  <c r="L9" i="4" a="1"/>
  <c r="L9" i="4" s="1"/>
  <c r="K25" i="4" a="1"/>
  <c r="K25" i="4" s="1"/>
  <c r="K10" i="4" a="1"/>
  <c r="K10" i="4" s="1"/>
  <c r="V25" i="4" a="1"/>
  <c r="V25" i="4" s="1"/>
  <c r="V10" i="4" a="1"/>
  <c r="V10" i="4" s="1"/>
  <c r="G25" i="4" a="1"/>
  <c r="G25" i="4" s="1"/>
  <c r="G10" i="4" a="1"/>
  <c r="G10" i="4" s="1"/>
  <c r="F21" i="4" a="1"/>
  <c r="F21" i="4" s="1"/>
  <c r="F9" i="4" a="1"/>
  <c r="F9" i="4" s="1"/>
  <c r="I21" i="4" a="1"/>
  <c r="I21" i="4" s="1"/>
  <c r="I9" i="4" a="1"/>
  <c r="I9" i="4" s="1"/>
  <c r="L25" i="4" a="1"/>
  <c r="L25" i="4" s="1"/>
  <c r="L10" i="4" a="1"/>
  <c r="L10" i="4" s="1"/>
  <c r="Q21" i="4" a="1"/>
  <c r="Q21" i="4" s="1"/>
  <c r="Q9" i="4" a="1"/>
  <c r="Q9" i="4" s="1"/>
  <c r="W25" i="4" a="1"/>
  <c r="W25" i="4" s="1"/>
  <c r="W10" i="4" a="1"/>
  <c r="W10" i="4" s="1"/>
  <c r="H25" i="4" a="1"/>
  <c r="H25" i="4" s="1"/>
  <c r="H10" i="4" a="1"/>
  <c r="H10" i="4" s="1"/>
  <c r="AS115" i="2"/>
  <c r="AS117" i="2" s="1"/>
  <c r="AL115" i="2"/>
  <c r="AL117" i="2" s="1"/>
  <c r="AP114" i="2"/>
  <c r="AP115" i="2" s="1"/>
  <c r="AP117" i="2" s="1"/>
  <c r="AP118" i="2" s="1"/>
  <c r="AN98" i="2"/>
  <c r="M21" i="4" a="1"/>
  <c r="M21" i="4" s="1"/>
  <c r="M9" i="4" a="1"/>
  <c r="M9" i="4" s="1"/>
  <c r="P13" i="4" a="1"/>
  <c r="P13" i="4" s="1"/>
  <c r="AB118" i="2"/>
  <c r="N25" i="4" a="1"/>
  <c r="N25" i="4" s="1"/>
  <c r="N10" i="4" a="1"/>
  <c r="N10" i="4" s="1"/>
  <c r="K9" i="4" a="1"/>
  <c r="K9" i="4" s="1"/>
  <c r="K21" i="4" a="1"/>
  <c r="K21" i="4" s="1"/>
  <c r="H9" i="4" a="1"/>
  <c r="H9" i="4" s="1"/>
  <c r="H21" i="4" a="1"/>
  <c r="H21" i="4" s="1"/>
  <c r="AG13" i="4" a="1"/>
  <c r="AG13" i="4" s="1"/>
  <c r="AW118" i="2"/>
  <c r="AE13" i="4" a="1"/>
  <c r="AE13" i="4" s="1"/>
  <c r="T21" i="4" a="1"/>
  <c r="T21" i="4" s="1"/>
  <c r="T9" i="4" a="1"/>
  <c r="T9" i="4" s="1"/>
  <c r="U25" i="4" a="1"/>
  <c r="U25" i="4" s="1"/>
  <c r="U10" i="4" a="1"/>
  <c r="U10" i="4" s="1"/>
  <c r="W9" i="4" a="1"/>
  <c r="W9" i="4" s="1"/>
  <c r="W21" i="4" a="1"/>
  <c r="W21" i="4" s="1"/>
  <c r="AM373" i="2"/>
  <c r="AL373" i="2"/>
  <c r="AL371" i="2"/>
  <c r="AA13" i="4" a="1"/>
  <c r="AA13" i="4" s="1"/>
  <c r="AO118" i="2"/>
  <c r="AM230" i="2"/>
  <c r="AM231" i="2" s="1"/>
  <c r="AM233" i="2" s="1"/>
  <c r="R10" i="4" a="1"/>
  <c r="R10" i="4" s="1"/>
  <c r="R25" i="4" a="1"/>
  <c r="R25" i="4" s="1"/>
  <c r="O9" i="4" a="1"/>
  <c r="O9" i="4" s="1"/>
  <c r="O21" i="4" a="1"/>
  <c r="O21" i="4" s="1"/>
  <c r="V21" i="4" a="1"/>
  <c r="V21" i="4" s="1"/>
  <c r="V9" i="4" a="1"/>
  <c r="V9" i="4" s="1"/>
  <c r="R21" i="4" a="1"/>
  <c r="R21" i="4" s="1"/>
  <c r="R9" i="4" a="1"/>
  <c r="R9" i="4" s="1"/>
  <c r="U13" i="4" a="1"/>
  <c r="U13" i="4" s="1"/>
  <c r="AH118" i="2"/>
  <c r="G9" i="4" a="1"/>
  <c r="G9" i="4" s="1"/>
  <c r="G21" i="4" a="1"/>
  <c r="G21" i="4" s="1"/>
  <c r="I25" i="4" a="1"/>
  <c r="I25" i="4" s="1"/>
  <c r="I10" i="4" a="1"/>
  <c r="I10" i="4" s="1"/>
  <c r="X25" i="4" a="1"/>
  <c r="X25" i="4" s="1"/>
  <c r="AL384" i="2"/>
  <c r="AL383" i="2"/>
  <c r="AN263" i="2" l="1"/>
  <c r="AN196" i="2" s="1"/>
  <c r="X9" i="4" a="1"/>
  <c r="X9" i="4" s="1"/>
  <c r="Y13" i="4" a="1"/>
  <c r="Y13" i="4" s="1"/>
  <c r="AO212" i="2"/>
  <c r="AO216" i="2" s="1"/>
  <c r="AO204" i="2" s="1"/>
  <c r="AO295" i="2" s="1"/>
  <c r="AS207" i="2"/>
  <c r="AX207" i="2" s="1"/>
  <c r="AX212" i="2" s="1"/>
  <c r="AT185" i="2"/>
  <c r="AY185" i="2" s="1"/>
  <c r="AY292" i="2" s="1"/>
  <c r="X13" i="4" a="1"/>
  <c r="X13" i="4" s="1"/>
  <c r="AL118" i="2"/>
  <c r="AD13" i="4" a="1"/>
  <c r="AD13" i="4" s="1"/>
  <c r="AS118" i="2"/>
  <c r="AO308" i="2"/>
  <c r="AO293" i="2"/>
  <c r="AT212" i="2"/>
  <c r="AT216" i="2" s="1"/>
  <c r="AT204" i="2" s="1"/>
  <c r="AY207" i="2"/>
  <c r="AY212" i="2" s="1"/>
  <c r="AY216" i="2" s="1"/>
  <c r="AY204" i="2" s="1"/>
  <c r="AU115" i="2"/>
  <c r="AU117" i="2" s="1"/>
  <c r="AU118" i="2" s="1"/>
  <c r="AN216" i="2"/>
  <c r="AS212" i="2" l="1"/>
  <c r="AU212" i="2" s="1"/>
  <c r="AP212" i="2"/>
  <c r="AT292" i="2"/>
  <c r="AT308" i="2" s="1"/>
  <c r="AO205" i="2"/>
  <c r="AT295" i="2"/>
  <c r="AT205" i="2"/>
  <c r="AN204" i="2"/>
  <c r="AP216" i="2"/>
  <c r="AP204" i="2" s="1"/>
  <c r="AP205" i="2" s="1"/>
  <c r="AX216" i="2"/>
  <c r="AZ212" i="2"/>
  <c r="AY308" i="2"/>
  <c r="AP308" i="2"/>
  <c r="AO309" i="2"/>
  <c r="AO334" i="2" s="1"/>
  <c r="AA28" i="4" s="1" a="1"/>
  <c r="AA28" i="4" s="1"/>
  <c r="AO296" i="2"/>
  <c r="AY295" i="2"/>
  <c r="AY205" i="2"/>
  <c r="AS216" i="2" l="1"/>
  <c r="AS204" i="2" s="1"/>
  <c r="AY293" i="2"/>
  <c r="AT293" i="2"/>
  <c r="AO312" i="2"/>
  <c r="AO330" i="2" s="1"/>
  <c r="AZ308" i="2"/>
  <c r="AO335" i="2"/>
  <c r="AA29" i="4" s="1" a="1"/>
  <c r="AA29" i="4" s="1"/>
  <c r="AX204" i="2"/>
  <c r="AZ216" i="2"/>
  <c r="AZ204" i="2" s="1"/>
  <c r="AT309" i="2"/>
  <c r="AT334" i="2" s="1"/>
  <c r="AE28" i="4" s="1" a="1"/>
  <c r="AE28" i="4" s="1"/>
  <c r="AT296" i="2"/>
  <c r="AP292" i="2"/>
  <c r="AN295" i="2"/>
  <c r="AN205" i="2"/>
  <c r="AU308" i="2"/>
  <c r="AY309" i="2"/>
  <c r="AY312" i="2" s="1"/>
  <c r="AY296" i="2"/>
  <c r="AU216" i="2" l="1"/>
  <c r="AU204" i="2" s="1"/>
  <c r="AZ205" i="2" s="1"/>
  <c r="AO329" i="2"/>
  <c r="AO332" i="2"/>
  <c r="AO331" i="2"/>
  <c r="AO154" i="2"/>
  <c r="AO156" i="2" s="1"/>
  <c r="AO304" i="2"/>
  <c r="D21" i="11" s="1"/>
  <c r="D23" i="11" s="1"/>
  <c r="AO339" i="2"/>
  <c r="E18" i="10" s="1"/>
  <c r="AT312" i="2"/>
  <c r="AT331" i="2" s="1"/>
  <c r="AY334" i="2"/>
  <c r="AI28" i="4" s="1" a="1"/>
  <c r="AI28" i="4" s="1"/>
  <c r="AP293" i="2"/>
  <c r="AU293" i="2"/>
  <c r="AX295" i="2"/>
  <c r="AX205" i="2"/>
  <c r="AZ295" i="2"/>
  <c r="AY335" i="2"/>
  <c r="AI29" i="4" s="1" a="1"/>
  <c r="AI29" i="4" s="1"/>
  <c r="AY330" i="2"/>
  <c r="AN309" i="2"/>
  <c r="AN296" i="2"/>
  <c r="AY343" i="2"/>
  <c r="AY339" i="2"/>
  <c r="AY304" i="2"/>
  <c r="AY331" i="2"/>
  <c r="AY332" i="2"/>
  <c r="AY154" i="2"/>
  <c r="AS295" i="2"/>
  <c r="AS205" i="2"/>
  <c r="AT335" i="2"/>
  <c r="AE29" i="4" s="1" a="1"/>
  <c r="AE29" i="4" s="1"/>
  <c r="AY329" i="2"/>
  <c r="AU295" i="2" l="1"/>
  <c r="AZ296" i="2" s="1"/>
  <c r="AO305" i="2"/>
  <c r="AU205" i="2"/>
  <c r="AO333" i="2"/>
  <c r="AT304" i="2"/>
  <c r="AT305" i="2" s="1"/>
  <c r="AT339" i="2"/>
  <c r="AT343" i="2"/>
  <c r="AT344" i="2" s="1"/>
  <c r="AT349" i="2" s="1"/>
  <c r="AT330" i="2"/>
  <c r="AT329" i="2"/>
  <c r="AO157" i="2"/>
  <c r="AO166" i="2" s="1"/>
  <c r="AT154" i="2"/>
  <c r="AT157" i="2" s="1"/>
  <c r="AT332" i="2"/>
  <c r="AY333" i="2"/>
  <c r="AY157" i="2"/>
  <c r="AY344" i="2"/>
  <c r="AY349" i="2" s="1"/>
  <c r="AX309" i="2"/>
  <c r="AX296" i="2"/>
  <c r="AS309" i="2"/>
  <c r="AS296" i="2"/>
  <c r="AN335" i="2"/>
  <c r="Z29" i="4" s="1" a="1"/>
  <c r="Z29" i="4" s="1"/>
  <c r="AP309" i="2"/>
  <c r="AP334" i="2" s="1"/>
  <c r="AN312" i="2"/>
  <c r="AN334" i="2"/>
  <c r="Z28" i="4" s="1" a="1"/>
  <c r="Z28" i="4" s="1"/>
  <c r="AY305" i="2" l="1"/>
  <c r="E17" i="10"/>
  <c r="AT333" i="2"/>
  <c r="AO151" i="2"/>
  <c r="AO403" i="2" s="1"/>
  <c r="AO158" i="2"/>
  <c r="AY156" i="2"/>
  <c r="AT156" i="2"/>
  <c r="AY346" i="2"/>
  <c r="AY438" i="2" s="1"/>
  <c r="AY359" i="2"/>
  <c r="AN339" i="2"/>
  <c r="D18" i="10" s="1"/>
  <c r="AP312" i="2"/>
  <c r="AN304" i="2"/>
  <c r="AN331" i="2"/>
  <c r="AN329" i="2"/>
  <c r="AN332" i="2"/>
  <c r="AN154" i="2"/>
  <c r="AN330" i="2"/>
  <c r="AX335" i="2"/>
  <c r="AH29" i="4" s="1" a="1"/>
  <c r="AH29" i="4" s="1"/>
  <c r="AZ309" i="2"/>
  <c r="AZ334" i="2" s="1"/>
  <c r="AX312" i="2"/>
  <c r="AX334" i="2"/>
  <c r="AH28" i="4" s="1" a="1"/>
  <c r="AH28" i="4" s="1"/>
  <c r="AP335" i="2"/>
  <c r="AP295" i="2"/>
  <c r="AS335" i="2"/>
  <c r="AD29" i="4" s="1" a="1"/>
  <c r="AD29" i="4" s="1"/>
  <c r="AU309" i="2"/>
  <c r="AU334" i="2" s="1"/>
  <c r="AS312" i="2"/>
  <c r="AS330" i="2" s="1"/>
  <c r="AS334" i="2"/>
  <c r="AD28" i="4" s="1" a="1"/>
  <c r="AD28" i="4" s="1"/>
  <c r="AT359" i="2"/>
  <c r="AT346" i="2"/>
  <c r="AT438" i="2" s="1"/>
  <c r="AY166" i="2"/>
  <c r="AY158" i="2"/>
  <c r="AY151" i="2"/>
  <c r="AT166" i="2"/>
  <c r="AT158" i="2"/>
  <c r="AT151" i="2"/>
  <c r="AO153" i="2" l="1"/>
  <c r="AO391" i="2"/>
  <c r="AP391" i="2" s="1"/>
  <c r="AQ446" i="2" s="1"/>
  <c r="AN333" i="2"/>
  <c r="AS343" i="2"/>
  <c r="AS339" i="2"/>
  <c r="AS304" i="2"/>
  <c r="AS305" i="2" s="1"/>
  <c r="AS331" i="2"/>
  <c r="AS329" i="2"/>
  <c r="AS332" i="2"/>
  <c r="AU312" i="2"/>
  <c r="AU330" i="2" s="1"/>
  <c r="AS154" i="2"/>
  <c r="AX343" i="2"/>
  <c r="AX339" i="2"/>
  <c r="AX304" i="2"/>
  <c r="AX305" i="2" s="1"/>
  <c r="AX331" i="2"/>
  <c r="AX329" i="2"/>
  <c r="AX332" i="2"/>
  <c r="AZ312" i="2"/>
  <c r="AZ330" i="2" s="1"/>
  <c r="AX154" i="2"/>
  <c r="AP403" i="2"/>
  <c r="AO410" i="2"/>
  <c r="AU335" i="2"/>
  <c r="AZ335" i="2"/>
  <c r="C21" i="11"/>
  <c r="C23" i="11" s="1"/>
  <c r="AN305" i="2"/>
  <c r="AX330" i="2"/>
  <c r="AP339" i="2"/>
  <c r="F18" i="10" s="1"/>
  <c r="AP304" i="2"/>
  <c r="AP331" i="2"/>
  <c r="AP332" i="2"/>
  <c r="AP154" i="2"/>
  <c r="AP329" i="2"/>
  <c r="AT366" i="2"/>
  <c r="AY403" i="2"/>
  <c r="AY391" i="2"/>
  <c r="AZ391" i="2" s="1"/>
  <c r="AY153" i="2"/>
  <c r="AT391" i="2"/>
  <c r="AU391" i="2" s="1"/>
  <c r="AT403" i="2"/>
  <c r="AT153" i="2"/>
  <c r="AP296" i="2"/>
  <c r="AU296" i="2"/>
  <c r="AP330" i="2"/>
  <c r="AN157" i="2"/>
  <c r="AN156" i="2"/>
  <c r="AN151" i="2"/>
  <c r="AY366" i="2"/>
  <c r="AY360" i="2"/>
  <c r="AP333" i="2" l="1"/>
  <c r="AS333" i="2"/>
  <c r="AX333" i="2"/>
  <c r="AZ403" i="2"/>
  <c r="AY410" i="2"/>
  <c r="E21" i="11"/>
  <c r="E23" i="11" s="1"/>
  <c r="AP305" i="2"/>
  <c r="D17" i="10"/>
  <c r="AN166" i="2"/>
  <c r="AN158" i="2"/>
  <c r="AP410" i="2"/>
  <c r="AQ447" i="2"/>
  <c r="AQ448" i="2" s="1"/>
  <c r="AX344" i="2"/>
  <c r="AZ344" i="2" s="1"/>
  <c r="AS344" i="2"/>
  <c r="AU344" i="2" s="1"/>
  <c r="AN403" i="2"/>
  <c r="AN391" i="2"/>
  <c r="AN153" i="2"/>
  <c r="AP151" i="2"/>
  <c r="AU403" i="2"/>
  <c r="AT410" i="2"/>
  <c r="AP156" i="2"/>
  <c r="AP157" i="2"/>
  <c r="AX156" i="2"/>
  <c r="AX157" i="2"/>
  <c r="AS156" i="2"/>
  <c r="AS157" i="2"/>
  <c r="AV446" i="2"/>
  <c r="AZ339" i="2"/>
  <c r="AZ343" i="2"/>
  <c r="AZ304" i="2"/>
  <c r="AZ331" i="2"/>
  <c r="AZ332" i="2"/>
  <c r="AZ154" i="2"/>
  <c r="AZ329" i="2"/>
  <c r="AU339" i="2"/>
  <c r="G18" i="10" s="1"/>
  <c r="AU343" i="2"/>
  <c r="AU304" i="2"/>
  <c r="AU331" i="2"/>
  <c r="AU332" i="2"/>
  <c r="AU154" i="2"/>
  <c r="AU329" i="2"/>
  <c r="AZ349" i="2" l="1"/>
  <c r="AZ359" i="2" s="1"/>
  <c r="AZ333" i="2"/>
  <c r="AU333" i="2"/>
  <c r="AU345" i="2"/>
  <c r="AS349" i="2"/>
  <c r="AS359" i="2" s="1"/>
  <c r="AX349" i="2"/>
  <c r="AX359" i="2" s="1"/>
  <c r="AZ156" i="2"/>
  <c r="AZ157" i="2"/>
  <c r="AQ449" i="2"/>
  <c r="AQ468" i="2" s="1"/>
  <c r="F17" i="10"/>
  <c r="AP158" i="2"/>
  <c r="AZ345" i="2"/>
  <c r="AS166" i="2"/>
  <c r="AS158" i="2"/>
  <c r="AS151" i="2"/>
  <c r="AN447" i="2"/>
  <c r="AN410" i="2"/>
  <c r="AO447" i="2"/>
  <c r="AU157" i="2"/>
  <c r="AU156" i="2"/>
  <c r="AU410" i="2"/>
  <c r="AV447" i="2"/>
  <c r="AV448" i="2" s="1"/>
  <c r="AZ305" i="2"/>
  <c r="AP153" i="2"/>
  <c r="AP430" i="2"/>
  <c r="F21" i="11"/>
  <c r="F23" i="11" s="1"/>
  <c r="AU305" i="2"/>
  <c r="AX166" i="2"/>
  <c r="AX158" i="2"/>
  <c r="AX151" i="2"/>
  <c r="AU349" i="2"/>
  <c r="AO446" i="2"/>
  <c r="AN446" i="2"/>
  <c r="AP431" i="2"/>
  <c r="AZ410" i="2"/>
  <c r="AZ346" i="2" l="1"/>
  <c r="AZ438" i="2" s="1"/>
  <c r="AO448" i="2"/>
  <c r="AS346" i="2"/>
  <c r="AS438" i="2" s="1"/>
  <c r="AP447" i="2"/>
  <c r="AX346" i="2"/>
  <c r="AX438" i="2" s="1"/>
  <c r="AZ158" i="2"/>
  <c r="AX366" i="2"/>
  <c r="AX360" i="2"/>
  <c r="AX368" i="2"/>
  <c r="AY368" i="2"/>
  <c r="AP446" i="2"/>
  <c r="AN448" i="2"/>
  <c r="AX403" i="2"/>
  <c r="AX391" i="2"/>
  <c r="AX153" i="2"/>
  <c r="AZ151" i="2"/>
  <c r="AS366" i="2"/>
  <c r="AV368" i="2"/>
  <c r="AW368" i="2"/>
  <c r="AT368" i="2"/>
  <c r="AZ368" i="2"/>
  <c r="AZ366" i="2"/>
  <c r="G17" i="10"/>
  <c r="AU158" i="2"/>
  <c r="AS391" i="2"/>
  <c r="AS403" i="2"/>
  <c r="AS153" i="2"/>
  <c r="AU151" i="2"/>
  <c r="AU346" i="2"/>
  <c r="AU438" i="2" s="1"/>
  <c r="AU359" i="2"/>
  <c r="AP432" i="2"/>
  <c r="AV449" i="2"/>
  <c r="AV468" i="2" s="1"/>
  <c r="AP448" i="2" l="1"/>
  <c r="G19" i="10"/>
  <c r="F26" i="11"/>
  <c r="F28" i="11" s="1"/>
  <c r="AU368" i="2"/>
  <c r="AU366" i="2"/>
  <c r="AX447" i="2"/>
  <c r="AX410" i="2"/>
  <c r="AY447" i="2"/>
  <c r="AT446" i="2"/>
  <c r="AS446" i="2"/>
  <c r="AZ360" i="2"/>
  <c r="AU153" i="2"/>
  <c r="AU430" i="2"/>
  <c r="AU431" i="2"/>
  <c r="AS447" i="2"/>
  <c r="AS410" i="2"/>
  <c r="AT447" i="2"/>
  <c r="AZ153" i="2"/>
  <c r="AZ430" i="2"/>
  <c r="AZ431" i="2"/>
  <c r="AY446" i="2"/>
  <c r="AX446" i="2"/>
  <c r="AT448" i="2" l="1"/>
  <c r="AT449" i="2" s="1"/>
  <c r="AT468" i="2" s="1"/>
  <c r="AU447" i="2"/>
  <c r="AZ447" i="2"/>
  <c r="AY448" i="2"/>
  <c r="AY449" i="2" s="1"/>
  <c r="AY468" i="2" s="1"/>
  <c r="AX448" i="2"/>
  <c r="AZ446" i="2"/>
  <c r="AU432" i="2"/>
  <c r="AS448" i="2"/>
  <c r="AU446" i="2"/>
  <c r="AZ432" i="2"/>
  <c r="AS449" i="2" l="1"/>
  <c r="AS468" i="2" s="1"/>
  <c r="AU468" i="2" s="1"/>
  <c r="AU448" i="2"/>
  <c r="AU449" i="2" s="1"/>
  <c r="AX449" i="2"/>
  <c r="AX468" i="2" s="1"/>
  <c r="AZ468" i="2" s="1"/>
  <c r="AZ448" i="2"/>
  <c r="AZ449" i="2" s="1"/>
  <c r="AY426" i="2" l="1"/>
  <c r="AY398" i="2"/>
  <c r="AY393" i="2"/>
  <c r="AY389" i="2"/>
  <c r="AY469" i="2"/>
  <c r="AY467" i="2"/>
  <c r="E28" i="11"/>
  <c r="E26" i="11"/>
  <c r="AU424" i="2"/>
  <c r="AT424" i="2"/>
  <c r="AP420" i="2"/>
  <c r="AU426" i="2"/>
  <c r="AU398" i="2"/>
  <c r="AU393" i="2"/>
  <c r="AU389" i="2"/>
  <c r="AZ422" i="2"/>
  <c r="AO426" i="2"/>
  <c r="AO389" i="2"/>
  <c r="AO393" i="2"/>
  <c r="AO398" i="2"/>
  <c r="AQ426" i="2"/>
  <c r="AQ398" i="2"/>
  <c r="AQ393" i="2"/>
  <c r="AQ389" i="2"/>
  <c r="AO371" i="2"/>
  <c r="AO368" i="2"/>
  <c r="AV420" i="2"/>
  <c r="AV422" i="2"/>
  <c r="AV424" i="2"/>
  <c r="AY422" i="2"/>
  <c r="AY424" i="2"/>
  <c r="AZ424" i="2"/>
  <c r="AY420" i="2"/>
  <c r="AZ420" i="2"/>
  <c r="AO344" i="2"/>
  <c r="AX424" i="2"/>
  <c r="AX422" i="2"/>
  <c r="AX420" i="2"/>
  <c r="AP422" i="2"/>
  <c r="AX416" i="2"/>
  <c r="AY416" i="2"/>
  <c r="AZ416" i="2"/>
  <c r="D11" i="13"/>
  <c r="G7" i="1"/>
  <c r="G9" i="1"/>
  <c r="G11" i="1"/>
  <c r="AQ424" i="2"/>
  <c r="AQ422" i="2"/>
  <c r="AQ420" i="2"/>
  <c r="AT422" i="2"/>
  <c r="AU422" i="2"/>
  <c r="AN344" i="2"/>
  <c r="AP344" i="2"/>
  <c r="AP345" i="2"/>
  <c r="AO420" i="2"/>
  <c r="AO422" i="2"/>
  <c r="AO424" i="2"/>
  <c r="AP424" i="2"/>
  <c r="AS424" i="2"/>
  <c r="AS422" i="2"/>
  <c r="AS420" i="2"/>
  <c r="AU467" i="2"/>
  <c r="AU469" i="2"/>
  <c r="AZ467" i="2"/>
  <c r="AZ469" i="2"/>
  <c r="AZ389" i="2"/>
  <c r="AZ393" i="2"/>
  <c r="AZ398" i="2"/>
  <c r="AZ426" i="2"/>
  <c r="AP449" i="2"/>
  <c r="AP438" i="2"/>
  <c r="AP346" i="2"/>
  <c r="AW424" i="2"/>
  <c r="AW422" i="2"/>
  <c r="AU416" i="2"/>
  <c r="AV416" i="2"/>
  <c r="AW416" i="2"/>
  <c r="AW420" i="2"/>
  <c r="AN424" i="2"/>
  <c r="AN420" i="2"/>
  <c r="AN422" i="2"/>
  <c r="AS389" i="2"/>
  <c r="AS393" i="2"/>
  <c r="AS398" i="2"/>
  <c r="AS426" i="2"/>
  <c r="AS416" i="2"/>
  <c r="AT416" i="2"/>
  <c r="AT420" i="2"/>
  <c r="AU420" i="2"/>
  <c r="D19" i="10"/>
  <c r="AQ368" i="2"/>
  <c r="AN360" i="2"/>
  <c r="AN366" i="2"/>
  <c r="AS360" i="2"/>
  <c r="AR368" i="2"/>
  <c r="AN368" i="2"/>
  <c r="AN371" i="2"/>
  <c r="AX467" i="2"/>
  <c r="AX469" i="2"/>
  <c r="AX389" i="2"/>
  <c r="AX393" i="2"/>
  <c r="AX398" i="2"/>
  <c r="AX426" i="2"/>
  <c r="D28" i="11"/>
  <c r="D26" i="11"/>
  <c r="AR389" i="2"/>
  <c r="AR393" i="2"/>
  <c r="AR398" i="2"/>
  <c r="AR426" i="2"/>
  <c r="AO360" i="2"/>
  <c r="AT360" i="2"/>
  <c r="E19" i="10"/>
  <c r="AS368" i="2"/>
  <c r="AO359" i="2"/>
  <c r="AO366" i="2"/>
  <c r="AW467" i="2"/>
  <c r="AW469" i="2"/>
  <c r="AW389" i="2"/>
  <c r="AW393" i="2"/>
  <c r="AW398" i="2"/>
  <c r="AW426" i="2"/>
  <c r="AV467" i="2"/>
  <c r="AV469" i="2"/>
  <c r="AV389" i="2"/>
  <c r="AV393" i="2"/>
  <c r="AV398" i="2"/>
  <c r="AV426" i="2"/>
  <c r="AO342" i="2"/>
  <c r="AO343" i="2"/>
  <c r="AO349" i="2"/>
  <c r="AO346" i="2"/>
  <c r="AO438" i="2"/>
  <c r="AO449" i="2"/>
  <c r="AO468" i="2"/>
  <c r="AN389" i="2"/>
  <c r="AN393" i="2"/>
  <c r="AN398" i="2"/>
  <c r="AN426" i="2"/>
  <c r="AN469" i="2"/>
  <c r="AO467" i="2"/>
  <c r="AO469" i="2"/>
  <c r="AQ467" i="2"/>
  <c r="AQ469" i="2"/>
  <c r="AR467" i="2"/>
  <c r="AR469" i="2"/>
  <c r="AS467" i="2"/>
  <c r="AS469" i="2"/>
  <c r="AT467" i="2"/>
  <c r="AT469" i="2"/>
  <c r="AT389" i="2"/>
  <c r="AT393" i="2"/>
  <c r="AT398" i="2"/>
  <c r="AT426" i="2"/>
  <c r="AN359" i="2"/>
  <c r="C26" i="11"/>
  <c r="C28" i="11"/>
  <c r="AN416" i="2"/>
  <c r="AO416" i="2"/>
  <c r="AP416" i="2"/>
  <c r="AQ416" i="2"/>
  <c r="AR416" i="2"/>
  <c r="AR420" i="2"/>
  <c r="AR422" i="2"/>
  <c r="AR424" i="2"/>
  <c r="AN343" i="2"/>
  <c r="AN349" i="2"/>
  <c r="AN346" i="2"/>
  <c r="AN438" i="2"/>
  <c r="AN449" i="2"/>
  <c r="AN468" i="2"/>
  <c r="AP468" i="2"/>
  <c r="AP469" i="2"/>
  <c r="AP389" i="2"/>
  <c r="AP393" i="2"/>
  <c r="AP398" i="2"/>
  <c r="AP426" i="2"/>
  <c r="F19" i="10"/>
  <c r="AP360" i="2"/>
  <c r="AP366" i="2"/>
  <c r="AP368" i="2"/>
  <c r="AN342" i="2"/>
  <c r="AP342" i="2"/>
  <c r="AP343" i="2"/>
  <c r="AP349" i="2"/>
  <c r="AP359" i="2"/>
  <c r="AU36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Mariani, Zach</author>
  </authors>
  <commentList>
    <comment ref="G2" authorId="0" shapeId="0" xr:uid="{C80C8D39-C28D-4146-8A1F-D657AB1684A7}">
      <text>
        <r>
          <rPr>
            <b/>
            <sz val="9"/>
            <color indexed="81"/>
            <rFont val="Tahoma"/>
            <family val="2"/>
          </rPr>
          <t>Mariani, Zach:</t>
        </r>
        <r>
          <rPr>
            <sz val="9"/>
            <color indexed="81"/>
            <rFont val="Tahoma"/>
            <family val="2"/>
          </rPr>
          <t xml:space="preserve">
this should be in BBG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Mariani, Zach</author>
  </authors>
  <commentList>
    <comment ref="B65" authorId="0" shapeId="0" xr:uid="{BE7D8223-393F-41DF-9639-D6D14BF9AED4}">
      <text>
        <r>
          <rPr>
            <b/>
            <sz val="9"/>
            <color indexed="81"/>
            <rFont val="Tahoma"/>
            <family val="2"/>
          </rPr>
          <t>Mariani, Zach:</t>
        </r>
        <r>
          <rPr>
            <sz val="9"/>
            <color indexed="81"/>
            <rFont val="Tahoma"/>
            <family val="2"/>
          </rPr>
          <t xml:space="preserve">
from Bonnie GS model</t>
        </r>
      </text>
    </comment>
    <comment ref="B73" authorId="0" shapeId="0" xr:uid="{88816B2C-96A9-4024-A696-B364B5EB28BB}">
      <text>
        <r>
          <rPr>
            <b/>
            <sz val="9"/>
            <color indexed="81"/>
            <rFont val="Tahoma"/>
            <family val="2"/>
          </rPr>
          <t>Mariani, Zach:</t>
        </r>
        <r>
          <rPr>
            <sz val="9"/>
            <color indexed="81"/>
            <rFont val="Tahoma"/>
            <family val="2"/>
          </rPr>
          <t xml:space="preserve">
this is taken from Bonnie's old model!</t>
        </r>
      </text>
    </comment>
    <comment ref="B89" authorId="0" shapeId="0" xr:uid="{B89AC0B9-8F5F-4DA8-B25E-1F76AF4319CF}">
      <text>
        <r>
          <rPr>
            <b/>
            <sz val="9"/>
            <color indexed="81"/>
            <rFont val="Tahoma"/>
            <family val="2"/>
          </rPr>
          <t>Mariani, Zach:</t>
        </r>
        <r>
          <rPr>
            <sz val="9"/>
            <color indexed="81"/>
            <rFont val="Tahoma"/>
            <family val="2"/>
          </rPr>
          <t xml:space="preserve">
data comes from the transcripts of the earnings calls</t>
        </r>
      </text>
    </comment>
    <comment ref="B110" authorId="0" shapeId="0" xr:uid="{F897BF56-F2E6-4765-B700-A368B39D3C5C}">
      <text>
        <r>
          <rPr>
            <b/>
            <sz val="9"/>
            <color indexed="81"/>
            <rFont val="Tahoma"/>
            <family val="2"/>
          </rPr>
          <t>Mariani, Zach:</t>
        </r>
        <r>
          <rPr>
            <sz val="9"/>
            <color indexed="81"/>
            <rFont val="Tahoma"/>
            <family val="2"/>
          </rPr>
          <t xml:space="preserve">
from UBS model</t>
        </r>
      </text>
    </comment>
    <comment ref="B113" authorId="0" shapeId="0" xr:uid="{500A2257-1D4C-47C7-9CE9-9278CF46DDA9}">
      <text>
        <r>
          <rPr>
            <b/>
            <sz val="9"/>
            <color indexed="81"/>
            <rFont val="Tahoma"/>
            <family val="2"/>
          </rPr>
          <t>Mariani, Zach:</t>
        </r>
        <r>
          <rPr>
            <sz val="9"/>
            <color indexed="81"/>
            <rFont val="Tahoma"/>
            <family val="2"/>
          </rPr>
          <t xml:space="preserve">
from Nestle IR</t>
        </r>
      </text>
    </comment>
    <comment ref="AA113" authorId="0" shapeId="0" xr:uid="{A2A28FEE-3D66-4954-998C-45CC86DEE332}">
      <text>
        <r>
          <rPr>
            <b/>
            <sz val="9"/>
            <color indexed="81"/>
            <rFont val="Tahoma"/>
            <family val="2"/>
          </rPr>
          <t>Mariani, Zach:</t>
        </r>
        <r>
          <rPr>
            <sz val="9"/>
            <color indexed="81"/>
            <rFont val="Tahoma"/>
            <family val="2"/>
          </rPr>
          <t xml:space="preserve">
https://www.nestle.com/sites/default/files/2021-03/2020-annual-review-en.pdf, page 58</t>
        </r>
      </text>
    </comment>
    <comment ref="B114" authorId="0" shapeId="0" xr:uid="{1EE1AF13-799F-4014-829E-9B493402347D}">
      <text>
        <r>
          <rPr>
            <b/>
            <sz val="9"/>
            <color indexed="81"/>
            <rFont val="Tahoma"/>
            <family val="2"/>
          </rPr>
          <t>Mariani, Zach:</t>
        </r>
        <r>
          <rPr>
            <sz val="9"/>
            <color indexed="81"/>
            <rFont val="Tahoma"/>
            <family val="2"/>
          </rPr>
          <t xml:space="preserve">
from BBG</t>
        </r>
      </text>
    </comment>
    <comment ref="V128" authorId="0" shapeId="0" xr:uid="{C3CCF1A8-FC16-494A-B28E-2C9475F0D27E}">
      <text>
        <r>
          <rPr>
            <b/>
            <sz val="9"/>
            <color indexed="81"/>
            <rFont val="Tahoma"/>
            <family val="2"/>
          </rPr>
          <t>Mariani, Zach:</t>
        </r>
        <r>
          <rPr>
            <sz val="9"/>
            <color indexed="81"/>
            <rFont val="Tahoma"/>
            <family val="2"/>
          </rPr>
          <t xml:space="preserve">
there is some debate here, in the Q4FY19 call, Consumer Edge Research mentions that pod pricing ended the year at 0.49 in tracked channels</t>
        </r>
      </text>
    </comment>
    <comment ref="B170" authorId="0" shapeId="0" xr:uid="{59C37AF5-88CB-4BDB-A035-C929F895713F}">
      <text>
        <r>
          <rPr>
            <b/>
            <sz val="9"/>
            <color indexed="81"/>
            <rFont val="Tahoma"/>
            <family val="2"/>
          </rPr>
          <t>Mariani, Zach:</t>
        </r>
        <r>
          <rPr>
            <sz val="9"/>
            <color indexed="81"/>
            <rFont val="Tahoma"/>
            <family val="2"/>
          </rPr>
          <t xml:space="preserve">
they break out the marketing section of SG&amp;A in the 10ks</t>
        </r>
      </text>
    </comment>
    <comment ref="AE248" authorId="0" shapeId="0" xr:uid="{53392279-88F8-4B6E-9EB3-52D69F17259D}">
      <text>
        <r>
          <rPr>
            <b/>
            <sz val="9"/>
            <color indexed="81"/>
            <rFont val="Tahoma"/>
            <family val="2"/>
          </rPr>
          <t>Mariani, Zach:</t>
        </r>
        <r>
          <rPr>
            <sz val="9"/>
            <color indexed="81"/>
            <rFont val="Tahoma"/>
            <family val="2"/>
          </rPr>
          <t xml:space="preserve">
7% for FY21 on the call</t>
        </r>
      </text>
    </comment>
    <comment ref="AG248" authorId="0" shapeId="0" xr:uid="{4CD5412D-5ED2-477E-B490-E04C5C121C13}">
      <text>
        <r>
          <rPr>
            <b/>
            <sz val="9"/>
            <color indexed="81"/>
            <rFont val="Tahoma"/>
            <family val="2"/>
          </rPr>
          <t>Mariani, Zach:</t>
        </r>
        <r>
          <rPr>
            <sz val="9"/>
            <color indexed="81"/>
            <rFont val="Tahoma"/>
            <family val="2"/>
          </rPr>
          <t xml:space="preserve">
they said that this is about 15% </t>
        </r>
      </text>
    </comment>
    <comment ref="B277" authorId="0" shapeId="0" xr:uid="{70DDAAF5-451E-45AB-B3B2-001F795BD1E7}">
      <text>
        <r>
          <rPr>
            <b/>
            <sz val="9"/>
            <color indexed="81"/>
            <rFont val="Tahoma"/>
            <family val="2"/>
          </rPr>
          <t xml:space="preserve">Mariani, Zach
these numbers are taken from Guillaume Delams model (UBS)
</t>
        </r>
      </text>
    </comment>
    <comment ref="B278" authorId="0" shapeId="0" xr:uid="{81934A7E-E974-4121-8E1C-F4A429DC20BD}">
      <text>
        <r>
          <rPr>
            <b/>
            <sz val="9"/>
            <color indexed="81"/>
            <rFont val="Tahoma"/>
            <family val="2"/>
          </rPr>
          <t>Mariani, Zach:</t>
        </r>
        <r>
          <rPr>
            <sz val="9"/>
            <color indexed="81"/>
            <rFont val="Tahoma"/>
            <family val="2"/>
          </rPr>
          <t xml:space="preserve">
operating margins are presented in the halves of the year and the full year</t>
        </r>
      </text>
    </comment>
    <comment ref="B279" authorId="0" shapeId="0" xr:uid="{F16412E4-CEA7-4FB7-965E-ECD04515C302}">
      <text>
        <r>
          <rPr>
            <b/>
            <sz val="9"/>
            <color indexed="81"/>
            <rFont val="Tahoma"/>
            <family val="2"/>
          </rPr>
          <t xml:space="preserve">Mariani, Zach
these numbers are taken from Guillaume Delams model (UBS)
</t>
        </r>
      </text>
    </comment>
    <comment ref="AB377" authorId="0" shapeId="0" xr:uid="{348CE81F-2B16-4C32-BAD2-06916E295B78}">
      <text>
        <r>
          <rPr>
            <b/>
            <sz val="9"/>
            <color indexed="81"/>
            <rFont val="Tahoma"/>
            <family val="2"/>
          </rPr>
          <t>Mariani, Zach:</t>
        </r>
        <r>
          <rPr>
            <sz val="9"/>
            <color indexed="81"/>
            <rFont val="Tahoma"/>
            <family val="2"/>
          </rPr>
          <t xml:space="preserve">
in Q1FY21, they guide for Q2FY21 saying DD growth around 10-12%</t>
        </r>
      </text>
    </comment>
    <comment ref="B439" authorId="0" shapeId="0" xr:uid="{87BCF5FC-DB85-4C6B-BD7E-58DE7479E8A3}">
      <text>
        <r>
          <rPr>
            <b/>
            <sz val="9"/>
            <color indexed="81"/>
            <rFont val="Tahoma"/>
            <family val="2"/>
          </rPr>
          <t>Mariani, Zach:</t>
        </r>
        <r>
          <rPr>
            <sz val="9"/>
            <color indexed="81"/>
            <rFont val="Tahoma"/>
            <family val="2"/>
          </rPr>
          <t xml:space="preserve">
depreciation and amortization lines taken from WF, Chris Carey model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Mariani, Zach</author>
  </authors>
  <commentList>
    <comment ref="AK3" authorId="0" shapeId="0" xr:uid="{76FF825C-2A67-4466-A46B-2C9AD08BBBC5}">
      <text>
        <r>
          <rPr>
            <b/>
            <sz val="9"/>
            <color indexed="81"/>
            <rFont val="Tahoma"/>
            <family val="2"/>
          </rPr>
          <t>Mariani, Zach:</t>
        </r>
        <r>
          <rPr>
            <sz val="9"/>
            <color indexed="81"/>
            <rFont val="Tahoma"/>
            <family val="2"/>
          </rPr>
          <t xml:space="preserve">
these numbers come from visible alpha consensus, they give the change in Revenue attributable to price vs volume 
</t>
        </r>
      </text>
    </comment>
    <comment ref="BD4" authorId="0" shapeId="0" xr:uid="{6ADEFAE3-91E9-4E93-94B0-6EF064164D2B}">
      <text>
        <r>
          <rPr>
            <b/>
            <sz val="9"/>
            <color indexed="81"/>
            <rFont val="Tahoma"/>
            <family val="2"/>
          </rPr>
          <t>Mariani, Zach:</t>
        </r>
        <r>
          <rPr>
            <sz val="9"/>
            <color indexed="81"/>
            <rFont val="Tahoma"/>
            <family val="2"/>
          </rPr>
          <t xml:space="preserve">
I'm not 100% sure what's going on here </t>
        </r>
      </text>
    </comment>
    <comment ref="AQ5" authorId="0" shapeId="0" xr:uid="{5CC2C2A0-7128-4E48-95D0-C03CEFA49E50}">
      <text>
        <r>
          <rPr>
            <b/>
            <sz val="9"/>
            <color indexed="81"/>
            <rFont val="Tahoma"/>
            <family val="2"/>
          </rPr>
          <t>Mariani, Zach:</t>
        </r>
        <r>
          <rPr>
            <sz val="9"/>
            <color indexed="81"/>
            <rFont val="Tahoma"/>
            <family val="2"/>
          </rPr>
          <t xml:space="preserve">
this gives information about each specific company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Mariani, Zach</author>
  </authors>
  <commentList>
    <comment ref="D3" authorId="0" shapeId="0" xr:uid="{99878316-411B-4A2A-931B-5052D8A48402}">
      <text>
        <r>
          <rPr>
            <b/>
            <sz val="9"/>
            <color indexed="81"/>
            <rFont val="Tahoma"/>
            <family val="2"/>
          </rPr>
          <t>Mariani, Zach:</t>
        </r>
        <r>
          <rPr>
            <sz val="9"/>
            <color indexed="81"/>
            <rFont val="Tahoma"/>
            <family val="2"/>
          </rPr>
          <t xml:space="preserve">
https://fred.stlouisfed.org/data/TTLHH.txt</t>
        </r>
      </text>
    </comment>
    <comment ref="J19" authorId="0" shapeId="0" xr:uid="{F930E906-E759-42C7-A27D-DA6C7C5CB484}">
      <text>
        <r>
          <rPr>
            <b/>
            <sz val="9"/>
            <color indexed="81"/>
            <rFont val="Tahoma"/>
            <family val="2"/>
          </rPr>
          <t>Mariani, Zach:</t>
        </r>
        <r>
          <rPr>
            <sz val="9"/>
            <color indexed="81"/>
            <rFont val="Tahoma"/>
            <family val="2"/>
          </rPr>
          <t xml:space="preserve">
from UBS' old model </t>
        </r>
      </text>
    </comment>
    <comment ref="J32" authorId="0" shapeId="0" xr:uid="{54D55617-F99F-463A-9CFC-AE44ED42EFB6}">
      <text>
        <r>
          <rPr>
            <b/>
            <sz val="9"/>
            <color indexed="81"/>
            <rFont val="Tahoma"/>
            <family val="2"/>
          </rPr>
          <t>Mariani, Zach:</t>
        </r>
        <r>
          <rPr>
            <sz val="9"/>
            <color indexed="81"/>
            <rFont val="Tahoma"/>
            <family val="2"/>
          </rPr>
          <t xml:space="preserve">
from UBS' old model of Keurig Green Mountain</t>
        </r>
      </text>
    </comment>
    <comment ref="L48" authorId="0" shapeId="0" xr:uid="{C9393E80-94D2-4A28-9669-2C0466D9AC56}">
      <text>
        <r>
          <rPr>
            <b/>
            <sz val="9"/>
            <color indexed="81"/>
            <rFont val="Tahoma"/>
            <family val="2"/>
          </rPr>
          <t>Mariani, Zach:</t>
        </r>
        <r>
          <rPr>
            <sz val="9"/>
            <color indexed="81"/>
            <rFont val="Tahoma"/>
            <family val="2"/>
          </rPr>
          <t xml:space="preserve">
goes off patent</t>
        </r>
      </text>
    </comment>
    <comment ref="J53" authorId="0" shapeId="0" xr:uid="{DB3D6F13-CF0A-4B01-9A10-3E761C6A37E5}">
      <text>
        <r>
          <rPr>
            <b/>
            <sz val="9"/>
            <color indexed="81"/>
            <rFont val="Tahoma"/>
            <family val="2"/>
          </rPr>
          <t>Mariani, Zach:</t>
        </r>
        <r>
          <rPr>
            <sz val="9"/>
            <color indexed="81"/>
            <rFont val="Tahoma"/>
            <family val="2"/>
          </rPr>
          <t xml:space="preserve">
they say on the Q4FY2010 call that they're no longer going to be giving guidance here going forward</t>
        </r>
      </text>
    </comment>
    <comment ref="K58" authorId="0" shapeId="0" xr:uid="{25345F3F-9BCE-4949-B9CA-C63BF9C943C3}">
      <text>
        <r>
          <rPr>
            <b/>
            <sz val="9"/>
            <color indexed="81"/>
            <rFont val="Tahoma"/>
            <family val="2"/>
          </rPr>
          <t>Mariani, Zach:</t>
        </r>
        <r>
          <rPr>
            <sz val="9"/>
            <color indexed="81"/>
            <rFont val="Tahoma"/>
            <family val="2"/>
          </rPr>
          <t xml:space="preserve">
from old UBS model</t>
        </r>
      </text>
    </comment>
    <comment ref="J68" authorId="0" shapeId="0" xr:uid="{32EEFA78-6158-4D25-BD4D-5980BA87B30E}">
      <text>
        <r>
          <rPr>
            <b/>
            <sz val="9"/>
            <color indexed="81"/>
            <rFont val="Tahoma"/>
            <family val="2"/>
          </rPr>
          <t>Mariani, Zach:</t>
        </r>
        <r>
          <rPr>
            <sz val="9"/>
            <color indexed="81"/>
            <rFont val="Tahoma"/>
            <family val="2"/>
          </rPr>
          <t xml:space="preserve">
from UBS' model of Keurig Green Mountain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Suh, James</author>
  </authors>
  <commentList>
    <comment ref="D6" authorId="0" shapeId="0" xr:uid="{FCB7D4E7-AA9C-40DB-B657-5CA4DBCD10AF}">
      <text>
        <r>
          <rPr>
            <sz val="8"/>
            <color indexed="81"/>
            <rFont val="Tahoma"/>
            <family val="2"/>
          </rPr>
          <t xml:space="preserve">Contact us if you'd like to see your team's custom scale as dropdown options.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<sst xmlns="http://schemas.openxmlformats.org/spreadsheetml/2006/main" count="1478" uniqueCount="945">
  <si>
    <t>Company</t>
  </si>
  <si>
    <t>BBG Ticker</t>
  </si>
  <si>
    <t xml:space="preserve">Keurig Dr Pepper, Inc. </t>
  </si>
  <si>
    <t xml:space="preserve">KDP US Equity </t>
  </si>
  <si>
    <t>Last Reported Earnings</t>
  </si>
  <si>
    <t>Next Earnings</t>
  </si>
  <si>
    <t>3QFY3</t>
  </si>
  <si>
    <t>Days Until Next Earnings</t>
  </si>
  <si>
    <t xml:space="preserve">2QFY23 </t>
  </si>
  <si>
    <t>Gross Profit</t>
  </si>
  <si>
    <t xml:space="preserve">Total Revenue </t>
  </si>
  <si>
    <t>SG&amp;A</t>
  </si>
  <si>
    <t xml:space="preserve">Interest expense </t>
  </si>
  <si>
    <t xml:space="preserve">Number of Shares, Basic </t>
  </si>
  <si>
    <t>Number of Shares, Diluted</t>
  </si>
  <si>
    <t xml:space="preserve">Dividend per share </t>
  </si>
  <si>
    <t>FY-2020</t>
  </si>
  <si>
    <t>FY-2021</t>
  </si>
  <si>
    <t>FY-2022</t>
  </si>
  <si>
    <t>Other Income</t>
  </si>
  <si>
    <t>Q4-FY2021</t>
  </si>
  <si>
    <t>Q3-FY2021</t>
  </si>
  <si>
    <t>Q2-FY2021</t>
  </si>
  <si>
    <t>Q1-FY2021</t>
  </si>
  <si>
    <t>Q1-FY2022</t>
  </si>
  <si>
    <t>Q2-FY2022</t>
  </si>
  <si>
    <t>Q3-FY2022</t>
  </si>
  <si>
    <t>Q4-FY2022</t>
  </si>
  <si>
    <t>Q1-FY2023</t>
  </si>
  <si>
    <t>Q2-FY2023</t>
  </si>
  <si>
    <t>Q4-FY2020</t>
  </si>
  <si>
    <t>Q3-FY2020</t>
  </si>
  <si>
    <t>Q2-FY2020</t>
  </si>
  <si>
    <t>Q1-FY2020</t>
  </si>
  <si>
    <t>FY2019</t>
  </si>
  <si>
    <t>Q4-FY2019</t>
  </si>
  <si>
    <t>Q3-FY2019</t>
  </si>
  <si>
    <t>Q2-FY2019</t>
  </si>
  <si>
    <t>Q1-FY2019</t>
  </si>
  <si>
    <t>FY2018</t>
  </si>
  <si>
    <t>Q4-FY2018</t>
  </si>
  <si>
    <t>Q3-FY2018</t>
  </si>
  <si>
    <t>Q2-FY2018</t>
  </si>
  <si>
    <t>Q1-FY2018</t>
  </si>
  <si>
    <t>FY2017</t>
  </si>
  <si>
    <t>Q4-FY2017</t>
  </si>
  <si>
    <t>Q3-FY2017</t>
  </si>
  <si>
    <t>Q2-FY2017</t>
  </si>
  <si>
    <t>Q1-FY2017</t>
  </si>
  <si>
    <t>FY2016</t>
  </si>
  <si>
    <t>FY2015</t>
  </si>
  <si>
    <t>FY2014</t>
  </si>
  <si>
    <t xml:space="preserve">International </t>
  </si>
  <si>
    <t>Total revenue - US - Coffee</t>
  </si>
  <si>
    <t>Total revenue - International</t>
  </si>
  <si>
    <t>VA Ticker</t>
  </si>
  <si>
    <t>KDP_US</t>
  </si>
  <si>
    <t>VA Names</t>
  </si>
  <si>
    <t xml:space="preserve">Coffee </t>
  </si>
  <si>
    <t>Volume</t>
  </si>
  <si>
    <t>Price</t>
  </si>
  <si>
    <t>FX</t>
  </si>
  <si>
    <t>Volume growth - US - Refreshment beverages</t>
  </si>
  <si>
    <t>Price growth - US - Refreshment beverages</t>
  </si>
  <si>
    <t>Volume growth - US - Coffee</t>
  </si>
  <si>
    <t>Price growth - US - Coffee</t>
  </si>
  <si>
    <t xml:space="preserve">Volume growth - International </t>
  </si>
  <si>
    <t>Price growth - International</t>
  </si>
  <si>
    <t xml:space="preserve">Forex growth - International </t>
  </si>
  <si>
    <t xml:space="preserve">Refreshment  </t>
  </si>
  <si>
    <t xml:space="preserve">Total </t>
  </si>
  <si>
    <t xml:space="preserve">Operating Margin - US - Refreshment beverages </t>
  </si>
  <si>
    <t xml:space="preserve">Operating Margin - US - Coffee  </t>
  </si>
  <si>
    <t>Q4</t>
  </si>
  <si>
    <t xml:space="preserve">Q1 </t>
  </si>
  <si>
    <t xml:space="preserve">Q2 </t>
  </si>
  <si>
    <t xml:space="preserve">Q3 </t>
  </si>
  <si>
    <t xml:space="preserve">Q4 </t>
  </si>
  <si>
    <t>Period Ending</t>
  </si>
  <si>
    <t>Report Date</t>
  </si>
  <si>
    <t xml:space="preserve">Assets </t>
  </si>
  <si>
    <t xml:space="preserve">Cash &amp; Equivalents </t>
  </si>
  <si>
    <t xml:space="preserve">A/R </t>
  </si>
  <si>
    <t xml:space="preserve">Inventory </t>
  </si>
  <si>
    <t xml:space="preserve">Other current assets </t>
  </si>
  <si>
    <t xml:space="preserve">Total Current Assets </t>
  </si>
  <si>
    <t xml:space="preserve">Current Assets </t>
  </si>
  <si>
    <t>Current long-term obligation</t>
  </si>
  <si>
    <t xml:space="preserve">A/P </t>
  </si>
  <si>
    <t xml:space="preserve">Total current liabilities </t>
  </si>
  <si>
    <t>Long-Term Obligations</t>
  </si>
  <si>
    <t>DTL</t>
  </si>
  <si>
    <t xml:space="preserve">PP&amp;E, net </t>
  </si>
  <si>
    <t xml:space="preserve">Intangibles </t>
  </si>
  <si>
    <t xml:space="preserve">Non-Current Assets </t>
  </si>
  <si>
    <t xml:space="preserve">SE </t>
  </si>
  <si>
    <t xml:space="preserve">Common Stock </t>
  </si>
  <si>
    <t xml:space="preserve">Preferred Stock </t>
  </si>
  <si>
    <t>Retained earnings</t>
  </si>
  <si>
    <t>PIK</t>
  </si>
  <si>
    <t>AOCI</t>
  </si>
  <si>
    <t xml:space="preserve">Treasury stock </t>
  </si>
  <si>
    <t>Total SE</t>
  </si>
  <si>
    <t>NCI</t>
  </si>
  <si>
    <t xml:space="preserve">Total SE </t>
  </si>
  <si>
    <t xml:space="preserve">Check </t>
  </si>
  <si>
    <t>Cash and cash equivalents incl. surplus cash</t>
  </si>
  <si>
    <t>Trade and other receivables</t>
  </si>
  <si>
    <t>Inventories</t>
  </si>
  <si>
    <t>Other current assets</t>
  </si>
  <si>
    <t xml:space="preserve">Total current assets </t>
  </si>
  <si>
    <t>Property, plant and equipment, net</t>
  </si>
  <si>
    <t xml:space="preserve">Intangible assets, net </t>
  </si>
  <si>
    <t xml:space="preserve">Total other non-current assets </t>
  </si>
  <si>
    <t xml:space="preserve">Total assets </t>
  </si>
  <si>
    <t>Current portion of long-term obligations</t>
  </si>
  <si>
    <t>Accounts Payable and other current liabilities</t>
  </si>
  <si>
    <t xml:space="preserve">Total other current liabilities </t>
  </si>
  <si>
    <t>Long-term obligations</t>
  </si>
  <si>
    <t>Deferred tax liabilities - Non-current</t>
  </si>
  <si>
    <t xml:space="preserve">Total other long-term liabilities </t>
  </si>
  <si>
    <t xml:space="preserve">Total liabilities </t>
  </si>
  <si>
    <t xml:space="preserve">Common stock </t>
  </si>
  <si>
    <t>Preferred stock</t>
  </si>
  <si>
    <t>Treasury stock</t>
  </si>
  <si>
    <t>Accumulated other comprehensive loss</t>
  </si>
  <si>
    <t>Total stockholders' equity</t>
  </si>
  <si>
    <t>Total liabilities and stockholders' equity</t>
  </si>
  <si>
    <t>Employee redeemable non-controlling interest and mezzanine equity awards</t>
  </si>
  <si>
    <t xml:space="preserve">Additional paid-in capital </t>
  </si>
  <si>
    <t>Balance Sheet</t>
  </si>
  <si>
    <t>Cash Flow Statement</t>
  </si>
  <si>
    <t xml:space="preserve">Net income </t>
  </si>
  <si>
    <t xml:space="preserve">Other non-cash activities </t>
  </si>
  <si>
    <t xml:space="preserve">Changes in NWC </t>
  </si>
  <si>
    <t>Change in inventories</t>
  </si>
  <si>
    <t xml:space="preserve">Total change in working capital </t>
  </si>
  <si>
    <t xml:space="preserve">Net cash provided by/(used in) operating activities </t>
  </si>
  <si>
    <t>CapEx</t>
  </si>
  <si>
    <t>Acquisitions</t>
  </si>
  <si>
    <t xml:space="preserve">Other investing activities </t>
  </si>
  <si>
    <t>Net cash provided by/(used in) investing activities</t>
  </si>
  <si>
    <t>Repurchase of shares of common stock</t>
  </si>
  <si>
    <t>Total proceeds/(repayment) of debt</t>
  </si>
  <si>
    <t>Dividends paid</t>
  </si>
  <si>
    <t xml:space="preserve">Total other financing activities </t>
  </si>
  <si>
    <t>CFO</t>
  </si>
  <si>
    <t>CFF</t>
  </si>
  <si>
    <t>Change in Cash</t>
  </si>
  <si>
    <t>Exchange Rate effect</t>
  </si>
  <si>
    <t xml:space="preserve">Cash at beginning of period </t>
  </si>
  <si>
    <t xml:space="preserve">Cash at end of period </t>
  </si>
  <si>
    <t>Net income/(losses)</t>
  </si>
  <si>
    <t>Total capex</t>
  </si>
  <si>
    <t>Total other investing activities</t>
  </si>
  <si>
    <t>CFI</t>
  </si>
  <si>
    <t>Change in receivables</t>
  </si>
  <si>
    <t xml:space="preserve">Total other changes in working capital </t>
  </si>
  <si>
    <t xml:space="preserve">Acquisition of business net </t>
  </si>
  <si>
    <t xml:space="preserve">Liabilities </t>
  </si>
  <si>
    <t>Short-Term Liabilities</t>
  </si>
  <si>
    <t xml:space="preserve">Other current liabilities </t>
  </si>
  <si>
    <t xml:space="preserve">Long-Term Liabilities </t>
  </si>
  <si>
    <t xml:space="preserve">Other long-term liabilities </t>
  </si>
  <si>
    <t xml:space="preserve">Total Liabilities </t>
  </si>
  <si>
    <t xml:space="preserve">Total Liabilities + SE </t>
  </si>
  <si>
    <t xml:space="preserve">Total other change in working capital </t>
  </si>
  <si>
    <t>Net cash provided by/(used in) financing activities</t>
  </si>
  <si>
    <t>Effect of exchange rate changes on cash and cash equivalents</t>
  </si>
  <si>
    <t>Total proceeds/(repayments) of debt</t>
  </si>
  <si>
    <t xml:space="preserve">Cash and cash equivalents at beginning of period </t>
  </si>
  <si>
    <t xml:space="preserve">Top Down </t>
  </si>
  <si>
    <t xml:space="preserve">Market for Keurig Machines </t>
  </si>
  <si>
    <t xml:space="preserve">Market for Keurig Pods </t>
  </si>
  <si>
    <t xml:space="preserve">Bottoms Up </t>
  </si>
  <si>
    <t>Market for Keurig Machines</t>
  </si>
  <si>
    <t xml:space="preserve">Total US Households </t>
  </si>
  <si>
    <t xml:space="preserve">Percentage which drink coffee weekly </t>
  </si>
  <si>
    <t xml:space="preserve">Keurig Owners </t>
  </si>
  <si>
    <t>Non Keurig Owners</t>
  </si>
  <si>
    <t>Replacement Rate for Current Owners</t>
  </si>
  <si>
    <t>%</t>
  </si>
  <si>
    <t xml:space="preserve">M </t>
  </si>
  <si>
    <t>Yrs</t>
  </si>
  <si>
    <t>Replacement Keurig Machines</t>
  </si>
  <si>
    <t>New Keurig Sales</t>
  </si>
  <si>
    <t>Percentage of NonKeurig Owners who convert (annually)</t>
  </si>
  <si>
    <t>Total Annual Sales of Machines</t>
  </si>
  <si>
    <t xml:space="preserve">Average cost per machine </t>
  </si>
  <si>
    <t>$</t>
  </si>
  <si>
    <t>M</t>
  </si>
  <si>
    <t>Total Average Revenue from Machine Sales</t>
  </si>
  <si>
    <t xml:space="preserve">Current Machines </t>
  </si>
  <si>
    <t xml:space="preserve">2020 US census </t>
  </si>
  <si>
    <t>from Keurig 2021 Investor Day presentation, slide 67</t>
  </si>
  <si>
    <t>assume from online sources…. $60-$200 is range</t>
  </si>
  <si>
    <t xml:space="preserve">total annual revenue for K is in the billions, 1/4 of revenue from machines might seem high </t>
  </si>
  <si>
    <t>Inactive Users</t>
  </si>
  <si>
    <t>Recovered Inactive Users</t>
  </si>
  <si>
    <t>10% assumed, look for other data / information here</t>
  </si>
  <si>
    <t xml:space="preserve">follows from work above on machine market </t>
  </si>
  <si>
    <t>Total HHs ordering Pods Weekly</t>
  </si>
  <si>
    <t xml:space="preserve">NB: key assumption is that each house would not have more than one active Keurig machine at a time </t>
  </si>
  <si>
    <t>Annual New Machines added</t>
  </si>
  <si>
    <t>calc</t>
  </si>
  <si>
    <t xml:space="preserve">Pods ordered per week </t>
  </si>
  <si>
    <t xml:space="preserve">Total pods ordered </t>
  </si>
  <si>
    <t>Value</t>
  </si>
  <si>
    <t>Units</t>
  </si>
  <si>
    <t>Notes</t>
  </si>
  <si>
    <t xml:space="preserve">Cost per pod </t>
  </si>
  <si>
    <t>Total pod revenue, annually</t>
  </si>
  <si>
    <t>pods</t>
  </si>
  <si>
    <t>% of HH ordering weekly</t>
  </si>
  <si>
    <t>assumption</t>
  </si>
  <si>
    <t>M USD</t>
  </si>
  <si>
    <t xml:space="preserve">M USD </t>
  </si>
  <si>
    <t xml:space="preserve">US Population </t>
  </si>
  <si>
    <t xml:space="preserve">US census </t>
  </si>
  <si>
    <t>% adults</t>
  </si>
  <si>
    <t xml:space="preserve">Census </t>
  </si>
  <si>
    <t>% of children who drink coffee</t>
  </si>
  <si>
    <t>% of adults who drink coffee every day</t>
  </si>
  <si>
    <t xml:space="preserve">drive research </t>
  </si>
  <si>
    <t>Pop of coffee drinkers daily</t>
  </si>
  <si>
    <t xml:space="preserve">% who drink coffee at home </t>
  </si>
  <si>
    <t>from Keurig 2021 Investor Day presentation, slide 62</t>
  </si>
  <si>
    <t>Pop of coffee drinkers daily, at home</t>
  </si>
  <si>
    <t xml:space="preserve">% of pop with Keurig at home </t>
  </si>
  <si>
    <t xml:space="preserve">calced from Keurig 2021 Investor Day presentation </t>
  </si>
  <si>
    <t>% of pop with Keurig who uses their Keurig for coffee</t>
  </si>
  <si>
    <t>Coffee drinkers daily, at home, with Keurig, using Keurig</t>
  </si>
  <si>
    <t xml:space="preserve">Cups drank per day </t>
  </si>
  <si>
    <t>cups</t>
  </si>
  <si>
    <t>Cups drank total, at home, with Keurig</t>
  </si>
  <si>
    <t xml:space="preserve">M cups </t>
  </si>
  <si>
    <t xml:space="preserve">Revenue per pod </t>
  </si>
  <si>
    <t>Total revenue from pods</t>
  </si>
  <si>
    <t>US HH drinking coffee weekly at home</t>
  </si>
  <si>
    <t>Percentage that have a coffee machine</t>
  </si>
  <si>
    <t>Annual replacement rate of a coffee machine</t>
  </si>
  <si>
    <t xml:space="preserve">Average cost of Keurig machine </t>
  </si>
  <si>
    <t>yrs</t>
  </si>
  <si>
    <t>US HH added annually</t>
  </si>
  <si>
    <t>Percentage that want a coffee machine, but don't already have one</t>
  </si>
  <si>
    <t>US HH added, getting a coffee machine</t>
  </si>
  <si>
    <t xml:space="preserve">% </t>
  </si>
  <si>
    <t>Total coffee machines being purchased annually</t>
  </si>
  <si>
    <t>% of new coffee machine market to Keurig</t>
  </si>
  <si>
    <t>Total Keurig Revenue from Machines</t>
  </si>
  <si>
    <t xml:space="preserve">from Keurig 2021 Investor Day, they have 45M Keurig HH out of 88M coffee households, we assume constant market share </t>
  </si>
  <si>
    <t>from USAFacts (maybe not the best source)</t>
  </si>
  <si>
    <t>Existing US HH buying a coffee machine for the first time</t>
  </si>
  <si>
    <t xml:space="preserve">we assume that all US hh that would want a coffee machine already have one </t>
  </si>
  <si>
    <t>Top Down, Keurig machine and pod revenue</t>
  </si>
  <si>
    <t xml:space="preserve">Bottoms Up, Keurig machine and pod revenue </t>
  </si>
  <si>
    <t>from various online sources, ranges from 3-5 yrs</t>
  </si>
  <si>
    <t>Keurig 2021 Investor Day presentation, slide 67 says that there are 69% of HH who drink coffee weekly, we assume a much higher share already owns a coffee machine</t>
  </si>
  <si>
    <t>Replacement coffee machines into existing US HH</t>
  </si>
  <si>
    <t>LRB</t>
  </si>
  <si>
    <t>Appliances</t>
  </si>
  <si>
    <t>CSD</t>
  </si>
  <si>
    <t xml:space="preserve">NCB </t>
  </si>
  <si>
    <t>Bernstein Data</t>
  </si>
  <si>
    <t xml:space="preserve">US Single Serve - Avg Unit Price </t>
  </si>
  <si>
    <t>US Single Serve Price as a Multiple of Loose Coffee</t>
  </si>
  <si>
    <t>US Single Serve, Loose - Avg Unit Implied Price</t>
  </si>
  <si>
    <t>Implied Pod Volume (in Millions)</t>
  </si>
  <si>
    <t>Timestamp</t>
  </si>
  <si>
    <t>Column Name</t>
  </si>
  <si>
    <t>K-Cup Pods, Revenue</t>
  </si>
  <si>
    <t>K-Cup Pods, Volume</t>
  </si>
  <si>
    <t>NB: this may stop working if the future periods are expanded or if new item lines are added</t>
  </si>
  <si>
    <t xml:space="preserve">assumed, toggled to get final value to around KDP revenue </t>
  </si>
  <si>
    <t>assume from online sources…. $60-$200 is range, toggled to get into the KDP range</t>
  </si>
  <si>
    <t>Revenue</t>
  </si>
  <si>
    <t>K-Cup Pods</t>
  </si>
  <si>
    <t>Retailer Margin</t>
  </si>
  <si>
    <t>Keurig Revenue from pods</t>
  </si>
  <si>
    <t xml:space="preserve">assumption, from Bernstein report </t>
  </si>
  <si>
    <t>assumed, from Bernstein report</t>
  </si>
  <si>
    <t>Retailer margin</t>
  </si>
  <si>
    <t>assumed from Bernstein report</t>
  </si>
  <si>
    <t xml:space="preserve">assumed, from Bernstein report says about 30-40 for the coffee market, probably lower for machines…? More research required here </t>
  </si>
  <si>
    <t>Guidance</t>
  </si>
  <si>
    <t xml:space="preserve">Constant Currency Net Sales Growth </t>
  </si>
  <si>
    <t xml:space="preserve">Adjusted diluted EPS growth </t>
  </si>
  <si>
    <t>[6%, 7%]</t>
  </si>
  <si>
    <t>[5%, 6%]</t>
  </si>
  <si>
    <t>[5%]</t>
  </si>
  <si>
    <t>lsd</t>
  </si>
  <si>
    <t>msd</t>
  </si>
  <si>
    <t>ldd</t>
  </si>
  <si>
    <t>hsd</t>
  </si>
  <si>
    <t>[7%, 8%]</t>
  </si>
  <si>
    <t>[13%, 15%]</t>
  </si>
  <si>
    <t>Management leverage ratio</t>
  </si>
  <si>
    <t>[4%, 6%]</t>
  </si>
  <si>
    <t>[2%, 3%]</t>
  </si>
  <si>
    <t>[3%, 4%]</t>
  </si>
  <si>
    <t>[3.5, 3.8]</t>
  </si>
  <si>
    <t>[3]</t>
  </si>
  <si>
    <t>[15%, 17%]</t>
  </si>
  <si>
    <t>US HH Using Keurig System (from 22 annual report)</t>
  </si>
  <si>
    <t>Ticker</t>
  </si>
  <si>
    <t>Price vs. Volume, VA Analysis</t>
  </si>
  <si>
    <t>EBITDA</t>
  </si>
  <si>
    <t>Net Debt/</t>
  </si>
  <si>
    <t>% of</t>
  </si>
  <si>
    <t>Mkt</t>
  </si>
  <si>
    <t>Enterprise</t>
  </si>
  <si>
    <t>EV / NTM</t>
  </si>
  <si>
    <t>Delta vs Avg</t>
  </si>
  <si>
    <t>P / NTM</t>
  </si>
  <si>
    <t>2021 - 2023 CAGR</t>
  </si>
  <si>
    <t>Next Q</t>
  </si>
  <si>
    <t>Margin</t>
  </si>
  <si>
    <t>Most Recent Q</t>
  </si>
  <si>
    <t>52-week</t>
  </si>
  <si>
    <t>Diluted</t>
  </si>
  <si>
    <t>Common</t>
  </si>
  <si>
    <t>Preferred</t>
  </si>
  <si>
    <t>NTM</t>
  </si>
  <si>
    <t>Enterprise Value / NTM EBITDA</t>
  </si>
  <si>
    <t>Price / NTM EPS</t>
  </si>
  <si>
    <t>EPS</t>
  </si>
  <si>
    <t>Organic Net Sales</t>
  </si>
  <si>
    <t>Adj EBIT</t>
  </si>
  <si>
    <t>Adj EPS</t>
  </si>
  <si>
    <t>52wk Hi</t>
  </si>
  <si>
    <t>Cap</t>
  </si>
  <si>
    <t>1-yr</t>
  </si>
  <si>
    <t>2-yr</t>
  </si>
  <si>
    <t>Organic Sales (Change from 20-&gt;22)</t>
  </si>
  <si>
    <t>Adj EBIT (2020-2022 CAGR)</t>
  </si>
  <si>
    <t>Adj EPS (2020-2022 CAGR)</t>
  </si>
  <si>
    <t>Description</t>
  </si>
  <si>
    <t>Inv Turnover</t>
  </si>
  <si>
    <t>High</t>
  </si>
  <si>
    <t>Shares</t>
  </si>
  <si>
    <t>Debt</t>
  </si>
  <si>
    <t>&amp; Other</t>
  </si>
  <si>
    <t>Cash</t>
  </si>
  <si>
    <t>1-yr Avg</t>
  </si>
  <si>
    <t>2-yr Avg</t>
  </si>
  <si>
    <t>5-yr Avg</t>
  </si>
  <si>
    <t xml:space="preserve">Full Business </t>
  </si>
  <si>
    <t>North America</t>
  </si>
  <si>
    <t>PEP</t>
  </si>
  <si>
    <t>Average</t>
  </si>
  <si>
    <t>Median</t>
  </si>
  <si>
    <t>Text Ticker</t>
  </si>
  <si>
    <t>KDP</t>
  </si>
  <si>
    <t>Keurig-Dr Pepper</t>
  </si>
  <si>
    <t>Coke</t>
  </si>
  <si>
    <t xml:space="preserve">Pepsi </t>
  </si>
  <si>
    <t>Smucker</t>
  </si>
  <si>
    <t>Starbucks</t>
  </si>
  <si>
    <t>Nestle</t>
  </si>
  <si>
    <t>KO</t>
  </si>
  <si>
    <t>SJM</t>
  </si>
  <si>
    <t>SBUX</t>
  </si>
  <si>
    <t>Refreshment Beverages</t>
  </si>
  <si>
    <t>Coffee</t>
  </si>
  <si>
    <t>Beverages, North America</t>
  </si>
  <si>
    <t>US Retail Coffee</t>
  </si>
  <si>
    <t>FY23 (FY+1)</t>
  </si>
  <si>
    <t>FY24 (FY+2)</t>
  </si>
  <si>
    <t>Same Store Sales, North America, Price is Ticker, Volume is Transaction</t>
  </si>
  <si>
    <t>Powdered and Liquid Beverages, includes coffee and products like Nescau and Milo</t>
  </si>
  <si>
    <t>Difference Between KDP and Peers Mean, All</t>
  </si>
  <si>
    <t xml:space="preserve">Difference Between KDP and Peers Mean, Refreshment Beverages </t>
  </si>
  <si>
    <t xml:space="preserve">Difference Between KDP and Peers Mean, Coffee </t>
  </si>
  <si>
    <t>Current</t>
  </si>
  <si>
    <t>Bull</t>
  </si>
  <si>
    <t>Bear</t>
  </si>
  <si>
    <t>New US HH buying coffee machines</t>
  </si>
  <si>
    <t>3-5 yrs from research online, manipulated to get to right current rev from machines</t>
  </si>
  <si>
    <t>Important to Sensitize?</t>
  </si>
  <si>
    <t>no</t>
  </si>
  <si>
    <t>yes</t>
  </si>
  <si>
    <t>% upside and downside</t>
  </si>
  <si>
    <t>brewer volume was down 5.2% annually, this implies to be that there is no conversion happening… source Feb 2023 10k, page 29, we let there be some conversion in order to get current to present reported numbers</t>
  </si>
  <si>
    <t>Inactive Users recovery rate</t>
  </si>
  <si>
    <t>NESN SW</t>
  </si>
  <si>
    <t>from Keurig 2021 Investor Day presentation, slide 67, NB: there are 800k hotel brewers in the US and they are 1st in single serve coffee in offices according to company presentation on 2018/03/20, slide 75</t>
  </si>
  <si>
    <t>Random Notes</t>
  </si>
  <si>
    <t>They have 7 KGM distribution centers and 7 DPS distribution centers, as of report on 2018/03/20</t>
  </si>
  <si>
    <t>Keurig Machine Revenue / TAM</t>
  </si>
  <si>
    <t>current rev</t>
  </si>
  <si>
    <t>assumption, from above, depends on taste profiles</t>
  </si>
  <si>
    <t>NIH</t>
  </si>
  <si>
    <t>Keurig Pod Revenue / TAM</t>
  </si>
  <si>
    <t>Capacity</t>
  </si>
  <si>
    <t>Global 60-kg bags of coffee produced</t>
  </si>
  <si>
    <t>thousands</t>
  </si>
  <si>
    <t>Cost per Pod</t>
  </si>
  <si>
    <t>Pods Ordered / Week</t>
  </si>
  <si>
    <t>TAM for Keurig Pods</t>
  </si>
  <si>
    <t>TAM for Keurig Machines</t>
  </si>
  <si>
    <t>Percentage of Non Keurig Owners Who Switch to Keurig, Annually</t>
  </si>
  <si>
    <t>Years Before Coffee Machine Is Replaced</t>
  </si>
  <si>
    <t>% of People with a Keurig Who Use Their Keurig to Make Coffee at Home</t>
  </si>
  <si>
    <t>Cups per day</t>
  </si>
  <si>
    <t>USDA</t>
  </si>
  <si>
    <t>Roast Weight Reduction</t>
  </si>
  <si>
    <t>Global 60-kg bags of coffee produced, weight post, roasting</t>
  </si>
  <si>
    <t>Grams of coffee per cup</t>
  </si>
  <si>
    <t>grams</t>
  </si>
  <si>
    <t>FullCoffeeRoast</t>
  </si>
  <si>
    <t>Coffees Implied by weight</t>
  </si>
  <si>
    <t>Cups of Coffee</t>
  </si>
  <si>
    <t>Percentage of coffee at home</t>
  </si>
  <si>
    <t>Keurig's Share of the at-home Market</t>
  </si>
  <si>
    <t xml:space="preserve">Price per Pod </t>
  </si>
  <si>
    <t xml:space="preserve">Retailer Margin </t>
  </si>
  <si>
    <t xml:space="preserve">K-Cup Revenue </t>
  </si>
  <si>
    <t xml:space="preserve">Keurig's Number of Coffees </t>
  </si>
  <si>
    <t>US Fraction</t>
  </si>
  <si>
    <t>US Coffee Cups by Global Weight</t>
  </si>
  <si>
    <t>estimated from Keurigs investor presentation</t>
  </si>
  <si>
    <t>Keurig's Share of the At-Home Market</t>
  </si>
  <si>
    <t>from above</t>
  </si>
  <si>
    <t xml:space="preserve">from above </t>
  </si>
  <si>
    <t xml:space="preserve">calc </t>
  </si>
  <si>
    <t>NB: this assumes that the same weight of beans is used for a Keurig and regular coffee, massive assumption which could use more work!</t>
  </si>
  <si>
    <t>sanity check, for all people in the US, makes sense that it is under 1 because we assume that no children drink coffee and that there are only ~70% of adults drinking coffee</t>
  </si>
  <si>
    <t xml:space="preserve">assumption based on prices on amzn and Costco, AMZN prices around 0.20-0.30 for cheaper, 0.80 for higher end, Costco is around 0.55 for higher end in bulk, Bernstein report has last listed price at 0.60, it may have come down since then given the pricing trend, but more information needed to fully justify this </t>
  </si>
  <si>
    <t>US Coffee Cups Consumed, per person, per day</t>
  </si>
  <si>
    <t>Quora, maybe a better source should be explored</t>
  </si>
  <si>
    <t>Pods</t>
  </si>
  <si>
    <t>Machines</t>
  </si>
  <si>
    <t>Top-Down</t>
  </si>
  <si>
    <t>Bottoms-Up</t>
  </si>
  <si>
    <t>Avg</t>
  </si>
  <si>
    <t xml:space="preserve">Keurig Revenue as a Percentage of Estimated TAM </t>
  </si>
  <si>
    <t>Existing US Households</t>
  </si>
  <si>
    <t>estimated from Keurig investor presentation</t>
  </si>
  <si>
    <t>Share Price (as of report date)</t>
  </si>
  <si>
    <t>Cost of Sales (COGS)</t>
  </si>
  <si>
    <t xml:space="preserve">Gross Margin </t>
  </si>
  <si>
    <t>GM bps change, YoY</t>
  </si>
  <si>
    <t>Operating income/(loss) - Operating</t>
  </si>
  <si>
    <t>Gross profit/(loss) - Operating</t>
  </si>
  <si>
    <t>Interest income/(expense), net - Operating</t>
  </si>
  <si>
    <t>Other income/(expense) net - Operating</t>
  </si>
  <si>
    <t>Adjusted Pretax Income (EBT)</t>
  </si>
  <si>
    <t>Adjusted Taxes</t>
  </si>
  <si>
    <t xml:space="preserve">Adjusted Tax Rate </t>
  </si>
  <si>
    <t>Provision/(benefit) for income taxes - Operating</t>
  </si>
  <si>
    <t xml:space="preserve">Adj EPS - Basic </t>
  </si>
  <si>
    <t xml:space="preserve">Adj EPS - Diluted </t>
  </si>
  <si>
    <t>Unadjusted Net Income</t>
  </si>
  <si>
    <t>Total Adjustments to Net Income</t>
  </si>
  <si>
    <t>Adj Net Income</t>
  </si>
  <si>
    <t>Non-GAAP Income Statement</t>
  </si>
  <si>
    <t>Drivers (+)</t>
  </si>
  <si>
    <t>Implied Interest Rate</t>
  </si>
  <si>
    <t>Price / Earnings, TTM</t>
  </si>
  <si>
    <t xml:space="preserve">Organic </t>
  </si>
  <si>
    <t xml:space="preserve">Volume growth </t>
  </si>
  <si>
    <t>Price growth</t>
  </si>
  <si>
    <t xml:space="preserve">Forex growth  </t>
  </si>
  <si>
    <t>Gross Margin, Street Forecasts</t>
  </si>
  <si>
    <t>GM street forecasts, bps change YoY</t>
  </si>
  <si>
    <t>Q3-FY2023</t>
  </si>
  <si>
    <t>Q4-FY2024</t>
  </si>
  <si>
    <t>FY-2023</t>
  </si>
  <si>
    <t>Q4-FY2023</t>
  </si>
  <si>
    <t>Q1</t>
  </si>
  <si>
    <t>Q2</t>
  </si>
  <si>
    <t>Q3</t>
  </si>
  <si>
    <t>Q1-FY2024</t>
  </si>
  <si>
    <t>Q2-FY2024</t>
  </si>
  <si>
    <t>Q3-FY2024</t>
  </si>
  <si>
    <t>Total Revenue, Street Forecasts</t>
  </si>
  <si>
    <t>Cost of Sales (COGS), Street Forecasts</t>
  </si>
  <si>
    <t>Gross Profit, Street Forecasts</t>
  </si>
  <si>
    <t>Total revenue</t>
  </si>
  <si>
    <t>Cost of sales - Operating</t>
  </si>
  <si>
    <t>Actual GM less Street GM</t>
  </si>
  <si>
    <t xml:space="preserve">Cost of sales - Operating </t>
  </si>
  <si>
    <t>Street Adj EPS- Diluted Estimate</t>
  </si>
  <si>
    <t>Adj EPS - Diluted less Street Estimate</t>
  </si>
  <si>
    <t>EPS - Diluted - Operating</t>
  </si>
  <si>
    <t>FY-2024</t>
  </si>
  <si>
    <t>Adj EPS - Diluted YoY Change</t>
  </si>
  <si>
    <t xml:space="preserve">% of Non-Keurig Owners that convert </t>
  </si>
  <si>
    <t>FRED</t>
  </si>
  <si>
    <t>source/notes</t>
  </si>
  <si>
    <t>IDP 18</t>
  </si>
  <si>
    <t xml:space="preserve">% Coffee Drinking </t>
  </si>
  <si>
    <t>IDP 21</t>
  </si>
  <si>
    <t xml:space="preserve">Machine Sale Price </t>
  </si>
  <si>
    <t xml:space="preserve">Implied Keurig Machine Revenue </t>
  </si>
  <si>
    <t xml:space="preserve">Reported Keurig Machine Revenue </t>
  </si>
  <si>
    <t xml:space="preserve"> US Households</t>
  </si>
  <si>
    <t xml:space="preserve"> US HH Drinking Coffee</t>
  </si>
  <si>
    <t xml:space="preserve">New Keurig HH added from pop growth </t>
  </si>
  <si>
    <t>Keurig Owners BoP</t>
  </si>
  <si>
    <t>Keurig Convert Sales</t>
  </si>
  <si>
    <t>Non-Keurig Coffee HH</t>
  </si>
  <si>
    <t>Replacement Sales</t>
  </si>
  <si>
    <t xml:space="preserve">Keurig Owners EoP </t>
  </si>
  <si>
    <t xml:space="preserve">Dysfunctional Rate for Current Owners </t>
  </si>
  <si>
    <t>Dysfunctional Replacement Rate</t>
  </si>
  <si>
    <t>bold numbers indicate figures given in report</t>
  </si>
  <si>
    <t>Error</t>
  </si>
  <si>
    <t>Keurig Machines</t>
  </si>
  <si>
    <t xml:space="preserve">% inactive </t>
  </si>
  <si>
    <t>Active Users</t>
  </si>
  <si>
    <t xml:space="preserve">People / HH </t>
  </si>
  <si>
    <t xml:space="preserve">Cups Consumed Per Person Per Day </t>
  </si>
  <si>
    <t xml:space="preserve">Keurig Daily Coffees </t>
  </si>
  <si>
    <t xml:space="preserve">Implied Keurig Pod Revenue </t>
  </si>
  <si>
    <t>US Pop</t>
  </si>
  <si>
    <t>US Adults</t>
  </si>
  <si>
    <t>flatlined assumption</t>
  </si>
  <si>
    <t xml:space="preserve">Pod Cost </t>
  </si>
  <si>
    <t>in millions</t>
  </si>
  <si>
    <t>Unallocated corporate expenses</t>
  </si>
  <si>
    <t>Operating income/(loss) - Unallocated corporate costs incl. other adjustments</t>
  </si>
  <si>
    <t>Operating income/(loss) - US - Coffee - Operating</t>
  </si>
  <si>
    <t>Operating income/(loss) - US - Refreshment Beverages - Operating</t>
  </si>
  <si>
    <t>Operating income/(loss) - International - Operating</t>
  </si>
  <si>
    <t>SG&amp;A as a % of Sales</t>
  </si>
  <si>
    <t>SG&amp;A bps change, YoY</t>
  </si>
  <si>
    <t>SG&amp;A - Operating</t>
  </si>
  <si>
    <t>KDP Corp Debt</t>
  </si>
  <si>
    <t xml:space="preserve">BBG ISIN </t>
  </si>
  <si>
    <t>Maturity</t>
  </si>
  <si>
    <t>Issued Date</t>
  </si>
  <si>
    <t>Callable</t>
  </si>
  <si>
    <t xml:space="preserve">Amt Issued </t>
  </si>
  <si>
    <t>Amt Outstanding</t>
  </si>
  <si>
    <t>Outstanding / Issued</t>
  </si>
  <si>
    <t>Coupon</t>
  </si>
  <si>
    <t>S&amp;P</t>
  </si>
  <si>
    <t>Moody's</t>
  </si>
  <si>
    <t>Fitch</t>
  </si>
  <si>
    <t>Rating</t>
  </si>
  <si>
    <t>BO339157 Corp</t>
  </si>
  <si>
    <t>BV815700 Corp</t>
  </si>
  <si>
    <t>BV815699 Corp</t>
  </si>
  <si>
    <t>ZS462236 Corp</t>
  </si>
  <si>
    <t>AL578101 Corp</t>
  </si>
  <si>
    <t>BV815715 Corp</t>
  </si>
  <si>
    <t>BH631196 Corp</t>
  </si>
  <si>
    <t>BH631195 Corp</t>
  </si>
  <si>
    <t>QJ508221 Corp</t>
  </si>
  <si>
    <t>ZS464608 Corp</t>
  </si>
  <si>
    <t>ZS462329 Corp</t>
  </si>
  <si>
    <t>QJ508726 Corp</t>
  </si>
  <si>
    <t>AL578155 Corp</t>
  </si>
  <si>
    <t>QZ493040 Corp</t>
  </si>
  <si>
    <t>BO339158 Corp</t>
  </si>
  <si>
    <t>AL578753 Corp</t>
  </si>
  <si>
    <t>BO339159 Corp</t>
  </si>
  <si>
    <t>ZS464615 Corp</t>
  </si>
  <si>
    <t>AS645505 Corp</t>
  </si>
  <si>
    <t>KDP Corp Loans</t>
  </si>
  <si>
    <t>BL389364 Corp</t>
  </si>
  <si>
    <t>Quarterly Debt Payment</t>
  </si>
  <si>
    <t>Effective Interest Rate</t>
  </si>
  <si>
    <t>Quarterly Debt Payment (post '24)</t>
  </si>
  <si>
    <t>Dysfunctional</t>
  </si>
  <si>
    <t xml:space="preserve">Reported Keurig Pod Revenue </t>
  </si>
  <si>
    <t>Street Adj EPS - Diluted YoY Change</t>
  </si>
  <si>
    <t>Share Buyback Price</t>
  </si>
  <si>
    <t xml:space="preserve">Total $ Spent on Share Buybacks </t>
  </si>
  <si>
    <t xml:space="preserve">Number of Shares Purchased </t>
  </si>
  <si>
    <t xml:space="preserve">we ignore and focus only on diluted </t>
  </si>
  <si>
    <t>Q1-FY2025</t>
  </si>
  <si>
    <t>Q2-FY2025</t>
  </si>
  <si>
    <t>Q3-FY2025</t>
  </si>
  <si>
    <t>Q4-FY2025</t>
  </si>
  <si>
    <t>FY-2025</t>
  </si>
  <si>
    <t>Quarterly Debt Payment (post Q2FY25)</t>
  </si>
  <si>
    <t xml:space="preserve">Key B/S Metrics </t>
  </si>
  <si>
    <t xml:space="preserve">DSO </t>
  </si>
  <si>
    <t>DIO</t>
  </si>
  <si>
    <t>DPO</t>
  </si>
  <si>
    <t>Cash Conversion Cycle</t>
  </si>
  <si>
    <t>Days in the Quarter</t>
  </si>
  <si>
    <t>Days in the Year</t>
  </si>
  <si>
    <t>Depreciation</t>
  </si>
  <si>
    <t>Depreciation over PP&amp;E</t>
  </si>
  <si>
    <t>CapEx over Depreciation</t>
  </si>
  <si>
    <t xml:space="preserve">Other non-current assets </t>
  </si>
  <si>
    <t xml:space="preserve">Reported Growth </t>
  </si>
  <si>
    <t>RIG (Volume)</t>
  </si>
  <si>
    <t xml:space="preserve">Price </t>
  </si>
  <si>
    <t>RIG/Price</t>
  </si>
  <si>
    <t>Operating Margin</t>
  </si>
  <si>
    <t>Brewer Shipments</t>
  </si>
  <si>
    <t>Shipments (volume)</t>
  </si>
  <si>
    <t>Performance</t>
  </si>
  <si>
    <t>Adjusted diluted EPS growth YoY</t>
  </si>
  <si>
    <t>Stock Price change QoQ</t>
  </si>
  <si>
    <t>Stock Price, EOD at earnings release</t>
  </si>
  <si>
    <t>Stock Price change YoY</t>
  </si>
  <si>
    <t>Dividend per share increase QoQ</t>
  </si>
  <si>
    <t xml:space="preserve">Dividend Yield </t>
  </si>
  <si>
    <t>Marketing Expense</t>
  </si>
  <si>
    <t xml:space="preserve">Other SG&amp;A Expense </t>
  </si>
  <si>
    <t>Transportation and Warehousing Costs</t>
  </si>
  <si>
    <t>Research and Development Costs</t>
  </si>
  <si>
    <t>Nutrabolt</t>
  </si>
  <si>
    <t>Tractor</t>
  </si>
  <si>
    <t>Atheltic Brewing</t>
  </si>
  <si>
    <t>Dyla LLC</t>
  </si>
  <si>
    <t xml:space="preserve">Force Holdings LLC </t>
  </si>
  <si>
    <t>Beverage stratup companies</t>
  </si>
  <si>
    <t>Other</t>
  </si>
  <si>
    <t>(various)</t>
  </si>
  <si>
    <t>Ownership Interest in Unconsolidated Affliates</t>
  </si>
  <si>
    <t>BodyArmor</t>
  </si>
  <si>
    <t>Beford</t>
  </si>
  <si>
    <t>LifeFules, Inc</t>
  </si>
  <si>
    <t>Stock price (USD)</t>
  </si>
  <si>
    <t>Market cap (USD mm)</t>
  </si>
  <si>
    <t>Shares outstanding</t>
  </si>
  <si>
    <t>Color Key</t>
  </si>
  <si>
    <t>Inputs</t>
  </si>
  <si>
    <t>###</t>
  </si>
  <si>
    <t>References from other tabs</t>
  </si>
  <si>
    <t>Assumptions</t>
  </si>
  <si>
    <t>Bloomberg pulls</t>
  </si>
  <si>
    <t>Formula</t>
  </si>
  <si>
    <t>Mgmt. Guide</t>
  </si>
  <si>
    <r>
      <t>in italics (</t>
    </r>
    <r>
      <rPr>
        <i/>
        <sz val="11"/>
        <color theme="1"/>
        <rFont val="Calibri"/>
        <family val="2"/>
        <scheme val="minor"/>
      </rPr>
      <t>x</t>
    </r>
    <r>
      <rPr>
        <sz val="11"/>
        <color theme="1"/>
        <rFont val="Calibri"/>
        <family val="2"/>
        <scheme val="minor"/>
      </rPr>
      <t>)</t>
    </r>
  </si>
  <si>
    <t>Future projections</t>
  </si>
  <si>
    <t>Volume, Street Estimates</t>
  </si>
  <si>
    <t xml:space="preserve">Price, Street Estimates </t>
  </si>
  <si>
    <t xml:space="preserve">Total growth - International </t>
  </si>
  <si>
    <t xml:space="preserve">Total International Growth, Street </t>
  </si>
  <si>
    <t xml:space="preserve"> </t>
  </si>
  <si>
    <t>Implied Total Coffee Sales</t>
  </si>
  <si>
    <t xml:space="preserve">Implied Total Coffee Sales Growth </t>
  </si>
  <si>
    <t>Total Organic Coffee Revenue Growth, Implied by TAM</t>
  </si>
  <si>
    <t>Market Share Change YoY</t>
  </si>
  <si>
    <t xml:space="preserve">we use the average of the last 4 years, assumes that some demand was pulled forward and then will normalize again </t>
  </si>
  <si>
    <t xml:space="preserve">KO </t>
  </si>
  <si>
    <t xml:space="preserve">Volume </t>
  </si>
  <si>
    <t>Price/Mix</t>
  </si>
  <si>
    <t xml:space="preserve">PEP </t>
  </si>
  <si>
    <t xml:space="preserve">Price/Mix </t>
  </si>
  <si>
    <t>Volume growth - North America</t>
  </si>
  <si>
    <t>Total growth - North America</t>
  </si>
  <si>
    <t>Price/mix - North America</t>
  </si>
  <si>
    <t>Volume impact - PBNA</t>
  </si>
  <si>
    <t>Price/mix impact - PBNA</t>
  </si>
  <si>
    <t>Total growth - PBNA</t>
  </si>
  <si>
    <t>CY2014</t>
  </si>
  <si>
    <t>CY2015</t>
  </si>
  <si>
    <t>CY2016</t>
  </si>
  <si>
    <t>CY2017</t>
  </si>
  <si>
    <t>CY2018</t>
  </si>
  <si>
    <t>CY2019</t>
  </si>
  <si>
    <t>CY2020</t>
  </si>
  <si>
    <t>CY2021</t>
  </si>
  <si>
    <t>CY2022</t>
  </si>
  <si>
    <t>CY2023</t>
  </si>
  <si>
    <t>CY2024</t>
  </si>
  <si>
    <t>CY2025</t>
  </si>
  <si>
    <t>Q1CY2017</t>
  </si>
  <si>
    <t>Q2CY2017</t>
  </si>
  <si>
    <t>Q3CY2017</t>
  </si>
  <si>
    <t>Organic</t>
  </si>
  <si>
    <t>KDP Organic Bevs</t>
  </si>
  <si>
    <t>KO Organic Bevs</t>
  </si>
  <si>
    <t>PEP Organic Bevs</t>
  </si>
  <si>
    <t>Nespresso Organic Revenue Growth</t>
  </si>
  <si>
    <t>Nespresso Revenue YoY</t>
  </si>
  <si>
    <t>Keurig Organic Growth</t>
  </si>
  <si>
    <t>Nespresso Best Guess Growth</t>
  </si>
  <si>
    <t>Keurig Annual Coffees</t>
  </si>
  <si>
    <t xml:space="preserve">Bevs Other </t>
  </si>
  <si>
    <t>Coffee Other</t>
  </si>
  <si>
    <t>Beverages</t>
  </si>
  <si>
    <t xml:space="preserve">Nespresso </t>
  </si>
  <si>
    <t xml:space="preserve">Organic Growth </t>
  </si>
  <si>
    <t>Amortization</t>
  </si>
  <si>
    <t>Amortization over Intangibles</t>
  </si>
  <si>
    <t xml:space="preserve">Implied Machine Volume Change </t>
  </si>
  <si>
    <t>Volume Error</t>
  </si>
  <si>
    <t>Keurig Market Share, of new HHs</t>
  </si>
  <si>
    <t>Reported Machine Shipment Change</t>
  </si>
  <si>
    <t xml:space="preserve">goal seeked out, aligns mostly with the Bernstein report… </t>
  </si>
  <si>
    <t>coming back up post COVID</t>
  </si>
  <si>
    <t>most important assumption, staying down in the low to mid 30s</t>
  </si>
  <si>
    <t>Machine Price Change</t>
  </si>
  <si>
    <t>Pod Price Change</t>
  </si>
  <si>
    <t>Reported Coffee Volume Change</t>
  </si>
  <si>
    <t>Reported Coffee Price Change</t>
  </si>
  <si>
    <t>Implied Total Coffee Volume Change</t>
  </si>
  <si>
    <t xml:space="preserve">Implied Total Coffee Price Change </t>
  </si>
  <si>
    <t>Error Volume</t>
  </si>
  <si>
    <t>Error Price</t>
  </si>
  <si>
    <t>Keurig Daily Coffees per Active Machine</t>
  </si>
  <si>
    <t>10% of ppl's whose Keurigs break don't replace them, this rate incorporates both upgrades and replacements</t>
  </si>
  <si>
    <t>toggled but within narrow band</t>
  </si>
  <si>
    <t>UBS Reported Machines Sold</t>
  </si>
  <si>
    <t>Estimated Number of Machines Sold</t>
  </si>
  <si>
    <t>To Drive Model</t>
  </si>
  <si>
    <t>Reported K-Cup Volume</t>
  </si>
  <si>
    <t>Implied K-Cup Volume</t>
  </si>
  <si>
    <t xml:space="preserve">Coffee Other, Growth Rate </t>
  </si>
  <si>
    <t>International Growth Rate, MARIANI</t>
  </si>
  <si>
    <t>% of Pods Used in Keurig by KDP</t>
  </si>
  <si>
    <t>% of Coffees Drank in the Keurig System (as opposed to other brewers)</t>
  </si>
  <si>
    <t xml:space="preserve">management's guidelines and info, assume nearly all at start and flows down to 82% </t>
  </si>
  <si>
    <t>Keurig Coffee Growth Less Nespresso Coffee Growth</t>
  </si>
  <si>
    <t>MSD</t>
  </si>
  <si>
    <t>Nespresso</t>
  </si>
  <si>
    <t>How to use this Template</t>
  </si>
  <si>
    <t>CORE Estimates Upload</t>
  </si>
  <si>
    <t xml:space="preserve">1. Link or Type the ticker in D6. </t>
  </si>
  <si>
    <t>2. Link to the Period End Dates in Row 9.</t>
  </si>
  <si>
    <t>3. Specify the Period Type in Row 10.</t>
  </si>
  <si>
    <t xml:space="preserve">4. Starting in C13, link to estimates from your model for the periods listed. </t>
  </si>
  <si>
    <t>Reporting Period</t>
  </si>
  <si>
    <t>5. Once all desired fields are linked, publish the template data from the CORE Add-In ribbon.</t>
  </si>
  <si>
    <t>Period</t>
  </si>
  <si>
    <t>Period Type</t>
  </si>
  <si>
    <t xml:space="preserve">*This template must always be inserted via the add-in ribbon. </t>
  </si>
  <si>
    <t>Model Data</t>
  </si>
  <si>
    <t>*Sections in this template cannot be renamed or removed.</t>
  </si>
  <si>
    <t>3Q23</t>
  </si>
  <si>
    <t>4Q23</t>
  </si>
  <si>
    <t>FY23</t>
  </si>
  <si>
    <t>FY24</t>
  </si>
  <si>
    <t>Quarterly</t>
  </si>
  <si>
    <t>Annual</t>
  </si>
  <si>
    <t>Organic Revenue</t>
  </si>
  <si>
    <t>Organic Revenue - Beverages</t>
  </si>
  <si>
    <t>Organic Revenue - Coffee</t>
  </si>
  <si>
    <t>GM%</t>
  </si>
  <si>
    <t>EBIT</t>
  </si>
  <si>
    <t xml:space="preserve">US Refreshment Beverages </t>
  </si>
  <si>
    <t xml:space="preserve">US Coffee </t>
  </si>
  <si>
    <t>Coffee Systems</t>
  </si>
  <si>
    <t>Packaged Beverages</t>
  </si>
  <si>
    <t>Beverage Concentrates</t>
  </si>
  <si>
    <t>LatAm</t>
  </si>
  <si>
    <t>Total Revenue</t>
  </si>
  <si>
    <t>US Coffee / Coffee Systems</t>
  </si>
  <si>
    <t>US Bevs / Packaged Bevs + Bev Concentrate</t>
  </si>
  <si>
    <t>K-Cup Pods / Coffee System</t>
  </si>
  <si>
    <t xml:space="preserve">Appliances / Coffee System </t>
  </si>
  <si>
    <t>Other / Coffee System</t>
  </si>
  <si>
    <t>assume 0% GR for coffee other</t>
  </si>
  <si>
    <t>Coffee Growth, Street Estimates</t>
  </si>
  <si>
    <t>Metric</t>
  </si>
  <si>
    <t xml:space="preserve">MARIANI </t>
  </si>
  <si>
    <t xml:space="preserve">Street </t>
  </si>
  <si>
    <t>Revenue Growth</t>
  </si>
  <si>
    <t>Coffee Growth</t>
  </si>
  <si>
    <t>Bevs Growth</t>
  </si>
  <si>
    <t>EBIT Margin</t>
  </si>
  <si>
    <t>Q3FY23</t>
  </si>
  <si>
    <t>Q4FY23</t>
  </si>
  <si>
    <t xml:space="preserve">FY24 </t>
  </si>
  <si>
    <t>Difference (bps)</t>
  </si>
  <si>
    <t>Difference (%)</t>
  </si>
  <si>
    <t>Variance Table</t>
  </si>
  <si>
    <t xml:space="preserve">pre Covid, volume always growing a bit faster than PEP and KO, much less elastic pricing </t>
  </si>
  <si>
    <t>Nielsen data has them pricing much more aggressively than KO and PEP, CEO on Barclays call saying that pre COVID they were giving it away for free</t>
  </si>
  <si>
    <t xml:space="preserve">driven from TAM (new) and then the cyclical nature of the quarters </t>
  </si>
  <si>
    <t xml:space="preserve">overall adding about 2-3M HHs / yr, more at the start, roughly aligns with management's guidance, not 100% sure how they keep doing this, but they do </t>
  </si>
  <si>
    <t>Nespresso Revenue (BBG)</t>
  </si>
  <si>
    <t>Net Sales (UBS)</t>
  </si>
  <si>
    <t>Comps Growth Rates</t>
  </si>
  <si>
    <t xml:space="preserve">KO Adj GM </t>
  </si>
  <si>
    <t>PEP Adj GM</t>
  </si>
  <si>
    <t>KO US Equity</t>
  </si>
  <si>
    <t>PEP US Equity</t>
  </si>
  <si>
    <t>Comps Gross Margin</t>
  </si>
  <si>
    <t>NB: there do not exist good comps for coffee</t>
  </si>
  <si>
    <t>KDP - KO&amp;PEP Mean</t>
  </si>
  <si>
    <t>Comps Operating Margins</t>
  </si>
  <si>
    <t>Volume/Mix</t>
  </si>
  <si>
    <t>Organic Retail coffee</t>
  </si>
  <si>
    <t>Volume/Mix - US retail coffee</t>
  </si>
  <si>
    <t>Price - US retail coffee</t>
  </si>
  <si>
    <t>Organic - US retail coffee</t>
  </si>
  <si>
    <t>Smuckers</t>
  </si>
  <si>
    <t>Coffee EBIT</t>
  </si>
  <si>
    <t>Coffee Operating Margin</t>
  </si>
  <si>
    <t>EBIT - US retail coffee - operating</t>
  </si>
  <si>
    <t>Total revenue - US retail coffee</t>
  </si>
  <si>
    <t>North America EBIT</t>
  </si>
  <si>
    <t>North America - Operating income/(loss) - Operating</t>
  </si>
  <si>
    <t>North America - Net operating revenues - Operating</t>
  </si>
  <si>
    <t>North America Operating Margin</t>
  </si>
  <si>
    <t>Operating income/(loss) - PBNA - Operating</t>
  </si>
  <si>
    <t>Revenue - PBNA</t>
  </si>
  <si>
    <t>Marketing Expense / SG&amp;A</t>
  </si>
  <si>
    <t>T&amp;W / SG&amp;A</t>
  </si>
  <si>
    <t>R&amp;D / SG&amp;A</t>
  </si>
  <si>
    <t>Other SG&amp;A / SG&amp;A</t>
  </si>
  <si>
    <t>Coffee YoY bps change</t>
  </si>
  <si>
    <t>Packaged Beverages / Total Beverages</t>
  </si>
  <si>
    <t>International Coffee</t>
  </si>
  <si>
    <t>International Bevs</t>
  </si>
  <si>
    <t>Conversion Factors</t>
  </si>
  <si>
    <t xml:space="preserve">US Refreshment  </t>
  </si>
  <si>
    <t>Pod Margins</t>
  </si>
  <si>
    <t>Brewer Margins</t>
  </si>
  <si>
    <t>Pod EBIT</t>
  </si>
  <si>
    <t>Brewer EBIT</t>
  </si>
  <si>
    <t>Other Coffee Margins</t>
  </si>
  <si>
    <t>Other EBIT</t>
  </si>
  <si>
    <t xml:space="preserve">Calced Coffee EBIT </t>
  </si>
  <si>
    <t xml:space="preserve">Error </t>
  </si>
  <si>
    <t>Refreshment Volume</t>
  </si>
  <si>
    <t xml:space="preserve">Refreshment Price </t>
  </si>
  <si>
    <t>Refreshment Volume Contribution Margin</t>
  </si>
  <si>
    <t>Refreshment Price Contribution Margin</t>
  </si>
  <si>
    <t>Total estimated EBIT bps change</t>
  </si>
  <si>
    <t>Reported EBIT bps change</t>
  </si>
  <si>
    <t>KC1 Comdty</t>
  </si>
  <si>
    <t xml:space="preserve">Corn Syrup </t>
  </si>
  <si>
    <t>Land Freight</t>
  </si>
  <si>
    <t xml:space="preserve">PPI </t>
  </si>
  <si>
    <t>Cost Basket, Coffee</t>
  </si>
  <si>
    <t>Cost Basket, Beverages</t>
  </si>
  <si>
    <t>HFCS55WS Index</t>
  </si>
  <si>
    <t>FDIUFDA Index</t>
  </si>
  <si>
    <t>PUSAPRPY Index</t>
  </si>
  <si>
    <t>PPIDGNFT Index</t>
  </si>
  <si>
    <t>Assumed Weights, Coffee</t>
  </si>
  <si>
    <t xml:space="preserve">Implied Coffee Inflation </t>
  </si>
  <si>
    <t>Assumed Weights, Bevs</t>
  </si>
  <si>
    <t>Implied Beverage Inflation</t>
  </si>
  <si>
    <t>Front Month Green Coffee, YoY</t>
  </si>
  <si>
    <t>PPI, YoY</t>
  </si>
  <si>
    <t>Coffee YoY EBIT bps exploration</t>
  </si>
  <si>
    <t>Coffee volume</t>
  </si>
  <si>
    <t>Coffee price</t>
  </si>
  <si>
    <t>Refreshment Price, bps contribution</t>
  </si>
  <si>
    <t>Inflation, bps contribution</t>
  </si>
  <si>
    <t>Productivity, bps contribution (PLUG)</t>
  </si>
  <si>
    <t>Pod Margins, YoY bps change</t>
  </si>
  <si>
    <t>Coffee EBIT Margin Breakout</t>
  </si>
  <si>
    <t>Unallocated corporate expenses (% total sales)</t>
  </si>
  <si>
    <t>Refreshment EBIT Margin</t>
  </si>
  <si>
    <t>Refreshment EBIT Margin YoY bps change</t>
  </si>
  <si>
    <t>we take BBGs estimates thru year end and then assume 1%</t>
  </si>
  <si>
    <t xml:space="preserve">volume and price split is from Coffee Tam, illustrative purposes and to drive EBIT margin changes below </t>
  </si>
  <si>
    <t>Coffee Volume Contribution Margin</t>
  </si>
  <si>
    <t>Coffee Price Contribution Margin</t>
  </si>
  <si>
    <t>Coffee Volume, bps contribution</t>
  </si>
  <si>
    <t>Coffee Price, bps contribution</t>
  </si>
  <si>
    <t>Implied Coffee EBIT bps change</t>
  </si>
  <si>
    <t>bps change YoY</t>
  </si>
  <si>
    <t>Operating Margins Drivers</t>
  </si>
  <si>
    <t>Cost Drivers</t>
  </si>
  <si>
    <t>Share Count Build</t>
  </si>
  <si>
    <t>Adj EPS - Diluted MARIANI less Street (Variance)</t>
  </si>
  <si>
    <t>MARIANI EPS FY23</t>
  </si>
  <si>
    <t xml:space="preserve">MARIANI Multiple </t>
  </si>
  <si>
    <t>MARIANI Stock Price</t>
  </si>
  <si>
    <t>MARIANI Upside/Downside</t>
  </si>
  <si>
    <t>Total EBIT</t>
  </si>
  <si>
    <t>-</t>
  </si>
  <si>
    <t>COGS YoY change</t>
  </si>
  <si>
    <t>Gross Profit YoY change</t>
  </si>
  <si>
    <t>Total Revenue YoY change</t>
  </si>
  <si>
    <t>K-Cups Consumed</t>
  </si>
  <si>
    <t>K Pods Consumed Growth Rate YoY</t>
  </si>
  <si>
    <t>ASP Growth Rate</t>
  </si>
  <si>
    <t xml:space="preserve">Appliances Sold </t>
  </si>
  <si>
    <t>Appliances Revenue</t>
  </si>
  <si>
    <t>K-Cup Pods Revenue</t>
  </si>
  <si>
    <t>K-Cup Pods Revenue, Growth Rate</t>
  </si>
  <si>
    <t>K-Cup Pods Revenue, % of Sales by Quarter</t>
  </si>
  <si>
    <t xml:space="preserve">Appliances Revenue, Growth Rate </t>
  </si>
  <si>
    <t>Appliances Revenue, % of Sales by Quarter</t>
  </si>
  <si>
    <t>Appliance Sold, YoY</t>
  </si>
  <si>
    <t>ASP Appliances (no retailer margin considered)</t>
  </si>
  <si>
    <t>ASP K-Cups (no retailer margin considered)</t>
  </si>
  <si>
    <t xml:space="preserve">these percentages are not always aligned… coffee other not included </t>
  </si>
  <si>
    <t>% Consumed with KDP (of Keurig Owners)</t>
  </si>
  <si>
    <t>VA</t>
  </si>
  <si>
    <t>Operating margin - US - Refreshment Beverages</t>
  </si>
  <si>
    <t>Operating margin - US - Coffee</t>
  </si>
  <si>
    <t>Operating margin - International</t>
  </si>
  <si>
    <t>Operating margin</t>
  </si>
  <si>
    <t>Operating margin - Unallocated corporate costs incl. other adjustments</t>
  </si>
  <si>
    <t>Beverage Contribution</t>
  </si>
  <si>
    <t>Coffee Contribution</t>
  </si>
  <si>
    <t>KDP Beverage Revenue</t>
  </si>
  <si>
    <t>Total Revenue $</t>
  </si>
  <si>
    <t xml:space="preserve">Total Revenue $ </t>
  </si>
  <si>
    <t xml:space="preserve">KDP </t>
  </si>
  <si>
    <t>Keurig Organic Coffee</t>
  </si>
  <si>
    <t>Bev EBIT Margin</t>
  </si>
  <si>
    <t>Coffee EBIT Margin</t>
  </si>
  <si>
    <t>Revenue Breakdowns</t>
  </si>
  <si>
    <t>Coffee as a share of revenue</t>
  </si>
  <si>
    <t>Beverages as a share of Revenue</t>
  </si>
  <si>
    <t>Beverages YoY bps change</t>
  </si>
  <si>
    <t>coffee as a percentage of revenue bps change</t>
  </si>
  <si>
    <t>US Coffee EBIT / US Coffee and Beverages EBIT</t>
  </si>
  <si>
    <t>US Beverages EBIT / US Coffee and Beverages EBIT</t>
  </si>
  <si>
    <t>we default to use street estimates for international, very small segment and difficult to judge with FX headwinds and little visibility</t>
  </si>
  <si>
    <t>Old Segments</t>
  </si>
  <si>
    <t xml:space="preserve">Smucker's </t>
  </si>
  <si>
    <t>Bevs as a percentage of revenue bps change</t>
  </si>
  <si>
    <t>Refreshment Volume, bps contribution</t>
  </si>
  <si>
    <t>Polypropylene, YoY</t>
  </si>
  <si>
    <t xml:space="preserve">Polypropylene </t>
  </si>
  <si>
    <t>North America Operating Revenue</t>
  </si>
  <si>
    <t>Coffee Revenue</t>
  </si>
  <si>
    <t xml:space="preserve">Segment Revenue </t>
  </si>
  <si>
    <t>Segment EBIT Margin</t>
  </si>
  <si>
    <t>US Refreshment</t>
  </si>
  <si>
    <t xml:space="preserve">Segment EBIT </t>
  </si>
  <si>
    <t>Segment EBIT, Old Segments</t>
  </si>
  <si>
    <t>EBIT Contribution by Segment</t>
  </si>
  <si>
    <t>Adj Diluted EPS</t>
  </si>
  <si>
    <t xml:space="preserve">key goal seek, limited visibility into this earlier on </t>
  </si>
  <si>
    <t>Commentary</t>
  </si>
  <si>
    <t>Probability</t>
  </si>
  <si>
    <t>Thesis</t>
  </si>
  <si>
    <t>Variant View</t>
  </si>
  <si>
    <t>Risk / Reward</t>
  </si>
  <si>
    <t>Management Quality</t>
  </si>
  <si>
    <t>Reference Datapoint</t>
  </si>
  <si>
    <t>Base</t>
  </si>
  <si>
    <t>Buy</t>
  </si>
  <si>
    <t>CORE Reference Data Upload</t>
  </si>
  <si>
    <t xml:space="preserve">1. Link or Type the ticker in D4. </t>
  </si>
  <si>
    <t>2. Enter your Rating in D6 (Optional).</t>
  </si>
  <si>
    <t>3. Enter your Price Targets in D10-D13 (Optional).</t>
  </si>
  <si>
    <t>4. Enter your scenario Probabilities in E10-E13 (Optional).</t>
  </si>
  <si>
    <t>5. Starting from C15, enter your Reference Datapoint (ie: Mgmt Quality, Growth Trajectory, etc.) down the column.</t>
  </si>
  <si>
    <t>Price Scenarios</t>
  </si>
  <si>
    <t>6. Starting from D15, enter the corresponding value (ie: High, Stable, etc.) down the column.</t>
  </si>
  <si>
    <t>7. Once all reference data is filled out, publish the template data from the CORE Add-In ribbon.</t>
  </si>
  <si>
    <t>Long KDP, thesis revolves around beverage pricing going up aggressively, which the street doesn't expect, leading to EBIT expansion -&gt; EPS upside</t>
  </si>
  <si>
    <t>Beverages to drive most of the EPS expansion, management's willingness to increase price underappreciated by the st</t>
  </si>
  <si>
    <t xml:space="preserve">Risk that coffee suprises worse to the downside than anticipated, street continues to overweight coffee's importance </t>
  </si>
  <si>
    <t xml:space="preserve">High, likely to redirect focus on beverages over coffee -&gt; they don't readily share which metrics they use to compenstate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</si>
</sst>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5" formatCode="&quot;$&quot;#,##0_);\(&quot;$&quot;#,##0\)"/>
    <numFmt numFmtId="6" formatCode="&quot;$&quot;#,##0_);[Red]\(&quot;$&quot;#,##0\)"/>
    <numFmt numFmtId="7" formatCode="&quot;$&quot;#,##0.00_);\(&quot;$&quot;#,##0.00\)"/>
    <numFmt numFmtId="41" formatCode="_(* #,##0_);_(* \(#,##0\);_(* &quot;-&quot;_);_(@_)"/>
    <numFmt numFmtId="44" formatCode="_(&quot;$&quot;* #,##0.00_);_(&quot;$&quot;* \(#,##0.00\);_(&quot;$&quot;* &quot;-&quot;??_);_(@_)"/>
    <numFmt numFmtId="164" formatCode="0.0%"/>
    <numFmt numFmtId="165" formatCode="0.0"/>
    <numFmt numFmtId="166" formatCode="0.0\x"/>
    <numFmt numFmtId="167" formatCode="#,##0.0_);\(#,##0.0\)"/>
    <numFmt numFmtId="168" formatCode="&quot;$&quot;#,##0.00"/>
    <numFmt numFmtId="169" formatCode="m/d/yy;@"/>
    <numFmt numFmtId="170" formatCode="#,###.0\x"/>
    <numFmt numFmtId="171" formatCode="#,##0.0\x"/>
    <numFmt numFmtId="172" formatCode="&quot;$&quot;#,##0"/>
  </numFmts>
  <fonts count="5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sz val="11"/>
      <color theme="0"/>
      <name val="Calibri"/>
      <family val="2"/>
      <scheme val="minor"/>
    </font>
    <font>
      <u/>
      <sz val="11"/>
      <color theme="10"/>
      <name val="Calibri"/>
      <family val="2"/>
      <scheme val="minor"/>
    </font>
    <font>
      <sz val="9"/>
      <color indexed="81"/>
      <name val="Tahoma"/>
      <family val="2"/>
    </font>
    <font>
      <b/>
      <sz val="9"/>
      <color indexed="81"/>
      <name val="Tahoma"/>
      <family val="2"/>
    </font>
    <font>
      <sz val="11"/>
      <color theme="4"/>
      <name val="Calibri"/>
      <family val="2"/>
      <scheme val="minor"/>
    </font>
    <font>
      <b/>
      <sz val="14"/>
      <color theme="0"/>
      <name val="Calibri"/>
      <family val="2"/>
      <scheme val="minor"/>
    </font>
    <font>
      <sz val="14"/>
      <color theme="0"/>
      <name val="Calibri"/>
      <family val="2"/>
      <scheme val="minor"/>
    </font>
    <font>
      <sz val="14"/>
      <color theme="1"/>
      <name val="Calibri"/>
      <family val="2"/>
      <scheme val="minor"/>
    </font>
    <font>
      <b/>
      <sz val="11"/>
      <color rgb="FFFF0000"/>
      <name val="Calibri"/>
      <family val="2"/>
      <scheme val="minor"/>
    </font>
    <font>
      <sz val="11"/>
      <color rgb="FF7030A0"/>
      <name val="Calibri"/>
      <family val="2"/>
      <scheme val="minor"/>
    </font>
    <font>
      <sz val="11"/>
      <name val="Calibri"/>
      <family val="2"/>
      <scheme val="minor"/>
    </font>
    <font>
      <i/>
      <sz val="11"/>
      <name val="Calibri"/>
      <family val="2"/>
      <scheme val="minor"/>
    </font>
    <font>
      <sz val="11"/>
      <color rgb="FF0000FF"/>
      <name val="Calibri"/>
      <family val="2"/>
      <scheme val="minor"/>
    </font>
    <font>
      <sz val="11"/>
      <color rgb="FF00B050"/>
      <name val="Calibri"/>
      <family val="2"/>
      <scheme val="minor"/>
    </font>
    <font>
      <sz val="11"/>
      <color theme="7" tint="-0.499984740745262"/>
      <name val="Calibri"/>
      <family val="2"/>
      <scheme val="minor"/>
    </font>
    <font>
      <b/>
      <sz val="11"/>
      <name val="Calibri"/>
      <family val="2"/>
      <scheme val="minor"/>
    </font>
    <font>
      <sz val="11"/>
      <color theme="1"/>
      <name val="Arial"/>
      <family val="2"/>
    </font>
    <font>
      <sz val="11"/>
      <color theme="1" tint="0.249977111117893"/>
      <name val="Arial"/>
      <family val="2"/>
    </font>
    <font>
      <sz val="10"/>
      <color theme="1"/>
      <name val="Arial"/>
      <family val="2"/>
    </font>
    <font>
      <b/>
      <sz val="12"/>
      <color rgb="FF000000"/>
      <name val="Arial"/>
      <family val="2"/>
    </font>
    <font>
      <b/>
      <sz val="12"/>
      <color theme="1"/>
      <name val="Arial"/>
      <family val="2"/>
    </font>
    <font>
      <sz val="9"/>
      <color rgb="FF000000"/>
      <name val="Arial"/>
      <family val="2"/>
    </font>
    <font>
      <sz val="11"/>
      <color theme="0"/>
      <name val="Arial"/>
      <family val="2"/>
    </font>
    <font>
      <sz val="8"/>
      <color theme="0" tint="-0.249977111117893"/>
      <name val="Arial"/>
      <family val="2"/>
    </font>
    <font>
      <b/>
      <sz val="10"/>
      <color theme="1"/>
      <name val="Arial"/>
      <family val="2"/>
    </font>
    <font>
      <sz val="10"/>
      <color theme="3"/>
      <name val="Arial"/>
      <family val="2"/>
    </font>
    <font>
      <b/>
      <sz val="9"/>
      <color rgb="FF000000"/>
      <name val="Arial"/>
      <family val="2"/>
    </font>
    <font>
      <b/>
      <i/>
      <sz val="11"/>
      <color theme="1"/>
      <name val="Calibri"/>
      <family val="2"/>
      <scheme val="minor"/>
    </font>
    <font>
      <b/>
      <i/>
      <sz val="11"/>
      <name val="Calibri"/>
      <family val="2"/>
      <scheme val="minor"/>
    </font>
    <font>
      <i/>
      <sz val="11"/>
      <color rgb="FFFF0000"/>
      <name val="Calibri"/>
      <family val="2"/>
      <scheme val="minor"/>
    </font>
    <font>
      <b/>
      <i/>
      <sz val="11"/>
      <color rgb="FFFF0000"/>
      <name val="Calibri"/>
      <family val="2"/>
      <scheme val="minor"/>
    </font>
    <font>
      <sz val="11"/>
      <color rgb="FF0000CC"/>
      <name val="Calibri"/>
      <family val="2"/>
      <scheme val="minor"/>
    </font>
    <font>
      <b/>
      <sz val="11"/>
      <color rgb="FF0000CC"/>
      <name val="Calibri"/>
      <family val="2"/>
      <scheme val="minor"/>
    </font>
    <font>
      <sz val="11"/>
      <name val="Arial"/>
      <family val="2"/>
    </font>
    <font>
      <sz val="9"/>
      <color theme="1" tint="0.249977111117893"/>
      <name val="Arial"/>
      <family val="2"/>
    </font>
    <font>
      <sz val="10"/>
      <color rgb="FF000000"/>
      <name val="Arial"/>
      <family val="2"/>
    </font>
    <font>
      <sz val="10"/>
      <color theme="1"/>
      <name val="Ariel"/>
    </font>
    <font>
      <sz val="11"/>
      <color theme="1"/>
      <name val="Ariel"/>
    </font>
    <font>
      <b/>
      <sz val="10"/>
      <color theme="1"/>
      <name val="Ariel"/>
    </font>
    <font>
      <sz val="10"/>
      <color theme="3"/>
      <name val="Ariel"/>
    </font>
    <font>
      <sz val="10"/>
      <color theme="3"/>
      <name val="Lato"/>
      <family val="2"/>
    </font>
    <font>
      <sz val="10"/>
      <color theme="1" tint="0.249977111117893"/>
      <name val="Ariel"/>
    </font>
    <font>
      <sz val="11"/>
      <color theme="1" tint="0.249977111117893"/>
      <name val="Ariel"/>
    </font>
    <font>
      <sz val="8"/>
      <color indexed="81"/>
      <name val="Tahoma"/>
      <family val="2"/>
    </font>
  </fonts>
  <fills count="14">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rgb="FF002060"/>
        <bgColor indexed="64"/>
      </patternFill>
    </fill>
    <fill>
      <patternFill patternType="solid">
        <fgColor rgb="FFFFC000"/>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22">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double">
        <color indexed="64"/>
      </bottom>
      <diagonal/>
    </border>
    <border>
      <left/>
      <right/>
      <top style="double">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7" fillId="0" borderId="0" applyNumberFormat="0" applyFill="0" applyBorder="0" applyAlignment="0" applyProtection="0"/>
    <xf numFmtId="44" fontId="1" fillId="0" borderId="0" applyFont="0" applyFill="0" applyBorder="0" applyAlignment="0" applyProtection="0"/>
    <xf numFmtId="0" fontId="1" fillId="0" borderId="0"/>
    <xf numFmtId="0" fontId="1" fillId="0" borderId="0"/>
    <xf numFmtId="44" fontId="24" fillId="0" borderId="0" applyFont="0" applyFill="0" applyBorder="0" applyAlignment="0" applyProtection="0"/>
  </cellStyleXfs>
  <cellXfs count="680">
    <xf numFmtId="0" fontId="0" fillId="0" borderId="0" xfId="0"/>
    <xf numFmtId="15" fontId="0" fillId="0" borderId="0" xfId="0" applyNumberFormat="1"/>
    <xf numFmtId="1" fontId="0" fillId="0" borderId="0" xfId="0" applyNumberFormat="1"/>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xf>
    <xf numFmtId="0" fontId="0" fillId="0" borderId="0" xfId="0" applyAlignment="1">
      <alignment horizontal="left" indent="6"/>
    </xf>
    <xf numFmtId="14" fontId="0" fillId="0" borderId="0" xfId="0" applyNumberFormat="1"/>
    <xf numFmtId="0" fontId="4" fillId="0" borderId="0" xfId="0" applyFont="1"/>
    <xf numFmtId="0" fontId="3" fillId="0" borderId="0" xfId="0" applyFont="1" applyAlignment="1">
      <alignment horizontal="left"/>
    </xf>
    <xf numFmtId="0" fontId="3" fillId="0" borderId="0" xfId="0" applyFont="1"/>
    <xf numFmtId="0" fontId="0" fillId="3" borderId="0" xfId="0" applyFill="1"/>
    <xf numFmtId="0" fontId="4" fillId="3" borderId="0" xfId="0" applyFont="1" applyFill="1"/>
    <xf numFmtId="37" fontId="0" fillId="3" borderId="0" xfId="0" applyNumberFormat="1" applyFill="1"/>
    <xf numFmtId="37" fontId="0" fillId="0" borderId="0" xfId="0" applyNumberFormat="1"/>
    <xf numFmtId="37" fontId="3" fillId="3" borderId="0" xfId="0" applyNumberFormat="1" applyFont="1" applyFill="1"/>
    <xf numFmtId="37" fontId="3" fillId="0" borderId="0" xfId="0" applyNumberFormat="1" applyFont="1"/>
    <xf numFmtId="164" fontId="0" fillId="3" borderId="0" xfId="1" applyNumberFormat="1" applyFont="1" applyFill="1"/>
    <xf numFmtId="164" fontId="0" fillId="0" borderId="0" xfId="1" applyNumberFormat="1" applyFont="1"/>
    <xf numFmtId="0" fontId="5" fillId="0" borderId="0" xfId="0" applyFont="1"/>
    <xf numFmtId="165" fontId="0" fillId="0" borderId="0" xfId="0" applyNumberFormat="1"/>
    <xf numFmtId="2" fontId="0" fillId="0" borderId="0" xfId="0" applyNumberFormat="1"/>
    <xf numFmtId="0" fontId="0" fillId="0" borderId="0" xfId="0" applyAlignment="1">
      <alignment horizontal="center"/>
    </xf>
    <xf numFmtId="0" fontId="2" fillId="2" borderId="0" xfId="0" applyFont="1" applyFill="1"/>
    <xf numFmtId="0" fontId="7" fillId="0" borderId="0" xfId="2"/>
    <xf numFmtId="9" fontId="0" fillId="0" borderId="0" xfId="0" applyNumberFormat="1"/>
    <xf numFmtId="0" fontId="0" fillId="2" borderId="0" xfId="0" applyFill="1"/>
    <xf numFmtId="37" fontId="0" fillId="3" borderId="0" xfId="1" applyNumberFormat="1" applyFont="1" applyFill="1"/>
    <xf numFmtId="37" fontId="0" fillId="0" borderId="0" xfId="1" applyNumberFormat="1" applyFont="1"/>
    <xf numFmtId="37" fontId="3" fillId="0" borderId="0" xfId="0" applyNumberFormat="1" applyFont="1" applyAlignment="1">
      <alignment horizontal="left"/>
    </xf>
    <xf numFmtId="37" fontId="3" fillId="3" borderId="0" xfId="1" applyNumberFormat="1" applyFont="1" applyFill="1"/>
    <xf numFmtId="37" fontId="3" fillId="0" borderId="0" xfId="1" applyNumberFormat="1" applyFont="1"/>
    <xf numFmtId="37" fontId="0" fillId="0" borderId="0" xfId="0" applyNumberFormat="1" applyFont="1" applyAlignment="1">
      <alignment horizontal="left"/>
    </xf>
    <xf numFmtId="37" fontId="1" fillId="0" borderId="0" xfId="1" applyNumberFormat="1" applyFont="1"/>
    <xf numFmtId="37" fontId="4" fillId="0" borderId="0" xfId="1" applyNumberFormat="1" applyFont="1"/>
    <xf numFmtId="37" fontId="4" fillId="3" borderId="0" xfId="0" applyNumberFormat="1" applyFont="1" applyFill="1"/>
    <xf numFmtId="37" fontId="4" fillId="3" borderId="0" xfId="1" applyNumberFormat="1" applyFont="1" applyFill="1"/>
    <xf numFmtId="0" fontId="0" fillId="0" borderId="0" xfId="0" applyAlignment="1">
      <alignment horizontal="left" indent="8"/>
    </xf>
    <xf numFmtId="0" fontId="3" fillId="3" borderId="0" xfId="0" applyFont="1" applyFill="1"/>
    <xf numFmtId="39" fontId="0" fillId="0" borderId="0" xfId="0" applyNumberFormat="1" applyFont="1" applyAlignment="1">
      <alignment horizontal="left"/>
    </xf>
    <xf numFmtId="39" fontId="3" fillId="0" borderId="0" xfId="0" applyNumberFormat="1" applyFont="1" applyAlignment="1">
      <alignment horizontal="left"/>
    </xf>
    <xf numFmtId="39" fontId="4" fillId="3" borderId="0" xfId="1" applyNumberFormat="1" applyFont="1" applyFill="1"/>
    <xf numFmtId="39" fontId="4" fillId="0" borderId="0" xfId="1" applyNumberFormat="1" applyFont="1"/>
    <xf numFmtId="39" fontId="3" fillId="0" borderId="0" xfId="0" applyNumberFormat="1" applyFont="1"/>
    <xf numFmtId="39" fontId="0" fillId="3" borderId="0" xfId="0" applyNumberFormat="1" applyFont="1" applyFill="1"/>
    <xf numFmtId="39" fontId="1" fillId="0" borderId="0" xfId="1" applyNumberFormat="1" applyFont="1"/>
    <xf numFmtId="39" fontId="0" fillId="0" borderId="0" xfId="0" applyNumberFormat="1" applyFont="1" applyAlignment="1">
      <alignment horizontal="left" indent="2"/>
    </xf>
    <xf numFmtId="37" fontId="0" fillId="0" borderId="0" xfId="0" applyNumberFormat="1" applyFont="1" applyAlignment="1">
      <alignment horizontal="left" indent="2"/>
    </xf>
    <xf numFmtId="37" fontId="0" fillId="3" borderId="0" xfId="0" applyNumberFormat="1" applyFont="1" applyFill="1"/>
    <xf numFmtId="166" fontId="0" fillId="3" borderId="0" xfId="0" applyNumberFormat="1" applyFont="1" applyFill="1"/>
    <xf numFmtId="166" fontId="1" fillId="3" borderId="0" xfId="1" applyNumberFormat="1" applyFont="1" applyFill="1"/>
    <xf numFmtId="166" fontId="1" fillId="0" borderId="0" xfId="1" applyNumberFormat="1" applyFont="1"/>
    <xf numFmtId="37" fontId="10" fillId="0" borderId="0" xfId="1" applyNumberFormat="1" applyFont="1"/>
    <xf numFmtId="37" fontId="10" fillId="3" borderId="0" xfId="1" applyNumberFormat="1" applyFont="1" applyFill="1"/>
    <xf numFmtId="7" fontId="0" fillId="3" borderId="0" xfId="0" applyNumberFormat="1" applyFill="1"/>
    <xf numFmtId="7" fontId="0" fillId="0" borderId="0" xfId="0" applyNumberFormat="1"/>
    <xf numFmtId="37" fontId="5" fillId="0" borderId="0" xfId="1" applyNumberFormat="1" applyFont="1"/>
    <xf numFmtId="39" fontId="0" fillId="0" borderId="0" xfId="0" applyNumberFormat="1"/>
    <xf numFmtId="37" fontId="0" fillId="0" borderId="0" xfId="0" applyNumberFormat="1" applyFont="1" applyAlignment="1">
      <alignment horizontal="left" indent="4"/>
    </xf>
    <xf numFmtId="164" fontId="4" fillId="0" borderId="0" xfId="1" applyNumberFormat="1" applyFont="1"/>
    <xf numFmtId="164" fontId="1" fillId="0" borderId="0" xfId="1" applyNumberFormat="1" applyFont="1"/>
    <xf numFmtId="164" fontId="4" fillId="3" borderId="0" xfId="0" applyNumberFormat="1" applyFont="1" applyFill="1"/>
    <xf numFmtId="164" fontId="4" fillId="3" borderId="0" xfId="1" applyNumberFormat="1" applyFont="1" applyFill="1"/>
    <xf numFmtId="164" fontId="1" fillId="3" borderId="0" xfId="1" applyNumberFormat="1" applyFont="1" applyFill="1"/>
    <xf numFmtId="9" fontId="0" fillId="0" borderId="0" xfId="1" applyFont="1"/>
    <xf numFmtId="168" fontId="0" fillId="3" borderId="0" xfId="0" applyNumberFormat="1" applyFont="1" applyFill="1"/>
    <xf numFmtId="168" fontId="1" fillId="3" borderId="0" xfId="1" applyNumberFormat="1" applyFont="1" applyFill="1"/>
    <xf numFmtId="168" fontId="1" fillId="0" borderId="0" xfId="1" applyNumberFormat="1" applyFont="1"/>
    <xf numFmtId="168" fontId="5" fillId="0" borderId="0" xfId="1" applyNumberFormat="1" applyFont="1"/>
    <xf numFmtId="168" fontId="5" fillId="3" borderId="0" xfId="1" applyNumberFormat="1" applyFont="1" applyFill="1"/>
    <xf numFmtId="37" fontId="1" fillId="0" borderId="0" xfId="1" applyNumberFormat="1" applyFont="1" applyAlignment="1">
      <alignment horizontal="right"/>
    </xf>
    <xf numFmtId="1" fontId="3" fillId="0" borderId="0" xfId="0" applyNumberFormat="1" applyFont="1" applyAlignment="1">
      <alignment horizontal="left"/>
    </xf>
    <xf numFmtId="1" fontId="3" fillId="3" borderId="0" xfId="0" applyNumberFormat="1" applyFont="1" applyFill="1" applyAlignment="1">
      <alignment horizontal="left"/>
    </xf>
    <xf numFmtId="1" fontId="3" fillId="0" borderId="0" xfId="1" applyNumberFormat="1" applyFont="1" applyAlignment="1">
      <alignment horizontal="left"/>
    </xf>
    <xf numFmtId="39" fontId="0" fillId="0" borderId="0" xfId="0" applyNumberFormat="1" applyFont="1" applyAlignment="1">
      <alignment horizontal="right"/>
    </xf>
    <xf numFmtId="39" fontId="0" fillId="3" borderId="0" xfId="0" applyNumberFormat="1" applyFont="1" applyFill="1" applyAlignment="1">
      <alignment horizontal="right"/>
    </xf>
    <xf numFmtId="39" fontId="1" fillId="0" borderId="0" xfId="1" applyNumberFormat="1" applyFont="1" applyAlignment="1">
      <alignment horizontal="right"/>
    </xf>
    <xf numFmtId="9" fontId="0" fillId="3" borderId="0" xfId="0" applyNumberFormat="1" applyFont="1" applyFill="1" applyAlignment="1">
      <alignment horizontal="right"/>
    </xf>
    <xf numFmtId="9" fontId="1" fillId="0" borderId="0" xfId="1" applyFont="1" applyAlignment="1">
      <alignment horizontal="right"/>
    </xf>
    <xf numFmtId="39" fontId="3" fillId="0" borderId="0" xfId="0" applyNumberFormat="1" applyFont="1" applyAlignment="1">
      <alignment horizontal="right"/>
    </xf>
    <xf numFmtId="37" fontId="0" fillId="3" borderId="0" xfId="0" applyNumberFormat="1" applyFont="1" applyFill="1" applyAlignment="1">
      <alignment horizontal="right"/>
    </xf>
    <xf numFmtId="0" fontId="2" fillId="0" borderId="0" xfId="0" applyFont="1" applyFill="1" applyAlignment="1">
      <alignment horizontal="left"/>
    </xf>
    <xf numFmtId="0" fontId="0" fillId="0" borderId="0" xfId="0" applyFill="1"/>
    <xf numFmtId="0" fontId="2" fillId="0" borderId="0" xfId="0" applyFont="1" applyFill="1"/>
    <xf numFmtId="0" fontId="6" fillId="0" borderId="0" xfId="0" applyFont="1" applyFill="1"/>
    <xf numFmtId="37" fontId="10" fillId="3" borderId="0" xfId="0" applyNumberFormat="1" applyFont="1" applyFill="1"/>
    <xf numFmtId="0" fontId="11" fillId="4" borderId="0" xfId="0" applyFont="1" applyFill="1" applyAlignment="1">
      <alignment horizontal="centerContinuous"/>
    </xf>
    <xf numFmtId="0" fontId="12" fillId="4" borderId="0" xfId="0" applyFont="1" applyFill="1" applyAlignment="1">
      <alignment horizontal="centerContinuous"/>
    </xf>
    <xf numFmtId="0" fontId="13" fillId="0" borderId="0" xfId="0" applyFont="1"/>
    <xf numFmtId="0" fontId="3" fillId="0" borderId="0" xfId="0" applyFont="1" applyAlignment="1">
      <alignment horizontal="center"/>
    </xf>
    <xf numFmtId="0" fontId="0" fillId="0" borderId="1" xfId="0" applyBorder="1" applyAlignment="1">
      <alignment horizontal="centerContinuous"/>
    </xf>
    <xf numFmtId="0" fontId="3" fillId="0" borderId="0" xfId="0" applyFont="1" applyAlignment="1">
      <alignment horizontal="centerContinuous"/>
    </xf>
    <xf numFmtId="0" fontId="3" fillId="0" borderId="0" xfId="0" quotePrefix="1" applyFont="1" applyAlignment="1">
      <alignment horizontal="center"/>
    </xf>
    <xf numFmtId="0" fontId="0" fillId="0" borderId="0" xfId="0" applyAlignment="1">
      <alignment horizontal="centerContinuous"/>
    </xf>
    <xf numFmtId="0" fontId="3" fillId="0" borderId="1" xfId="0" applyFont="1" applyBorder="1" applyAlignment="1">
      <alignment horizontal="center"/>
    </xf>
    <xf numFmtId="0" fontId="3" fillId="0" borderId="2" xfId="0" applyFont="1" applyBorder="1" applyAlignment="1">
      <alignment horizontal="center"/>
    </xf>
    <xf numFmtId="0" fontId="3" fillId="0" borderId="2" xfId="0" applyFont="1" applyBorder="1" applyAlignment="1">
      <alignment horizontal="center" wrapText="1"/>
    </xf>
    <xf numFmtId="0" fontId="0" fillId="0" borderId="1" xfId="0" applyBorder="1" applyAlignment="1">
      <alignment horizontal="center"/>
    </xf>
    <xf numFmtId="0" fontId="0" fillId="0" borderId="2" xfId="0" quotePrefix="1" applyBorder="1" applyAlignment="1">
      <alignment horizontal="center"/>
    </xf>
    <xf numFmtId="0" fontId="0" fillId="0" borderId="2" xfId="0" applyBorder="1" applyAlignment="1">
      <alignment horizontal="center"/>
    </xf>
    <xf numFmtId="0" fontId="0" fillId="0" borderId="2" xfId="0" applyBorder="1"/>
    <xf numFmtId="9" fontId="0" fillId="0" borderId="0" xfId="0" applyNumberFormat="1" applyAlignment="1">
      <alignment horizontal="center"/>
    </xf>
    <xf numFmtId="5" fontId="0" fillId="0" borderId="0" xfId="0" applyNumberFormat="1"/>
    <xf numFmtId="166" fontId="0" fillId="0" borderId="0" xfId="0" applyNumberFormat="1" applyAlignment="1">
      <alignment horizontal="center"/>
    </xf>
    <xf numFmtId="9" fontId="0" fillId="0" borderId="0" xfId="1" applyFont="1" applyAlignment="1">
      <alignment horizontal="center"/>
    </xf>
    <xf numFmtId="164" fontId="0" fillId="0" borderId="0" xfId="1" applyNumberFormat="1" applyFont="1" applyAlignment="1">
      <alignment horizontal="right"/>
    </xf>
    <xf numFmtId="170" fontId="0" fillId="0" borderId="0" xfId="0" applyNumberFormat="1" applyAlignment="1">
      <alignment horizontal="center"/>
    </xf>
    <xf numFmtId="7" fontId="15" fillId="0" borderId="0" xfId="0" applyNumberFormat="1" applyFont="1" applyAlignment="1">
      <alignment horizontal="center"/>
    </xf>
    <xf numFmtId="0" fontId="15" fillId="0" borderId="0" xfId="0" applyFont="1"/>
    <xf numFmtId="167" fontId="15" fillId="0" borderId="0" xfId="0" applyNumberFormat="1" applyFont="1"/>
    <xf numFmtId="5" fontId="15" fillId="0" borderId="0" xfId="0" applyNumberFormat="1" applyFont="1"/>
    <xf numFmtId="166" fontId="15" fillId="0" borderId="0" xfId="0" applyNumberFormat="1" applyFont="1" applyAlignment="1">
      <alignment horizontal="center"/>
    </xf>
    <xf numFmtId="164" fontId="15" fillId="0" borderId="0" xfId="1" applyNumberFormat="1" applyFont="1"/>
    <xf numFmtId="170" fontId="0" fillId="0" borderId="0" xfId="0" applyNumberFormat="1"/>
    <xf numFmtId="7" fontId="0" fillId="0" borderId="0" xfId="0" applyNumberFormat="1" applyAlignment="1">
      <alignment horizontal="center"/>
    </xf>
    <xf numFmtId="167" fontId="0" fillId="0" borderId="0" xfId="0" applyNumberFormat="1"/>
    <xf numFmtId="0" fontId="3" fillId="6" borderId="3" xfId="0" applyFont="1" applyFill="1" applyBorder="1"/>
    <xf numFmtId="0" fontId="3" fillId="6" borderId="4" xfId="0" applyFont="1" applyFill="1" applyBorder="1"/>
    <xf numFmtId="164" fontId="3" fillId="6" borderId="4" xfId="0" applyNumberFormat="1" applyFont="1" applyFill="1" applyBorder="1"/>
    <xf numFmtId="164" fontId="3" fillId="6" borderId="5" xfId="0" applyNumberFormat="1" applyFont="1" applyFill="1" applyBorder="1"/>
    <xf numFmtId="0" fontId="3" fillId="6" borderId="6" xfId="0" applyFont="1" applyFill="1" applyBorder="1"/>
    <xf numFmtId="0" fontId="3" fillId="6" borderId="0" xfId="0" applyFont="1" applyFill="1" applyBorder="1"/>
    <xf numFmtId="164" fontId="3" fillId="6" borderId="0" xfId="0" applyNumberFormat="1" applyFont="1" applyFill="1" applyBorder="1"/>
    <xf numFmtId="164" fontId="3" fillId="6" borderId="7" xfId="0" applyNumberFormat="1" applyFont="1" applyFill="1" applyBorder="1"/>
    <xf numFmtId="0" fontId="3" fillId="6" borderId="8" xfId="0" applyFont="1" applyFill="1" applyBorder="1"/>
    <xf numFmtId="0" fontId="3" fillId="6" borderId="9" xfId="0" applyFont="1" applyFill="1" applyBorder="1"/>
    <xf numFmtId="164" fontId="3" fillId="6" borderId="9" xfId="0" applyNumberFormat="1" applyFont="1" applyFill="1" applyBorder="1"/>
    <xf numFmtId="164" fontId="3" fillId="6" borderId="10" xfId="0" applyNumberFormat="1" applyFont="1" applyFill="1" applyBorder="1"/>
    <xf numFmtId="5" fontId="3" fillId="5" borderId="3" xfId="0" applyNumberFormat="1" applyFont="1" applyFill="1" applyBorder="1"/>
    <xf numFmtId="0" fontId="3" fillId="5" borderId="4" xfId="0" applyFont="1" applyFill="1" applyBorder="1"/>
    <xf numFmtId="166" fontId="3" fillId="5" borderId="4" xfId="0" applyNumberFormat="1" applyFont="1" applyFill="1" applyBorder="1" applyAlignment="1">
      <alignment horizontal="center"/>
    </xf>
    <xf numFmtId="0" fontId="3" fillId="5" borderId="4" xfId="0" applyFont="1" applyFill="1" applyBorder="1" applyAlignment="1">
      <alignment horizontal="center"/>
    </xf>
    <xf numFmtId="9" fontId="3" fillId="5" borderId="4" xfId="0" applyNumberFormat="1" applyFont="1" applyFill="1" applyBorder="1" applyAlignment="1">
      <alignment horizontal="center"/>
    </xf>
    <xf numFmtId="171" fontId="3" fillId="5" borderId="4" xfId="0" applyNumberFormat="1" applyFont="1" applyFill="1" applyBorder="1" applyAlignment="1">
      <alignment horizontal="center"/>
    </xf>
    <xf numFmtId="166" fontId="3" fillId="5" borderId="5" xfId="0" applyNumberFormat="1" applyFont="1" applyFill="1" applyBorder="1" applyAlignment="1">
      <alignment horizontal="center"/>
    </xf>
    <xf numFmtId="0" fontId="3" fillId="5" borderId="8" xfId="0" applyFont="1" applyFill="1" applyBorder="1"/>
    <xf numFmtId="0" fontId="3" fillId="5" borderId="9" xfId="0" applyFont="1" applyFill="1" applyBorder="1"/>
    <xf numFmtId="166" fontId="3" fillId="5" borderId="9" xfId="0" applyNumberFormat="1" applyFont="1" applyFill="1" applyBorder="1" applyAlignment="1">
      <alignment horizontal="center"/>
    </xf>
    <xf numFmtId="0" fontId="3" fillId="5" borderId="9" xfId="0" applyFont="1" applyFill="1" applyBorder="1" applyAlignment="1">
      <alignment horizontal="center"/>
    </xf>
    <xf numFmtId="9" fontId="3" fillId="5" borderId="9" xfId="0" applyNumberFormat="1" applyFont="1" applyFill="1" applyBorder="1" applyAlignment="1">
      <alignment horizontal="center"/>
    </xf>
    <xf numFmtId="171" fontId="3" fillId="5" borderId="9" xfId="0" applyNumberFormat="1" applyFont="1" applyFill="1" applyBorder="1" applyAlignment="1">
      <alignment horizontal="center"/>
    </xf>
    <xf numFmtId="166" fontId="3" fillId="5" borderId="10" xfId="0" applyNumberFormat="1" applyFont="1" applyFill="1" applyBorder="1" applyAlignment="1">
      <alignment horizontal="center"/>
    </xf>
    <xf numFmtId="0" fontId="2" fillId="2" borderId="0" xfId="0" applyFont="1" applyFill="1" applyAlignment="1"/>
    <xf numFmtId="0" fontId="0" fillId="0" borderId="9" xfId="0" applyBorder="1"/>
    <xf numFmtId="0" fontId="0" fillId="0" borderId="9" xfId="0" applyNumberFormat="1" applyBorder="1"/>
    <xf numFmtId="1" fontId="0" fillId="0" borderId="9" xfId="0" applyNumberFormat="1" applyBorder="1"/>
    <xf numFmtId="1" fontId="0" fillId="0" borderId="0" xfId="0" applyNumberFormat="1" applyBorder="1"/>
    <xf numFmtId="0" fontId="0" fillId="0" borderId="0" xfId="0" applyBorder="1"/>
    <xf numFmtId="0" fontId="0" fillId="0" borderId="3" xfId="0" applyBorder="1"/>
    <xf numFmtId="1" fontId="0" fillId="0" borderId="4" xfId="0" applyNumberFormat="1" applyBorder="1"/>
    <xf numFmtId="0" fontId="0" fillId="0" borderId="5" xfId="0" applyBorder="1"/>
    <xf numFmtId="0" fontId="0" fillId="0" borderId="8" xfId="0" applyBorder="1"/>
    <xf numFmtId="0" fontId="0" fillId="0" borderId="10" xfId="0" applyBorder="1"/>
    <xf numFmtId="165" fontId="0" fillId="0" borderId="9" xfId="1" applyNumberFormat="1" applyFont="1" applyBorder="1"/>
    <xf numFmtId="41" fontId="0" fillId="0" borderId="0" xfId="0" applyNumberFormat="1"/>
    <xf numFmtId="41" fontId="0" fillId="0" borderId="9" xfId="0" applyNumberFormat="1" applyBorder="1"/>
    <xf numFmtId="165" fontId="0" fillId="0" borderId="9" xfId="0" applyNumberFormat="1" applyBorder="1"/>
    <xf numFmtId="167" fontId="0" fillId="0" borderId="9" xfId="1" applyNumberFormat="1" applyFont="1" applyBorder="1"/>
    <xf numFmtId="2" fontId="0" fillId="0" borderId="9" xfId="0" applyNumberFormat="1" applyBorder="1"/>
    <xf numFmtId="37" fontId="0" fillId="0" borderId="9" xfId="0" applyNumberFormat="1" applyBorder="1"/>
    <xf numFmtId="166" fontId="0" fillId="0" borderId="0" xfId="0" applyNumberFormat="1"/>
    <xf numFmtId="168" fontId="0" fillId="0" borderId="0" xfId="0" applyNumberFormat="1"/>
    <xf numFmtId="1" fontId="6" fillId="0" borderId="0" xfId="0" applyNumberFormat="1" applyFont="1"/>
    <xf numFmtId="9" fontId="0" fillId="0" borderId="9" xfId="0" applyNumberFormat="1" applyBorder="1"/>
    <xf numFmtId="164" fontId="0" fillId="0" borderId="0" xfId="0" applyNumberFormat="1"/>
    <xf numFmtId="0" fontId="0" fillId="0" borderId="1" xfId="0" applyBorder="1" applyAlignment="1">
      <alignment horizontal="center"/>
    </xf>
    <xf numFmtId="0" fontId="2" fillId="2" borderId="0" xfId="0" applyFont="1" applyFill="1" applyAlignment="1">
      <alignment horizontal="left"/>
    </xf>
    <xf numFmtId="0" fontId="0" fillId="0" borderId="0" xfId="0" applyAlignment="1">
      <alignment horizontal="center"/>
    </xf>
    <xf numFmtId="0" fontId="0" fillId="0" borderId="0" xfId="0" applyAlignment="1">
      <alignment wrapText="1"/>
    </xf>
    <xf numFmtId="9" fontId="3" fillId="0" borderId="0" xfId="1" applyFont="1"/>
    <xf numFmtId="0" fontId="3" fillId="0" borderId="0" xfId="0" applyFont="1" applyBorder="1"/>
    <xf numFmtId="0" fontId="3" fillId="0" borderId="0" xfId="0" applyFont="1" applyBorder="1" applyAlignment="1">
      <alignment horizontal="right"/>
    </xf>
    <xf numFmtId="9" fontId="0" fillId="0" borderId="0" xfId="0" applyNumberFormat="1" applyBorder="1"/>
    <xf numFmtId="168" fontId="0" fillId="0" borderId="0" xfId="3" applyNumberFormat="1" applyFont="1"/>
    <xf numFmtId="168" fontId="0" fillId="3" borderId="0" xfId="0" applyNumberFormat="1" applyFill="1"/>
    <xf numFmtId="0" fontId="3" fillId="0" borderId="0" xfId="0" applyFont="1" applyAlignment="1">
      <alignment horizontal="left" indent="4"/>
    </xf>
    <xf numFmtId="164" fontId="0" fillId="3" borderId="0" xfId="0" applyNumberFormat="1" applyFill="1"/>
    <xf numFmtId="0" fontId="0" fillId="0" borderId="0" xfId="0" applyFont="1" applyAlignment="1">
      <alignment horizontal="left"/>
    </xf>
    <xf numFmtId="164" fontId="0" fillId="3" borderId="0" xfId="0" applyNumberFormat="1" applyFont="1" applyFill="1"/>
    <xf numFmtId="164" fontId="0" fillId="0" borderId="0" xfId="0" applyNumberFormat="1" applyFont="1"/>
    <xf numFmtId="0" fontId="0" fillId="0" borderId="0" xfId="0" applyFont="1"/>
    <xf numFmtId="164" fontId="3" fillId="3" borderId="0" xfId="0" applyNumberFormat="1" applyFont="1" applyFill="1"/>
    <xf numFmtId="164" fontId="3" fillId="0" borderId="0" xfId="0" applyNumberFormat="1" applyFont="1"/>
    <xf numFmtId="164" fontId="3" fillId="0" borderId="0" xfId="1" applyNumberFormat="1" applyFont="1"/>
    <xf numFmtId="0" fontId="3" fillId="0" borderId="2" xfId="0" applyFont="1" applyBorder="1"/>
    <xf numFmtId="37" fontId="3" fillId="3" borderId="2" xfId="0" applyNumberFormat="1" applyFont="1" applyFill="1" applyBorder="1"/>
    <xf numFmtId="37" fontId="3" fillId="0" borderId="2" xfId="0" applyNumberFormat="1" applyFont="1" applyBorder="1"/>
    <xf numFmtId="166" fontId="0" fillId="3" borderId="0" xfId="0" applyNumberFormat="1" applyFill="1"/>
    <xf numFmtId="0" fontId="3" fillId="0" borderId="2" xfId="0" applyFont="1" applyBorder="1" applyAlignment="1">
      <alignment horizontal="left" indent="6"/>
    </xf>
    <xf numFmtId="0" fontId="3" fillId="0" borderId="2" xfId="0" applyFont="1" applyBorder="1" applyAlignment="1">
      <alignment horizontal="left"/>
    </xf>
    <xf numFmtId="0" fontId="3" fillId="3" borderId="2" xfId="0" applyFont="1" applyFill="1" applyBorder="1"/>
    <xf numFmtId="164" fontId="3" fillId="3" borderId="2" xfId="1" applyNumberFormat="1" applyFont="1" applyFill="1" applyBorder="1"/>
    <xf numFmtId="164" fontId="3" fillId="0" borderId="2" xfId="1" applyNumberFormat="1" applyFont="1" applyBorder="1"/>
    <xf numFmtId="0" fontId="0" fillId="0" borderId="0" xfId="0" applyFont="1" applyAlignment="1">
      <alignment horizontal="left" indent="3"/>
    </xf>
    <xf numFmtId="0" fontId="0" fillId="0" borderId="0" xfId="0" applyFont="1" applyAlignment="1">
      <alignment horizontal="left" indent="6"/>
    </xf>
    <xf numFmtId="0" fontId="0" fillId="7" borderId="0" xfId="0" applyFill="1"/>
    <xf numFmtId="39" fontId="3" fillId="7" borderId="0" xfId="0" applyNumberFormat="1" applyFont="1" applyFill="1"/>
    <xf numFmtId="0" fontId="3" fillId="8" borderId="0" xfId="0" applyFont="1" applyFill="1"/>
    <xf numFmtId="0" fontId="0" fillId="8" borderId="0" xfId="0" applyFill="1"/>
    <xf numFmtId="39" fontId="3" fillId="8" borderId="0" xfId="0" applyNumberFormat="1" applyFont="1" applyFill="1"/>
    <xf numFmtId="1" fontId="3" fillId="8" borderId="0" xfId="0" applyNumberFormat="1" applyFont="1" applyFill="1" applyAlignment="1">
      <alignment horizontal="left"/>
    </xf>
    <xf numFmtId="39" fontId="3" fillId="8" borderId="0" xfId="0" applyNumberFormat="1" applyFont="1" applyFill="1" applyAlignment="1">
      <alignment horizontal="right"/>
    </xf>
    <xf numFmtId="37" fontId="4" fillId="0" borderId="0" xfId="0" applyNumberFormat="1" applyFont="1"/>
    <xf numFmtId="37" fontId="3" fillId="8" borderId="0" xfId="0" applyNumberFormat="1" applyFont="1" applyFill="1"/>
    <xf numFmtId="37" fontId="4" fillId="8" borderId="0" xfId="0" applyNumberFormat="1" applyFont="1" applyFill="1"/>
    <xf numFmtId="37" fontId="0" fillId="8" borderId="0" xfId="0" applyNumberFormat="1" applyFill="1"/>
    <xf numFmtId="164" fontId="4" fillId="8" borderId="0" xfId="1" applyNumberFormat="1" applyFont="1" applyFill="1"/>
    <xf numFmtId="1" fontId="4" fillId="0" borderId="0" xfId="0" applyNumberFormat="1" applyFont="1"/>
    <xf numFmtId="1" fontId="4" fillId="0" borderId="0" xfId="1" applyNumberFormat="1" applyFont="1"/>
    <xf numFmtId="1" fontId="4" fillId="8" borderId="0" xfId="0" applyNumberFormat="1" applyFont="1" applyFill="1"/>
    <xf numFmtId="10" fontId="0" fillId="0" borderId="0" xfId="1" applyNumberFormat="1" applyFont="1"/>
    <xf numFmtId="168" fontId="4" fillId="0" borderId="0" xfId="3" applyNumberFormat="1" applyFont="1"/>
    <xf numFmtId="168" fontId="4" fillId="0" borderId="0" xfId="0" applyNumberFormat="1" applyFont="1"/>
    <xf numFmtId="168" fontId="4" fillId="3" borderId="0" xfId="0" applyNumberFormat="1" applyFont="1" applyFill="1"/>
    <xf numFmtId="168" fontId="0" fillId="8" borderId="0" xfId="0" applyNumberFormat="1" applyFill="1"/>
    <xf numFmtId="168" fontId="4" fillId="8" borderId="0" xfId="0" applyNumberFormat="1" applyFont="1" applyFill="1"/>
    <xf numFmtId="164" fontId="4" fillId="0" borderId="0" xfId="3" applyNumberFormat="1" applyFont="1"/>
    <xf numFmtId="164" fontId="4" fillId="0" borderId="0" xfId="0" applyNumberFormat="1" applyFont="1"/>
    <xf numFmtId="164" fontId="4" fillId="8" borderId="0" xfId="0" applyNumberFormat="1" applyFont="1" applyFill="1"/>
    <xf numFmtId="0" fontId="0" fillId="0" borderId="0" xfId="0" applyFill="1" applyBorder="1"/>
    <xf numFmtId="37" fontId="0" fillId="0" borderId="0" xfId="0" applyNumberFormat="1" applyBorder="1"/>
    <xf numFmtId="165" fontId="0" fillId="0" borderId="0" xfId="0" applyNumberFormat="1" applyBorder="1"/>
    <xf numFmtId="9" fontId="3" fillId="0" borderId="0" xfId="1" applyFont="1" applyBorder="1"/>
    <xf numFmtId="0" fontId="2" fillId="7" borderId="0" xfId="0" applyFont="1" applyFill="1" applyAlignment="1"/>
    <xf numFmtId="0" fontId="0" fillId="0" borderId="0" xfId="0" applyBorder="1" applyAlignment="1">
      <alignment horizontal="left" indent="3"/>
    </xf>
    <xf numFmtId="2" fontId="0" fillId="0" borderId="0" xfId="0" applyNumberFormat="1" applyBorder="1"/>
    <xf numFmtId="0" fontId="0" fillId="0" borderId="0" xfId="0" applyFill="1" applyBorder="1" applyAlignment="1">
      <alignment horizontal="left" indent="2"/>
    </xf>
    <xf numFmtId="0" fontId="0" fillId="0" borderId="0" xfId="0" applyFill="1" applyBorder="1" applyAlignment="1">
      <alignment horizontal="left" indent="3"/>
    </xf>
    <xf numFmtId="172" fontId="0" fillId="0" borderId="0" xfId="0" applyNumberFormat="1" applyBorder="1"/>
    <xf numFmtId="172" fontId="0" fillId="0" borderId="0" xfId="0" applyNumberFormat="1"/>
    <xf numFmtId="0" fontId="0" fillId="0" borderId="0" xfId="0" applyFont="1" applyFill="1" applyBorder="1" applyAlignment="1">
      <alignment horizontal="left" indent="3"/>
    </xf>
    <xf numFmtId="0" fontId="0" fillId="9" borderId="0" xfId="0" applyFont="1" applyFill="1" applyBorder="1" applyAlignment="1">
      <alignment horizontal="left"/>
    </xf>
    <xf numFmtId="0" fontId="0" fillId="0" borderId="0" xfId="0" applyFont="1" applyBorder="1"/>
    <xf numFmtId="0" fontId="0" fillId="9" borderId="11" xfId="0" applyFont="1" applyFill="1" applyBorder="1" applyAlignment="1">
      <alignment horizontal="left"/>
    </xf>
    <xf numFmtId="0" fontId="0" fillId="0" borderId="12" xfId="0" applyFont="1" applyFill="1" applyBorder="1" applyAlignment="1">
      <alignment horizontal="left"/>
    </xf>
    <xf numFmtId="0" fontId="4" fillId="0" borderId="0" xfId="0" applyFont="1" applyBorder="1"/>
    <xf numFmtId="164" fontId="0" fillId="8" borderId="0" xfId="0" applyNumberFormat="1" applyFill="1"/>
    <xf numFmtId="9" fontId="5" fillId="0" borderId="0" xfId="0" applyNumberFormat="1" applyFont="1"/>
    <xf numFmtId="164" fontId="0" fillId="8" borderId="0" xfId="0" applyNumberFormat="1" applyFont="1" applyFill="1"/>
    <xf numFmtId="164" fontId="3" fillId="8" borderId="2" xfId="0" applyNumberFormat="1" applyFont="1" applyFill="1" applyBorder="1"/>
    <xf numFmtId="164" fontId="5" fillId="0" borderId="0" xfId="0" applyNumberFormat="1" applyFont="1"/>
    <xf numFmtId="164" fontId="0" fillId="8" borderId="0" xfId="1" applyNumberFormat="1" applyFont="1" applyFill="1"/>
    <xf numFmtId="164" fontId="16" fillId="0" borderId="0" xfId="0" applyNumberFormat="1" applyFont="1"/>
    <xf numFmtId="37" fontId="0" fillId="8" borderId="0" xfId="0" applyNumberFormat="1" applyFont="1" applyFill="1"/>
    <xf numFmtId="37" fontId="0" fillId="0" borderId="0" xfId="0" applyNumberFormat="1" applyFont="1" applyAlignment="1">
      <alignment horizontal="left" indent="6"/>
    </xf>
    <xf numFmtId="37" fontId="0" fillId="0" borderId="0" xfId="0" applyNumberFormat="1" applyAlignment="1">
      <alignment horizontal="left"/>
    </xf>
    <xf numFmtId="37" fontId="5" fillId="0" borderId="0" xfId="0" applyNumberFormat="1" applyFont="1"/>
    <xf numFmtId="0" fontId="0" fillId="0" borderId="0" xfId="0" applyAlignment="1">
      <alignment horizontal="right"/>
    </xf>
    <xf numFmtId="37" fontId="3" fillId="8" borderId="2" xfId="0" applyNumberFormat="1" applyFont="1" applyFill="1" applyBorder="1"/>
    <xf numFmtId="0" fontId="4" fillId="0" borderId="0" xfId="0" applyFont="1" applyAlignment="1">
      <alignment horizontal="left"/>
    </xf>
    <xf numFmtId="0" fontId="4" fillId="0" borderId="0" xfId="0" applyFont="1" applyAlignment="1">
      <alignment horizontal="left" indent="4"/>
    </xf>
    <xf numFmtId="168" fontId="5" fillId="0" borderId="0" xfId="3" applyNumberFormat="1" applyFont="1"/>
    <xf numFmtId="168" fontId="5" fillId="0" borderId="0" xfId="0" applyNumberFormat="1" applyFont="1"/>
    <xf numFmtId="7" fontId="0" fillId="8" borderId="0" xfId="0" applyNumberFormat="1" applyFill="1"/>
    <xf numFmtId="166" fontId="5" fillId="0" borderId="0" xfId="0" applyNumberFormat="1" applyFont="1"/>
    <xf numFmtId="166" fontId="5" fillId="8" borderId="0" xfId="0" applyNumberFormat="1" applyFont="1" applyFill="1"/>
    <xf numFmtId="0" fontId="14" fillId="0" borderId="0" xfId="0" applyFont="1"/>
    <xf numFmtId="39" fontId="14" fillId="0" borderId="0" xfId="0" applyNumberFormat="1" applyFont="1"/>
    <xf numFmtId="1" fontId="14" fillId="0" borderId="0" xfId="0" applyNumberFormat="1" applyFont="1" applyAlignment="1">
      <alignment horizontal="left"/>
    </xf>
    <xf numFmtId="39" fontId="14" fillId="0" borderId="0" xfId="0" applyNumberFormat="1" applyFont="1" applyAlignment="1">
      <alignment horizontal="right"/>
    </xf>
    <xf numFmtId="0" fontId="0" fillId="9" borderId="0" xfId="0" applyFill="1"/>
    <xf numFmtId="0" fontId="0" fillId="9" borderId="0" xfId="0" applyFill="1" applyAlignment="1">
      <alignment horizontal="right"/>
    </xf>
    <xf numFmtId="0" fontId="0" fillId="9" borderId="0" xfId="0" applyFill="1" applyAlignment="1">
      <alignment horizontal="center"/>
    </xf>
    <xf numFmtId="172" fontId="0" fillId="9" borderId="0" xfId="0" applyNumberFormat="1" applyFill="1"/>
    <xf numFmtId="9" fontId="0" fillId="9" borderId="0" xfId="1" applyFont="1" applyFill="1"/>
    <xf numFmtId="10" fontId="0" fillId="9" borderId="0" xfId="1" applyNumberFormat="1" applyFont="1" applyFill="1"/>
    <xf numFmtId="37" fontId="3" fillId="0" borderId="0" xfId="0" applyNumberFormat="1" applyFont="1" applyFill="1"/>
    <xf numFmtId="37" fontId="0" fillId="0" borderId="0" xfId="0" applyNumberFormat="1" applyFill="1"/>
    <xf numFmtId="0" fontId="3" fillId="0" borderId="0" xfId="0" applyFont="1" applyFill="1"/>
    <xf numFmtId="39" fontId="3" fillId="0" borderId="0" xfId="0" applyNumberFormat="1" applyFont="1" applyFill="1"/>
    <xf numFmtId="1" fontId="3" fillId="0" borderId="0" xfId="0" applyNumberFormat="1" applyFont="1" applyFill="1" applyAlignment="1">
      <alignment horizontal="left"/>
    </xf>
    <xf numFmtId="39" fontId="3" fillId="0" borderId="0" xfId="0" applyNumberFormat="1" applyFont="1" applyFill="1" applyAlignment="1">
      <alignment horizontal="right"/>
    </xf>
    <xf numFmtId="37" fontId="5" fillId="0" borderId="0" xfId="0" applyNumberFormat="1" applyFont="1" applyFill="1"/>
    <xf numFmtId="165" fontId="0" fillId="0" borderId="0" xfId="0" applyNumberFormat="1" applyFont="1"/>
    <xf numFmtId="165" fontId="0" fillId="3" borderId="0" xfId="0" applyNumberFormat="1" applyFont="1" applyFill="1"/>
    <xf numFmtId="165" fontId="0" fillId="8" borderId="0" xfId="0" applyNumberFormat="1" applyFill="1"/>
    <xf numFmtId="165" fontId="0" fillId="0" borderId="0" xfId="0" applyNumberFormat="1" applyFill="1"/>
    <xf numFmtId="37" fontId="16" fillId="0" borderId="0" xfId="0" applyNumberFormat="1" applyFont="1"/>
    <xf numFmtId="0" fontId="0" fillId="0" borderId="0" xfId="0" applyFont="1" applyFill="1"/>
    <xf numFmtId="164" fontId="1" fillId="8" borderId="0" xfId="1" applyNumberFormat="1" applyFont="1" applyFill="1"/>
    <xf numFmtId="167" fontId="0" fillId="0" borderId="0" xfId="1" applyNumberFormat="1" applyFont="1"/>
    <xf numFmtId="167" fontId="1" fillId="0" borderId="0" xfId="1" applyNumberFormat="1" applyFont="1"/>
    <xf numFmtId="167" fontId="1" fillId="3" borderId="0" xfId="1" applyNumberFormat="1" applyFont="1" applyFill="1"/>
    <xf numFmtId="167" fontId="0" fillId="0" borderId="0" xfId="0" applyNumberFormat="1" applyFont="1"/>
    <xf numFmtId="167" fontId="0" fillId="8" borderId="0" xfId="0" applyNumberFormat="1" applyFont="1" applyFill="1"/>
    <xf numFmtId="39" fontId="0" fillId="2" borderId="0" xfId="0" applyNumberFormat="1" applyFont="1" applyFill="1" applyAlignment="1">
      <alignment horizontal="left"/>
    </xf>
    <xf numFmtId="39" fontId="2" fillId="2" borderId="0" xfId="0" applyNumberFormat="1" applyFont="1" applyFill="1" applyAlignment="1">
      <alignment horizontal="left"/>
    </xf>
    <xf numFmtId="14" fontId="2" fillId="2" borderId="0" xfId="0" applyNumberFormat="1" applyFont="1" applyFill="1"/>
    <xf numFmtId="14" fontId="2" fillId="2" borderId="0" xfId="0" applyNumberFormat="1" applyFont="1" applyFill="1" applyAlignment="1">
      <alignment horizontal="right"/>
    </xf>
    <xf numFmtId="0" fontId="2" fillId="7" borderId="0" xfId="0" applyFont="1" applyFill="1"/>
    <xf numFmtId="14" fontId="2" fillId="7" borderId="0" xfId="0" applyNumberFormat="1" applyFont="1" applyFill="1"/>
    <xf numFmtId="14" fontId="2" fillId="7" borderId="0" xfId="0" applyNumberFormat="1" applyFont="1" applyFill="1" applyAlignment="1">
      <alignment horizontal="right"/>
    </xf>
    <xf numFmtId="164" fontId="1" fillId="0" borderId="0" xfId="1" applyNumberFormat="1" applyFont="1" applyAlignment="1">
      <alignment horizontal="right"/>
    </xf>
    <xf numFmtId="168" fontId="1" fillId="0" borderId="0" xfId="3" applyNumberFormat="1" applyFont="1"/>
    <xf numFmtId="168" fontId="1" fillId="0" borderId="0" xfId="1" applyNumberFormat="1" applyFont="1" applyAlignment="1">
      <alignment horizontal="right"/>
    </xf>
    <xf numFmtId="39" fontId="0" fillId="0" borderId="0" xfId="0" applyNumberFormat="1" applyFont="1" applyAlignment="1">
      <alignment horizontal="left" indent="5"/>
    </xf>
    <xf numFmtId="168" fontId="0" fillId="0" borderId="13" xfId="0" applyNumberFormat="1" applyBorder="1"/>
    <xf numFmtId="1" fontId="0" fillId="0" borderId="14" xfId="0" applyNumberFormat="1" applyBorder="1"/>
    <xf numFmtId="1" fontId="0" fillId="0" borderId="15" xfId="0" applyNumberFormat="1" applyBorder="1"/>
    <xf numFmtId="0" fontId="17" fillId="0" borderId="0" xfId="0" applyFont="1" applyAlignment="1">
      <alignment horizontal="left"/>
    </xf>
    <xf numFmtId="0" fontId="18" fillId="0" borderId="13" xfId="0" applyFont="1" applyBorder="1" applyAlignment="1">
      <alignment horizontal="right" vertical="center"/>
    </xf>
    <xf numFmtId="0" fontId="19" fillId="0" borderId="14" xfId="0" applyFont="1" applyBorder="1" applyAlignment="1">
      <alignment horizontal="right" vertical="center"/>
    </xf>
    <xf numFmtId="0" fontId="5" fillId="0" borderId="14" xfId="0" applyFont="1" applyBorder="1" applyAlignment="1">
      <alignment horizontal="right" vertical="center"/>
    </xf>
    <xf numFmtId="0" fontId="15" fillId="0" borderId="14" xfId="0" applyFont="1" applyBorder="1" applyAlignment="1">
      <alignment horizontal="right" vertical="center"/>
    </xf>
    <xf numFmtId="0" fontId="0" fillId="0" borderId="14" xfId="0" applyBorder="1" applyAlignment="1">
      <alignment horizontal="right" vertical="center"/>
    </xf>
    <xf numFmtId="0" fontId="20" fillId="0" borderId="14" xfId="0" applyFont="1" applyBorder="1" applyAlignment="1">
      <alignment horizontal="right" vertical="center"/>
    </xf>
    <xf numFmtId="0" fontId="0" fillId="0" borderId="14" xfId="0" applyBorder="1"/>
    <xf numFmtId="0" fontId="0" fillId="7" borderId="15" xfId="0" applyFill="1" applyBorder="1"/>
    <xf numFmtId="0" fontId="2" fillId="2" borderId="0" xfId="0" applyFont="1" applyFill="1" applyAlignment="1">
      <alignment horizontal="left"/>
    </xf>
    <xf numFmtId="0" fontId="4" fillId="0" borderId="0" xfId="0" applyFont="1" applyAlignment="1">
      <alignment horizontal="left" indent="10"/>
    </xf>
    <xf numFmtId="164" fontId="17" fillId="0" borderId="0" xfId="1" applyNumberFormat="1" applyFont="1"/>
    <xf numFmtId="164" fontId="17" fillId="0" borderId="0" xfId="0" applyNumberFormat="1" applyFont="1"/>
    <xf numFmtId="164" fontId="17" fillId="8" borderId="0" xfId="0" applyNumberFormat="1" applyFont="1" applyFill="1"/>
    <xf numFmtId="9" fontId="0" fillId="0" borderId="0" xfId="1" applyFont="1" applyBorder="1" applyAlignment="1">
      <alignment horizontal="right"/>
    </xf>
    <xf numFmtId="0" fontId="0" fillId="0" borderId="0" xfId="0" applyAlignment="1"/>
    <xf numFmtId="0" fontId="0" fillId="0" borderId="0" xfId="0" applyFill="1" applyBorder="1" applyAlignment="1"/>
    <xf numFmtId="9" fontId="0" fillId="0" borderId="0" xfId="1" applyFont="1" applyBorder="1" applyAlignment="1"/>
    <xf numFmtId="0" fontId="0" fillId="0" borderId="0" xfId="0" applyFill="1" applyBorder="1" applyAlignment="1">
      <alignment horizontal="left" indent="5"/>
    </xf>
    <xf numFmtId="9" fontId="0" fillId="0" borderId="0" xfId="0" applyNumberFormat="1" applyBorder="1" applyAlignment="1">
      <alignment horizontal="right"/>
    </xf>
    <xf numFmtId="9" fontId="0" fillId="0" borderId="0" xfId="0" applyNumberFormat="1" applyAlignment="1">
      <alignment horizontal="right"/>
    </xf>
    <xf numFmtId="0" fontId="0" fillId="0" borderId="0" xfId="0" applyBorder="1" applyAlignment="1">
      <alignment horizontal="right"/>
    </xf>
    <xf numFmtId="0" fontId="0" fillId="0" borderId="0" xfId="0" applyFill="1" applyBorder="1" applyAlignment="1">
      <alignment horizontal="right"/>
    </xf>
    <xf numFmtId="1" fontId="0" fillId="0" borderId="0" xfId="0" applyNumberFormat="1" applyBorder="1" applyAlignment="1">
      <alignment horizontal="right"/>
    </xf>
    <xf numFmtId="0" fontId="4" fillId="0" borderId="0" xfId="0" applyFont="1" applyBorder="1" applyAlignment="1">
      <alignment horizontal="right"/>
    </xf>
    <xf numFmtId="164" fontId="4" fillId="0" borderId="0" xfId="1" applyNumberFormat="1" applyFont="1" applyBorder="1" applyAlignment="1">
      <alignment horizontal="right"/>
    </xf>
    <xf numFmtId="37" fontId="3" fillId="0" borderId="0" xfId="0" applyNumberFormat="1" applyFont="1" applyAlignment="1"/>
    <xf numFmtId="37" fontId="0" fillId="0" borderId="0" xfId="0" applyNumberFormat="1" applyFont="1" applyAlignment="1"/>
    <xf numFmtId="9" fontId="0" fillId="0" borderId="0" xfId="0" applyNumberFormat="1" applyAlignment="1"/>
    <xf numFmtId="9" fontId="3" fillId="0" borderId="0" xfId="1" applyFont="1" applyAlignment="1"/>
    <xf numFmtId="0" fontId="3" fillId="0" borderId="0" xfId="0" applyFont="1" applyAlignment="1"/>
    <xf numFmtId="1" fontId="0" fillId="0" borderId="0" xfId="0" applyNumberFormat="1" applyAlignment="1"/>
    <xf numFmtId="0" fontId="0" fillId="0" borderId="0" xfId="0" applyBorder="1" applyAlignment="1"/>
    <xf numFmtId="165" fontId="0" fillId="0" borderId="0" xfId="0" applyNumberFormat="1" applyBorder="1" applyAlignment="1"/>
    <xf numFmtId="1" fontId="0" fillId="0" borderId="0" xfId="0" applyNumberFormat="1" applyBorder="1" applyAlignment="1"/>
    <xf numFmtId="172" fontId="0" fillId="0" borderId="0" xfId="0" applyNumberFormat="1" applyBorder="1" applyAlignment="1"/>
    <xf numFmtId="0" fontId="4" fillId="0" borderId="0" xfId="0" applyFont="1" applyBorder="1" applyAlignment="1"/>
    <xf numFmtId="164" fontId="4" fillId="0" borderId="0" xfId="1" applyNumberFormat="1" applyFont="1" applyBorder="1" applyAlignment="1"/>
    <xf numFmtId="9" fontId="0" fillId="0" borderId="0" xfId="0" applyNumberFormat="1" applyFill="1" applyBorder="1" applyAlignment="1">
      <alignment horizontal="right"/>
    </xf>
    <xf numFmtId="1" fontId="3" fillId="0" borderId="0" xfId="0" applyNumberFormat="1" applyFont="1" applyBorder="1" applyAlignment="1">
      <alignment horizontal="right"/>
    </xf>
    <xf numFmtId="167" fontId="0" fillId="0" borderId="0" xfId="0" applyNumberFormat="1" applyBorder="1" applyAlignment="1">
      <alignment horizontal="right"/>
    </xf>
    <xf numFmtId="37" fontId="0" fillId="0" borderId="0" xfId="0" applyNumberFormat="1" applyBorder="1" applyAlignment="1">
      <alignment horizontal="right"/>
    </xf>
    <xf numFmtId="9" fontId="1" fillId="0" borderId="0" xfId="1" applyFont="1" applyBorder="1" applyAlignment="1">
      <alignment horizontal="right"/>
    </xf>
    <xf numFmtId="0" fontId="0" fillId="9" borderId="0" xfId="0" applyFont="1" applyFill="1" applyBorder="1" applyAlignment="1">
      <alignment horizontal="right"/>
    </xf>
    <xf numFmtId="37" fontId="0" fillId="9" borderId="0" xfId="0" applyNumberFormat="1" applyFont="1" applyFill="1" applyBorder="1" applyAlignment="1">
      <alignment horizontal="right"/>
    </xf>
    <xf numFmtId="1" fontId="0" fillId="9" borderId="0" xfId="0" applyNumberFormat="1" applyFont="1" applyFill="1" applyBorder="1" applyAlignment="1">
      <alignment horizontal="right"/>
    </xf>
    <xf numFmtId="0" fontId="0" fillId="0" borderId="0" xfId="0" applyFont="1" applyBorder="1" applyAlignment="1">
      <alignment horizontal="right"/>
    </xf>
    <xf numFmtId="37" fontId="0" fillId="0" borderId="0" xfId="0" applyNumberFormat="1" applyFont="1" applyBorder="1" applyAlignment="1">
      <alignment horizontal="right"/>
    </xf>
    <xf numFmtId="9" fontId="1" fillId="0" borderId="0" xfId="1" applyFont="1" applyFill="1" applyBorder="1" applyAlignment="1">
      <alignment horizontal="right"/>
    </xf>
    <xf numFmtId="0" fontId="0" fillId="9" borderId="11" xfId="0" applyFont="1" applyFill="1" applyBorder="1" applyAlignment="1">
      <alignment horizontal="right"/>
    </xf>
    <xf numFmtId="1" fontId="1" fillId="9" borderId="11" xfId="1" applyNumberFormat="1" applyFont="1" applyFill="1" applyBorder="1" applyAlignment="1">
      <alignment horizontal="right"/>
    </xf>
    <xf numFmtId="0" fontId="0" fillId="0" borderId="12" xfId="0" applyFont="1" applyFill="1" applyBorder="1" applyAlignment="1">
      <alignment horizontal="right"/>
    </xf>
    <xf numFmtId="1" fontId="1" fillId="0" borderId="12" xfId="1" applyNumberFormat="1" applyFont="1" applyFill="1" applyBorder="1" applyAlignment="1">
      <alignment horizontal="right"/>
    </xf>
    <xf numFmtId="1" fontId="1" fillId="9" borderId="0" xfId="1" applyNumberFormat="1" applyFont="1" applyFill="1" applyBorder="1" applyAlignment="1">
      <alignment horizontal="right"/>
    </xf>
    <xf numFmtId="1" fontId="0" fillId="0" borderId="0" xfId="1" applyNumberFormat="1" applyFont="1" applyFill="1" applyBorder="1" applyAlignment="1">
      <alignment horizontal="right"/>
    </xf>
    <xf numFmtId="6" fontId="0" fillId="0" borderId="0" xfId="0" applyNumberFormat="1" applyBorder="1" applyAlignment="1">
      <alignment horizontal="right"/>
    </xf>
    <xf numFmtId="5" fontId="0" fillId="0" borderId="0" xfId="0" applyNumberFormat="1" applyBorder="1" applyAlignment="1">
      <alignment horizontal="right"/>
    </xf>
    <xf numFmtId="5" fontId="0" fillId="0" borderId="0" xfId="0" applyNumberFormat="1" applyAlignment="1">
      <alignment horizontal="right"/>
    </xf>
    <xf numFmtId="0" fontId="0" fillId="0" borderId="0" xfId="0" applyFont="1" applyFill="1" applyBorder="1" applyAlignment="1">
      <alignment horizontal="right"/>
    </xf>
    <xf numFmtId="164" fontId="0" fillId="0" borderId="0" xfId="1" applyNumberFormat="1" applyFont="1" applyBorder="1"/>
    <xf numFmtId="168" fontId="5" fillId="0" borderId="0" xfId="0" applyNumberFormat="1" applyFont="1" applyBorder="1" applyAlignment="1"/>
    <xf numFmtId="167" fontId="5" fillId="0" borderId="0" xfId="0" applyNumberFormat="1" applyFont="1" applyBorder="1" applyAlignment="1">
      <alignment horizontal="right"/>
    </xf>
    <xf numFmtId="6" fontId="5" fillId="0" borderId="0" xfId="0" applyNumberFormat="1" applyFont="1" applyBorder="1" applyAlignment="1">
      <alignment horizontal="right"/>
    </xf>
    <xf numFmtId="9" fontId="5" fillId="0" borderId="0" xfId="1" applyFont="1" applyFill="1" applyBorder="1" applyAlignment="1">
      <alignment horizontal="right"/>
    </xf>
    <xf numFmtId="9" fontId="5" fillId="0" borderId="0" xfId="0" applyNumberFormat="1" applyFont="1" applyAlignment="1"/>
    <xf numFmtId="9" fontId="5" fillId="0" borderId="0" xfId="0" applyNumberFormat="1" applyFont="1" applyFill="1" applyBorder="1" applyAlignment="1">
      <alignment horizontal="right"/>
    </xf>
    <xf numFmtId="9" fontId="16" fillId="0" borderId="0" xfId="1" applyFont="1" applyBorder="1" applyAlignment="1">
      <alignment horizontal="right"/>
    </xf>
    <xf numFmtId="0" fontId="5" fillId="0" borderId="0" xfId="0" applyFont="1" applyAlignment="1"/>
    <xf numFmtId="0" fontId="5" fillId="0" borderId="0" xfId="0" applyFont="1" applyBorder="1"/>
    <xf numFmtId="0" fontId="0" fillId="0" borderId="0" xfId="0" applyBorder="1" applyAlignment="1">
      <alignment horizontal="left"/>
    </xf>
    <xf numFmtId="0" fontId="0" fillId="3" borderId="0" xfId="0" applyFill="1" applyBorder="1"/>
    <xf numFmtId="164" fontId="0" fillId="3" borderId="0" xfId="1" applyNumberFormat="1" applyFont="1" applyFill="1" applyBorder="1"/>
    <xf numFmtId="164" fontId="17" fillId="0" borderId="0" xfId="1" applyNumberFormat="1" applyFont="1" applyBorder="1"/>
    <xf numFmtId="164" fontId="17" fillId="0" borderId="0" xfId="0" applyNumberFormat="1" applyFont="1" applyBorder="1"/>
    <xf numFmtId="164" fontId="17" fillId="8" borderId="0" xfId="0" applyNumberFormat="1" applyFont="1" applyFill="1" applyBorder="1"/>
    <xf numFmtId="0" fontId="14" fillId="0" borderId="0" xfId="0" applyFont="1" applyFill="1"/>
    <xf numFmtId="1" fontId="5" fillId="0" borderId="0" xfId="0" applyNumberFormat="1" applyFont="1" applyBorder="1" applyAlignment="1"/>
    <xf numFmtId="0" fontId="3" fillId="0" borderId="0" xfId="0" applyFont="1" applyBorder="1" applyAlignment="1">
      <alignment horizontal="left" indent="6"/>
    </xf>
    <xf numFmtId="0" fontId="3" fillId="0" borderId="0" xfId="0" applyFont="1" applyBorder="1" applyAlignment="1">
      <alignment horizontal="left"/>
    </xf>
    <xf numFmtId="0" fontId="3" fillId="3" borderId="0" xfId="0" applyFont="1" applyFill="1" applyBorder="1"/>
    <xf numFmtId="164" fontId="3" fillId="3" borderId="0" xfId="1" applyNumberFormat="1" applyFont="1" applyFill="1" applyBorder="1"/>
    <xf numFmtId="164" fontId="3" fillId="0" borderId="0" xfId="1" applyNumberFormat="1" applyFont="1" applyBorder="1"/>
    <xf numFmtId="164" fontId="3" fillId="8" borderId="0" xfId="0" applyNumberFormat="1" applyFont="1" applyFill="1" applyBorder="1"/>
    <xf numFmtId="37" fontId="3" fillId="3" borderId="0" xfId="0" applyNumberFormat="1" applyFont="1" applyFill="1" applyBorder="1"/>
    <xf numFmtId="37" fontId="3" fillId="0" borderId="0" xfId="0" applyNumberFormat="1" applyFont="1" applyBorder="1"/>
    <xf numFmtId="37" fontId="3" fillId="8" borderId="0" xfId="0" applyNumberFormat="1" applyFont="1" applyFill="1" applyBorder="1"/>
    <xf numFmtId="37" fontId="3" fillId="3" borderId="0" xfId="1" applyNumberFormat="1" applyFont="1" applyFill="1" applyBorder="1"/>
    <xf numFmtId="37" fontId="3" fillId="0" borderId="0" xfId="1" applyNumberFormat="1" applyFont="1" applyBorder="1"/>
    <xf numFmtId="0" fontId="3" fillId="8" borderId="0" xfId="0" applyFont="1" applyFill="1" applyBorder="1"/>
    <xf numFmtId="0" fontId="3" fillId="0" borderId="0" xfId="0" applyFont="1" applyFill="1" applyBorder="1"/>
    <xf numFmtId="37" fontId="0" fillId="3" borderId="0" xfId="0" applyNumberFormat="1" applyFill="1" applyBorder="1"/>
    <xf numFmtId="37" fontId="0" fillId="3" borderId="0" xfId="1" applyNumberFormat="1" applyFont="1" applyFill="1" applyBorder="1"/>
    <xf numFmtId="37" fontId="0" fillId="0" borderId="0" xfId="1" applyNumberFormat="1" applyFont="1" applyBorder="1"/>
    <xf numFmtId="37" fontId="10" fillId="0" borderId="0" xfId="1" applyNumberFormat="1" applyFont="1" applyBorder="1"/>
    <xf numFmtId="37" fontId="10" fillId="3" borderId="0" xfId="1" applyNumberFormat="1" applyFont="1" applyFill="1" applyBorder="1"/>
    <xf numFmtId="0" fontId="0" fillId="8" borderId="0" xfId="0" applyFill="1" applyBorder="1"/>
    <xf numFmtId="0" fontId="3" fillId="10" borderId="0" xfId="0" applyFont="1" applyFill="1" applyBorder="1"/>
    <xf numFmtId="37" fontId="3" fillId="10" borderId="0" xfId="0" applyNumberFormat="1" applyFont="1" applyFill="1" applyBorder="1"/>
    <xf numFmtId="0" fontId="3" fillId="10" borderId="16" xfId="0" applyFont="1" applyFill="1" applyBorder="1" applyAlignment="1">
      <alignment horizontal="left" indent="6"/>
    </xf>
    <xf numFmtId="0" fontId="3" fillId="10" borderId="16" xfId="0" applyFont="1" applyFill="1" applyBorder="1" applyAlignment="1">
      <alignment horizontal="left"/>
    </xf>
    <xf numFmtId="0" fontId="3" fillId="10" borderId="16" xfId="0" applyFont="1" applyFill="1" applyBorder="1"/>
    <xf numFmtId="164" fontId="3" fillId="10" borderId="16" xfId="1" applyNumberFormat="1" applyFont="1" applyFill="1" applyBorder="1"/>
    <xf numFmtId="164" fontId="3" fillId="10" borderId="16" xfId="0" applyNumberFormat="1" applyFont="1" applyFill="1" applyBorder="1"/>
    <xf numFmtId="0" fontId="3" fillId="0" borderId="0" xfId="0" applyFont="1" applyAlignment="1">
      <alignment horizontal="left" indent="2"/>
    </xf>
    <xf numFmtId="0" fontId="3" fillId="10" borderId="0" xfId="0" applyFont="1" applyFill="1" applyBorder="1" applyAlignment="1">
      <alignment horizontal="left" indent="6"/>
    </xf>
    <xf numFmtId="0" fontId="3" fillId="10" borderId="0" xfId="0" applyFont="1" applyFill="1" applyBorder="1" applyAlignment="1">
      <alignment horizontal="left"/>
    </xf>
    <xf numFmtId="164" fontId="3" fillId="10" borderId="0" xfId="1" applyNumberFormat="1" applyFont="1" applyFill="1" applyBorder="1"/>
    <xf numFmtId="164" fontId="3" fillId="10" borderId="0" xfId="0" applyNumberFormat="1" applyFont="1" applyFill="1" applyBorder="1"/>
    <xf numFmtId="0" fontId="0" fillId="0" borderId="0" xfId="0" applyAlignment="1">
      <alignment horizontal="left" indent="7"/>
    </xf>
    <xf numFmtId="0" fontId="0" fillId="0" borderId="0" xfId="0" applyBorder="1" applyAlignment="1">
      <alignment horizontal="left" indent="6"/>
    </xf>
    <xf numFmtId="164" fontId="0" fillId="0" borderId="0" xfId="0" applyNumberFormat="1" applyBorder="1" applyAlignment="1">
      <alignment horizontal="right"/>
    </xf>
    <xf numFmtId="0" fontId="4" fillId="0" borderId="0" xfId="0" applyFont="1" applyFill="1" applyBorder="1"/>
    <xf numFmtId="164" fontId="0" fillId="0" borderId="0" xfId="1" applyNumberFormat="1" applyFont="1" applyBorder="1" applyAlignment="1"/>
    <xf numFmtId="37" fontId="0" fillId="0" borderId="0" xfId="0" applyNumberFormat="1" applyBorder="1" applyAlignment="1"/>
    <xf numFmtId="37" fontId="21" fillId="0" borderId="0" xfId="0" applyNumberFormat="1" applyFont="1" applyBorder="1" applyAlignment="1"/>
    <xf numFmtId="172" fontId="0" fillId="0" borderId="0" xfId="0" applyNumberFormat="1" applyFill="1" applyBorder="1" applyAlignment="1"/>
    <xf numFmtId="164" fontId="4" fillId="0" borderId="0" xfId="0" applyNumberFormat="1" applyFont="1" applyBorder="1"/>
    <xf numFmtId="9" fontId="3" fillId="0" borderId="0" xfId="0" applyNumberFormat="1" applyFont="1" applyFill="1" applyBorder="1" applyAlignment="1">
      <alignment horizontal="right"/>
    </xf>
    <xf numFmtId="9" fontId="3" fillId="0" borderId="0" xfId="1" applyNumberFormat="1" applyFont="1" applyBorder="1" applyAlignment="1">
      <alignment horizontal="right"/>
    </xf>
    <xf numFmtId="167" fontId="5" fillId="0" borderId="0" xfId="0" applyNumberFormat="1" applyFont="1" applyFill="1" applyBorder="1" applyAlignment="1">
      <alignment horizontal="right"/>
    </xf>
    <xf numFmtId="6" fontId="5" fillId="0" borderId="0" xfId="0" applyNumberFormat="1" applyFont="1" applyFill="1" applyBorder="1" applyAlignment="1">
      <alignment horizontal="right"/>
    </xf>
    <xf numFmtId="0" fontId="3" fillId="0" borderId="0" xfId="0" applyFont="1" applyFill="1" applyBorder="1" applyAlignment="1"/>
    <xf numFmtId="1" fontId="3" fillId="0" borderId="0" xfId="0" applyNumberFormat="1" applyFont="1" applyAlignment="1"/>
    <xf numFmtId="165" fontId="0" fillId="0" borderId="0" xfId="0" applyNumberFormat="1" applyBorder="1" applyAlignment="1">
      <alignment horizontal="right"/>
    </xf>
    <xf numFmtId="0" fontId="0" fillId="0" borderId="0" xfId="0" applyFont="1" applyFill="1" applyBorder="1" applyAlignment="1">
      <alignment horizontal="left"/>
    </xf>
    <xf numFmtId="1" fontId="1" fillId="0" borderId="0" xfId="1" applyNumberFormat="1" applyFont="1" applyFill="1" applyBorder="1" applyAlignment="1">
      <alignment horizontal="right"/>
    </xf>
    <xf numFmtId="0" fontId="5" fillId="0" borderId="0" xfId="0" applyFont="1" applyFill="1" applyBorder="1"/>
    <xf numFmtId="164" fontId="0" fillId="0" borderId="0" xfId="1" applyNumberFormat="1" applyFont="1" applyFill="1" applyBorder="1"/>
    <xf numFmtId="164" fontId="0" fillId="0" borderId="0" xfId="1" applyNumberFormat="1" applyFont="1" applyFill="1" applyBorder="1" applyAlignment="1"/>
    <xf numFmtId="164" fontId="5" fillId="0" borderId="0" xfId="1" applyNumberFormat="1" applyFont="1" applyBorder="1"/>
    <xf numFmtId="164" fontId="16" fillId="0" borderId="0" xfId="1" applyNumberFormat="1" applyFont="1" applyBorder="1" applyAlignment="1"/>
    <xf numFmtId="39" fontId="3" fillId="0" borderId="0" xfId="0" applyNumberFormat="1" applyFont="1" applyBorder="1" applyAlignment="1"/>
    <xf numFmtId="0" fontId="0" fillId="0" borderId="0" xfId="0" applyAlignment="1">
      <alignment horizontal="left" indent="10"/>
    </xf>
    <xf numFmtId="164" fontId="10" fillId="3" borderId="0" xfId="1" applyNumberFormat="1" applyFont="1" applyFill="1"/>
    <xf numFmtId="164" fontId="16" fillId="0" borderId="0" xfId="1" applyNumberFormat="1" applyFont="1"/>
    <xf numFmtId="0" fontId="16" fillId="0" borderId="0" xfId="0" applyFont="1" applyAlignment="1">
      <alignment horizontal="left" indent="10"/>
    </xf>
    <xf numFmtId="0" fontId="16" fillId="0" borderId="0" xfId="0" applyFont="1" applyAlignment="1">
      <alignment horizontal="left"/>
    </xf>
    <xf numFmtId="37" fontId="16" fillId="3" borderId="0" xfId="0" applyNumberFormat="1" applyFont="1" applyFill="1"/>
    <xf numFmtId="37" fontId="16" fillId="3" borderId="0" xfId="1" applyNumberFormat="1" applyFont="1" applyFill="1"/>
    <xf numFmtId="37" fontId="16" fillId="0" borderId="0" xfId="1" applyNumberFormat="1" applyFont="1"/>
    <xf numFmtId="164" fontId="16" fillId="3" borderId="0" xfId="1" applyNumberFormat="1" applyFont="1" applyFill="1"/>
    <xf numFmtId="0" fontId="16" fillId="0" borderId="0" xfId="0" applyFont="1"/>
    <xf numFmtId="164" fontId="16" fillId="0" borderId="0" xfId="0" applyNumberFormat="1" applyFont="1" applyAlignment="1">
      <alignment horizontal="left" indent="10"/>
    </xf>
    <xf numFmtId="164" fontId="16" fillId="0" borderId="0" xfId="0" applyNumberFormat="1" applyFont="1" applyAlignment="1">
      <alignment horizontal="left"/>
    </xf>
    <xf numFmtId="164" fontId="16" fillId="3" borderId="0" xfId="0" applyNumberFormat="1" applyFont="1" applyFill="1"/>
    <xf numFmtId="164" fontId="16" fillId="8" borderId="0" xfId="0" applyNumberFormat="1" applyFont="1" applyFill="1"/>
    <xf numFmtId="164" fontId="16" fillId="0" borderId="0" xfId="0" applyNumberFormat="1" applyFont="1" applyFill="1"/>
    <xf numFmtId="164" fontId="5" fillId="0" borderId="0" xfId="1" applyNumberFormat="1" applyFont="1"/>
    <xf numFmtId="0" fontId="4" fillId="0" borderId="0" xfId="0" applyFont="1" applyBorder="1" applyAlignment="1">
      <alignment horizontal="left" indent="10"/>
    </xf>
    <xf numFmtId="0" fontId="4" fillId="0" borderId="0" xfId="0" applyFont="1" applyBorder="1" applyAlignment="1">
      <alignment horizontal="left" indent="6"/>
    </xf>
    <xf numFmtId="164" fontId="21" fillId="8" borderId="0" xfId="0" applyNumberFormat="1" applyFont="1" applyFill="1" applyBorder="1"/>
    <xf numFmtId="0" fontId="0" fillId="0" borderId="0" xfId="0" applyFont="1" applyBorder="1" applyAlignment="1">
      <alignment horizontal="left" indent="6"/>
    </xf>
    <xf numFmtId="0" fontId="0" fillId="3" borderId="0" xfId="0" applyFont="1" applyFill="1" applyBorder="1"/>
    <xf numFmtId="37" fontId="0" fillId="3" borderId="0" xfId="0" applyNumberFormat="1" applyFont="1" applyFill="1" applyBorder="1"/>
    <xf numFmtId="164" fontId="0" fillId="0" borderId="0" xfId="0" applyNumberFormat="1" applyFont="1" applyBorder="1"/>
    <xf numFmtId="164" fontId="0" fillId="3" borderId="0" xfId="0" applyNumberFormat="1" applyFont="1" applyFill="1" applyBorder="1"/>
    <xf numFmtId="9" fontId="5" fillId="0" borderId="0" xfId="0" applyNumberFormat="1" applyFont="1" applyBorder="1"/>
    <xf numFmtId="164" fontId="0" fillId="8" borderId="0" xfId="0" applyNumberFormat="1" applyFill="1" applyBorder="1"/>
    <xf numFmtId="164" fontId="3" fillId="0" borderId="0" xfId="0" applyNumberFormat="1" applyFont="1" applyBorder="1"/>
    <xf numFmtId="164" fontId="3" fillId="3" borderId="0" xfId="0" applyNumberFormat="1" applyFont="1" applyFill="1" applyBorder="1"/>
    <xf numFmtId="9" fontId="0" fillId="0" borderId="0" xfId="1" applyNumberFormat="1" applyFont="1" applyBorder="1" applyAlignment="1"/>
    <xf numFmtId="9" fontId="16" fillId="0" borderId="0" xfId="0" applyNumberFormat="1" applyFont="1" applyBorder="1" applyAlignment="1"/>
    <xf numFmtId="9" fontId="5" fillId="0" borderId="0" xfId="1" applyNumberFormat="1" applyFont="1" applyBorder="1" applyAlignment="1"/>
    <xf numFmtId="37" fontId="0" fillId="8" borderId="0" xfId="1" applyNumberFormat="1" applyFont="1" applyFill="1"/>
    <xf numFmtId="37" fontId="4" fillId="8" borderId="0" xfId="1" applyNumberFormat="1" applyFont="1" applyFill="1"/>
    <xf numFmtId="37" fontId="1" fillId="8" borderId="0" xfId="1" applyNumberFormat="1" applyFont="1" applyFill="1"/>
    <xf numFmtId="37" fontId="0" fillId="0" borderId="0" xfId="0" applyNumberFormat="1" applyFont="1" applyAlignment="1">
      <alignment horizontal="left" indent="5"/>
    </xf>
    <xf numFmtId="0" fontId="22" fillId="11" borderId="17" xfId="4" applyFont="1" applyFill="1" applyBorder="1"/>
    <xf numFmtId="0" fontId="23" fillId="12" borderId="0" xfId="5" applyFont="1" applyFill="1"/>
    <xf numFmtId="0" fontId="24" fillId="12" borderId="17" xfId="5" applyFont="1" applyFill="1" applyBorder="1"/>
    <xf numFmtId="0" fontId="24" fillId="12" borderId="0" xfId="5" applyFont="1" applyFill="1"/>
    <xf numFmtId="0" fontId="22" fillId="12" borderId="0" xfId="5" applyFont="1" applyFill="1"/>
    <xf numFmtId="0" fontId="25" fillId="11" borderId="17" xfId="4" applyFont="1" applyFill="1" applyBorder="1"/>
    <xf numFmtId="0" fontId="26" fillId="12" borderId="17" xfId="4" applyFont="1" applyFill="1" applyBorder="1"/>
    <xf numFmtId="0" fontId="26" fillId="12" borderId="0" xfId="4" applyFont="1" applyFill="1"/>
    <xf numFmtId="0" fontId="28" fillId="12" borderId="0" xfId="5" applyFont="1" applyFill="1" applyAlignment="1">
      <alignment horizontal="center" vertical="top"/>
    </xf>
    <xf numFmtId="0" fontId="22" fillId="12" borderId="17" xfId="5" applyFont="1" applyFill="1" applyBorder="1"/>
    <xf numFmtId="0" fontId="27" fillId="11" borderId="17" xfId="4" applyFont="1" applyFill="1" applyBorder="1" applyAlignment="1">
      <alignment wrapText="1"/>
    </xf>
    <xf numFmtId="0" fontId="29" fillId="12" borderId="0" xfId="5" applyFont="1" applyFill="1" applyAlignment="1">
      <alignment horizontal="center"/>
    </xf>
    <xf numFmtId="0" fontId="30" fillId="12" borderId="17" xfId="5" applyFont="1" applyFill="1" applyBorder="1" applyAlignment="1">
      <alignment vertical="center"/>
    </xf>
    <xf numFmtId="0" fontId="31" fillId="11" borderId="18" xfId="5" applyFont="1" applyFill="1" applyBorder="1" applyAlignment="1">
      <alignment horizontal="center" vertical="center"/>
    </xf>
    <xf numFmtId="0" fontId="30" fillId="12" borderId="19" xfId="5" applyFont="1" applyFill="1" applyBorder="1"/>
    <xf numFmtId="14" fontId="24" fillId="11" borderId="18" xfId="5" applyNumberFormat="1" applyFont="1" applyFill="1" applyBorder="1" applyAlignment="1">
      <alignment horizontal="right"/>
    </xf>
    <xf numFmtId="14" fontId="24" fillId="11" borderId="20" xfId="5" applyNumberFormat="1" applyFont="1" applyFill="1" applyBorder="1" applyAlignment="1">
      <alignment horizontal="right"/>
    </xf>
    <xf numFmtId="0" fontId="24" fillId="12" borderId="18" xfId="5" applyFont="1" applyFill="1" applyBorder="1" applyAlignment="1">
      <alignment horizontal="right"/>
    </xf>
    <xf numFmtId="0" fontId="24" fillId="12" borderId="20" xfId="5" applyFont="1" applyFill="1" applyBorder="1" applyAlignment="1">
      <alignment horizontal="right"/>
    </xf>
    <xf numFmtId="0" fontId="27" fillId="11" borderId="17" xfId="4" applyFont="1" applyFill="1" applyBorder="1" applyAlignment="1">
      <alignment horizontal="left" wrapText="1"/>
    </xf>
    <xf numFmtId="0" fontId="32" fillId="11" borderId="17" xfId="4" applyFont="1" applyFill="1" applyBorder="1"/>
    <xf numFmtId="0" fontId="24" fillId="12" borderId="1" xfId="5" applyFont="1" applyFill="1" applyBorder="1"/>
    <xf numFmtId="0" fontId="23" fillId="11" borderId="17" xfId="4" applyFont="1" applyFill="1" applyBorder="1"/>
    <xf numFmtId="37" fontId="22" fillId="12" borderId="0" xfId="5" applyNumberFormat="1" applyFont="1" applyFill="1"/>
    <xf numFmtId="168" fontId="22" fillId="12" borderId="0" xfId="5" applyNumberFormat="1" applyFont="1" applyFill="1"/>
    <xf numFmtId="164" fontId="22" fillId="12" borderId="0" xfId="1" applyNumberFormat="1" applyFont="1" applyFill="1"/>
    <xf numFmtId="0" fontId="0" fillId="0" borderId="0" xfId="0" applyFont="1" applyBorder="1" applyAlignment="1">
      <alignment horizontal="left" indent="3"/>
    </xf>
    <xf numFmtId="37" fontId="21" fillId="0" borderId="0" xfId="0" applyNumberFormat="1" applyFont="1"/>
    <xf numFmtId="3" fontId="0" fillId="0" borderId="0" xfId="1" applyNumberFormat="1" applyFont="1"/>
    <xf numFmtId="3" fontId="0" fillId="3" borderId="0" xfId="1" applyNumberFormat="1" applyFont="1" applyFill="1"/>
    <xf numFmtId="164" fontId="5" fillId="3" borderId="0" xfId="1" applyNumberFormat="1" applyFont="1" applyFill="1"/>
    <xf numFmtId="164" fontId="5" fillId="3" borderId="0" xfId="1" applyNumberFormat="1" applyFont="1" applyFill="1" applyBorder="1"/>
    <xf numFmtId="37" fontId="16" fillId="0" borderId="0" xfId="1" applyNumberFormat="1" applyFont="1" applyBorder="1"/>
    <xf numFmtId="1" fontId="0" fillId="0" borderId="0" xfId="1" applyNumberFormat="1" applyFont="1"/>
    <xf numFmtId="164" fontId="33" fillId="0" borderId="0" xfId="1" applyNumberFormat="1" applyFont="1"/>
    <xf numFmtId="164" fontId="34" fillId="8" borderId="0" xfId="0" applyNumberFormat="1" applyFont="1" applyFill="1"/>
    <xf numFmtId="37" fontId="3" fillId="0" borderId="0" xfId="0" applyNumberFormat="1" applyFont="1" applyAlignment="1">
      <alignment horizontal="left" indent="4"/>
    </xf>
    <xf numFmtId="3" fontId="1" fillId="0" borderId="0" xfId="1" applyNumberFormat="1" applyFont="1"/>
    <xf numFmtId="3" fontId="1" fillId="3" borderId="0" xfId="1" applyNumberFormat="1" applyFont="1" applyFill="1"/>
    <xf numFmtId="3" fontId="16" fillId="0" borderId="0" xfId="1" applyNumberFormat="1" applyFont="1"/>
    <xf numFmtId="3" fontId="16" fillId="0" borderId="0" xfId="0" applyNumberFormat="1" applyFont="1"/>
    <xf numFmtId="3" fontId="16" fillId="8" borderId="0" xfId="0" applyNumberFormat="1" applyFont="1" applyFill="1"/>
    <xf numFmtId="0" fontId="16" fillId="3" borderId="0" xfId="0" applyFont="1" applyFill="1" applyBorder="1"/>
    <xf numFmtId="164" fontId="16" fillId="3" borderId="0" xfId="1" applyNumberFormat="1" applyFont="1" applyFill="1" applyBorder="1"/>
    <xf numFmtId="164" fontId="16" fillId="0" borderId="0" xfId="1" applyNumberFormat="1" applyFont="1" applyBorder="1"/>
    <xf numFmtId="3" fontId="10" fillId="0" borderId="0" xfId="1" applyNumberFormat="1" applyFont="1"/>
    <xf numFmtId="3" fontId="10" fillId="3" borderId="0" xfId="1" applyNumberFormat="1" applyFont="1" applyFill="1"/>
    <xf numFmtId="0" fontId="0" fillId="0" borderId="0" xfId="0" applyBorder="1" applyAlignment="1">
      <alignment horizontal="left" indent="4"/>
    </xf>
    <xf numFmtId="0" fontId="4" fillId="0" borderId="0" xfId="0" applyFont="1" applyAlignment="1">
      <alignment horizontal="left" indent="8"/>
    </xf>
    <xf numFmtId="164" fontId="35" fillId="0" borderId="0" xfId="0" applyNumberFormat="1" applyFont="1"/>
    <xf numFmtId="0" fontId="35" fillId="0" borderId="0" xfId="0" applyFont="1"/>
    <xf numFmtId="164" fontId="4" fillId="0" borderId="0" xfId="1" applyNumberFormat="1" applyFont="1" applyAlignment="1">
      <alignment horizontal="left"/>
    </xf>
    <xf numFmtId="164" fontId="35" fillId="0" borderId="0" xfId="1" applyNumberFormat="1" applyFont="1"/>
    <xf numFmtId="0" fontId="5" fillId="0" borderId="0" xfId="0" applyFont="1" applyAlignment="1">
      <alignment horizontal="left"/>
    </xf>
    <xf numFmtId="0" fontId="5" fillId="0" borderId="0" xfId="0" applyFont="1" applyAlignment="1">
      <alignment horizontal="left" indent="8"/>
    </xf>
    <xf numFmtId="0" fontId="21" fillId="0" borderId="0" xfId="0" applyFont="1" applyAlignment="1">
      <alignment horizontal="left"/>
    </xf>
    <xf numFmtId="164" fontId="0" fillId="0" borderId="0" xfId="1" applyNumberFormat="1" applyFont="1" applyAlignment="1">
      <alignment horizontal="left"/>
    </xf>
    <xf numFmtId="164" fontId="0" fillId="0" borderId="0" xfId="0" applyNumberFormat="1" applyAlignment="1">
      <alignment horizontal="left" indent="4"/>
    </xf>
    <xf numFmtId="164" fontId="0" fillId="0" borderId="0" xfId="0" applyNumberFormat="1" applyAlignment="1">
      <alignment horizontal="left"/>
    </xf>
    <xf numFmtId="0" fontId="16" fillId="0" borderId="0" xfId="0" applyFont="1" applyAlignment="1">
      <alignment horizontal="left" indent="3"/>
    </xf>
    <xf numFmtId="164" fontId="0" fillId="0" borderId="0" xfId="1" applyNumberFormat="1" applyFont="1" applyAlignment="1">
      <alignment horizontal="left" indent="7"/>
    </xf>
    <xf numFmtId="164" fontId="0" fillId="0" borderId="0" xfId="0" applyNumberFormat="1" applyAlignment="1">
      <alignment horizontal="left" indent="7"/>
    </xf>
    <xf numFmtId="0" fontId="5" fillId="3" borderId="0" xfId="0" applyFont="1" applyFill="1"/>
    <xf numFmtId="164" fontId="5" fillId="3" borderId="0" xfId="0" applyNumberFormat="1" applyFont="1" applyFill="1"/>
    <xf numFmtId="164" fontId="5" fillId="8" borderId="0" xfId="1" applyNumberFormat="1" applyFont="1" applyFill="1"/>
    <xf numFmtId="164" fontId="21" fillId="0" borderId="0" xfId="0" applyNumberFormat="1" applyFont="1"/>
    <xf numFmtId="164" fontId="21" fillId="0" borderId="0" xfId="0" applyNumberFormat="1" applyFont="1" applyAlignment="1">
      <alignment horizontal="left" indent="3"/>
    </xf>
    <xf numFmtId="164" fontId="21" fillId="0" borderId="0" xfId="0" applyNumberFormat="1" applyFont="1" applyAlignment="1">
      <alignment horizontal="left"/>
    </xf>
    <xf numFmtId="164" fontId="21" fillId="3" borderId="0" xfId="1" applyNumberFormat="1" applyFont="1" applyFill="1"/>
    <xf numFmtId="164" fontId="21" fillId="0" borderId="0" xfId="1" applyNumberFormat="1" applyFont="1"/>
    <xf numFmtId="164" fontId="3" fillId="0" borderId="0" xfId="0" applyNumberFormat="1" applyFont="1" applyAlignment="1">
      <alignment horizontal="left" indent="3"/>
    </xf>
    <xf numFmtId="164" fontId="3" fillId="3" borderId="0" xfId="1" applyNumberFormat="1" applyFont="1" applyFill="1"/>
    <xf numFmtId="164" fontId="5" fillId="0" borderId="0" xfId="0" applyNumberFormat="1" applyFont="1" applyFill="1"/>
    <xf numFmtId="164" fontId="0" fillId="0" borderId="0" xfId="1" applyNumberFormat="1" applyFont="1" applyFill="1"/>
    <xf numFmtId="9" fontId="35" fillId="0" borderId="0" xfId="0" applyNumberFormat="1" applyFont="1"/>
    <xf numFmtId="164" fontId="34" fillId="0" borderId="0" xfId="0" applyNumberFormat="1" applyFont="1"/>
    <xf numFmtId="9" fontId="4" fillId="8" borderId="0" xfId="0" applyNumberFormat="1" applyFont="1" applyFill="1"/>
    <xf numFmtId="164" fontId="33" fillId="8" borderId="0" xfId="0" applyNumberFormat="1" applyFont="1" applyFill="1"/>
    <xf numFmtId="164" fontId="35" fillId="8" borderId="0" xfId="0" applyNumberFormat="1" applyFont="1" applyFill="1"/>
    <xf numFmtId="164" fontId="17" fillId="8" borderId="0" xfId="1" applyNumberFormat="1" applyFont="1" applyFill="1"/>
    <xf numFmtId="37" fontId="17" fillId="9" borderId="0" xfId="0" applyNumberFormat="1" applyFont="1" applyFill="1"/>
    <xf numFmtId="37" fontId="36" fillId="0" borderId="0" xfId="0" applyNumberFormat="1" applyFont="1"/>
    <xf numFmtId="164" fontId="35" fillId="8" borderId="0" xfId="1" applyNumberFormat="1" applyFont="1" applyFill="1"/>
    <xf numFmtId="37" fontId="33" fillId="8" borderId="0" xfId="1" applyNumberFormat="1" applyFont="1" applyFill="1"/>
    <xf numFmtId="37" fontId="35" fillId="9" borderId="0" xfId="0" applyNumberFormat="1" applyFont="1" applyFill="1"/>
    <xf numFmtId="164" fontId="36" fillId="0" borderId="0" xfId="0" applyNumberFormat="1" applyFont="1"/>
    <xf numFmtId="164" fontId="36" fillId="8" borderId="0" xfId="0" applyNumberFormat="1" applyFont="1" applyFill="1"/>
    <xf numFmtId="37" fontId="17" fillId="0" borderId="0" xfId="0" applyNumberFormat="1" applyFont="1"/>
    <xf numFmtId="37" fontId="17" fillId="8" borderId="0" xfId="1" applyNumberFormat="1" applyFont="1" applyFill="1"/>
    <xf numFmtId="37" fontId="35" fillId="0" borderId="0" xfId="0" applyNumberFormat="1" applyFont="1"/>
    <xf numFmtId="37" fontId="36" fillId="8" borderId="0" xfId="0" applyNumberFormat="1" applyFont="1" applyFill="1"/>
    <xf numFmtId="1" fontId="0" fillId="3" borderId="0" xfId="0" applyNumberFormat="1" applyFill="1"/>
    <xf numFmtId="37" fontId="35" fillId="0" borderId="0" xfId="1" applyNumberFormat="1" applyFont="1"/>
    <xf numFmtId="37" fontId="35" fillId="8" borderId="0" xfId="0" applyNumberFormat="1" applyFont="1" applyFill="1"/>
    <xf numFmtId="168" fontId="3" fillId="3" borderId="0" xfId="0" applyNumberFormat="1" applyFont="1" applyFill="1"/>
    <xf numFmtId="168" fontId="3" fillId="0" borderId="0" xfId="0" applyNumberFormat="1" applyFont="1"/>
    <xf numFmtId="168" fontId="3" fillId="8" borderId="0" xfId="0" applyNumberFormat="1" applyFont="1" applyFill="1"/>
    <xf numFmtId="0" fontId="16" fillId="0" borderId="0" xfId="0" applyFont="1" applyAlignment="1">
      <alignment horizontal="left" indent="4"/>
    </xf>
    <xf numFmtId="0" fontId="16" fillId="0" borderId="0" xfId="0" applyFont="1" applyAlignment="1">
      <alignment horizontal="left" indent="8"/>
    </xf>
    <xf numFmtId="0" fontId="21" fillId="0" borderId="0" xfId="0" applyFont="1" applyAlignment="1">
      <alignment horizontal="left" indent="8"/>
    </xf>
    <xf numFmtId="0" fontId="17" fillId="0" borderId="0" xfId="0" applyFont="1" applyAlignment="1">
      <alignment horizontal="left" indent="8"/>
    </xf>
    <xf numFmtId="0" fontId="16" fillId="0" borderId="0" xfId="0" applyFont="1" applyAlignment="1">
      <alignment horizontal="left" indent="12"/>
    </xf>
    <xf numFmtId="37" fontId="16" fillId="0" borderId="0" xfId="0" applyNumberFormat="1" applyFont="1" applyAlignment="1">
      <alignment horizontal="left" indent="8"/>
    </xf>
    <xf numFmtId="164" fontId="17" fillId="0" borderId="0" xfId="1" applyNumberFormat="1" applyFont="1" applyAlignment="1">
      <alignment horizontal="left" indent="8"/>
    </xf>
    <xf numFmtId="164" fontId="0" fillId="0" borderId="21" xfId="1" applyNumberFormat="1" applyFont="1" applyBorder="1"/>
    <xf numFmtId="166" fontId="0" fillId="0" borderId="14" xfId="0" applyNumberFormat="1" applyBorder="1"/>
    <xf numFmtId="168" fontId="0" fillId="0" borderId="15" xfId="0" applyNumberFormat="1" applyBorder="1"/>
    <xf numFmtId="164" fontId="34" fillId="8" borderId="0" xfId="1" applyNumberFormat="1" applyFont="1" applyFill="1"/>
    <xf numFmtId="0" fontId="4" fillId="8" borderId="0" xfId="0" applyFont="1" applyFill="1"/>
    <xf numFmtId="167" fontId="16" fillId="0" borderId="0" xfId="1" applyNumberFormat="1" applyFont="1"/>
    <xf numFmtId="10" fontId="3" fillId="0" borderId="0" xfId="1" applyNumberFormat="1" applyFont="1"/>
    <xf numFmtId="37" fontId="38" fillId="0" borderId="0" xfId="1" applyNumberFormat="1" applyFont="1" applyBorder="1"/>
    <xf numFmtId="37" fontId="38" fillId="3" borderId="0" xfId="1" applyNumberFormat="1" applyFont="1" applyFill="1"/>
    <xf numFmtId="37" fontId="38" fillId="0" borderId="0" xfId="0" applyNumberFormat="1" applyFont="1" applyBorder="1"/>
    <xf numFmtId="37" fontId="38" fillId="0" borderId="0" xfId="0" applyNumberFormat="1" applyFont="1"/>
    <xf numFmtId="37" fontId="38" fillId="3" borderId="0" xfId="0" applyNumberFormat="1" applyFont="1" applyFill="1"/>
    <xf numFmtId="37" fontId="37" fillId="0" borderId="0" xfId="1" applyNumberFormat="1" applyFont="1"/>
    <xf numFmtId="37" fontId="38" fillId="3" borderId="0" xfId="0" applyNumberFormat="1" applyFont="1" applyFill="1" applyBorder="1"/>
    <xf numFmtId="37" fontId="37" fillId="0" borderId="0" xfId="0" applyNumberFormat="1" applyFont="1"/>
    <xf numFmtId="37" fontId="37" fillId="3" borderId="0" xfId="0" applyNumberFormat="1" applyFont="1" applyFill="1"/>
    <xf numFmtId="3" fontId="37" fillId="0" borderId="0" xfId="1" applyNumberFormat="1" applyFont="1"/>
    <xf numFmtId="3" fontId="37" fillId="3" borderId="0" xfId="1" applyNumberFormat="1" applyFont="1" applyFill="1"/>
    <xf numFmtId="9" fontId="37" fillId="0" borderId="0" xfId="1" applyFont="1" applyAlignment="1">
      <alignment horizontal="right"/>
    </xf>
    <xf numFmtId="9" fontId="37" fillId="3" borderId="0" xfId="0" applyNumberFormat="1" applyFont="1" applyFill="1" applyAlignment="1">
      <alignment horizontal="right"/>
    </xf>
    <xf numFmtId="39" fontId="37" fillId="0" borderId="0" xfId="0" applyNumberFormat="1" applyFont="1" applyAlignment="1">
      <alignment horizontal="right"/>
    </xf>
    <xf numFmtId="9" fontId="37" fillId="0" borderId="0" xfId="1" applyNumberFormat="1" applyFont="1" applyAlignment="1">
      <alignment horizontal="right"/>
    </xf>
    <xf numFmtId="37" fontId="37" fillId="0" borderId="0" xfId="1" applyNumberFormat="1" applyFont="1" applyAlignment="1">
      <alignment horizontal="right"/>
    </xf>
    <xf numFmtId="37" fontId="37" fillId="3" borderId="0" xfId="0" applyNumberFormat="1" applyFont="1" applyFill="1" applyAlignment="1">
      <alignment horizontal="right"/>
    </xf>
    <xf numFmtId="164" fontId="37" fillId="3" borderId="0" xfId="1" applyNumberFormat="1" applyFont="1" applyFill="1"/>
    <xf numFmtId="164" fontId="37" fillId="0" borderId="0" xfId="0" applyNumberFormat="1" applyFont="1"/>
    <xf numFmtId="164" fontId="37" fillId="3" borderId="0" xfId="0" applyNumberFormat="1" applyFont="1" applyFill="1"/>
    <xf numFmtId="164" fontId="37" fillId="0" borderId="0" xfId="1" applyNumberFormat="1" applyFont="1"/>
    <xf numFmtId="7" fontId="37" fillId="0" borderId="0" xfId="0" applyNumberFormat="1" applyFont="1"/>
    <xf numFmtId="7" fontId="37" fillId="3" borderId="0" xfId="0" applyNumberFormat="1" applyFont="1" applyFill="1"/>
    <xf numFmtId="164" fontId="16" fillId="0" borderId="0" xfId="0" applyNumberFormat="1" applyFont="1" applyBorder="1"/>
    <xf numFmtId="9" fontId="0" fillId="8" borderId="0" xfId="0" applyNumberFormat="1" applyFill="1"/>
    <xf numFmtId="164" fontId="16" fillId="8" borderId="0" xfId="0" applyNumberFormat="1" applyFont="1" applyFill="1" applyBorder="1"/>
    <xf numFmtId="0" fontId="0" fillId="0" borderId="0" xfId="0" applyAlignment="1">
      <alignment horizontal="left" indent="14"/>
    </xf>
    <xf numFmtId="168" fontId="16" fillId="0" borderId="0" xfId="1" applyNumberFormat="1" applyFont="1"/>
    <xf numFmtId="168" fontId="16" fillId="3" borderId="0" xfId="1" applyNumberFormat="1" applyFont="1" applyFill="1"/>
    <xf numFmtId="168" fontId="16" fillId="0" borderId="0" xfId="3" applyNumberFormat="1" applyFont="1"/>
    <xf numFmtId="167" fontId="19" fillId="3" borderId="0" xfId="1" applyNumberFormat="1" applyFont="1" applyFill="1"/>
    <xf numFmtId="164" fontId="16" fillId="0" borderId="0" xfId="0" applyNumberFormat="1" applyFont="1" applyAlignment="1">
      <alignment horizontal="left" indent="14"/>
    </xf>
    <xf numFmtId="172" fontId="16" fillId="3" borderId="0" xfId="3" applyNumberFormat="1" applyFont="1" applyFill="1"/>
    <xf numFmtId="172" fontId="16" fillId="0" borderId="0" xfId="1" applyNumberFormat="1" applyFont="1"/>
    <xf numFmtId="172" fontId="16" fillId="3" borderId="0" xfId="1" applyNumberFormat="1" applyFont="1" applyFill="1"/>
    <xf numFmtId="164" fontId="19" fillId="0" borderId="0" xfId="1" applyNumberFormat="1" applyFont="1"/>
    <xf numFmtId="164" fontId="19" fillId="8" borderId="0" xfId="0" applyNumberFormat="1" applyFont="1" applyFill="1"/>
    <xf numFmtId="9" fontId="0" fillId="13" borderId="0" xfId="1" applyFont="1" applyFill="1" applyBorder="1" applyAlignment="1"/>
    <xf numFmtId="164" fontId="0" fillId="13" borderId="0" xfId="0" applyNumberFormat="1" applyFill="1" applyBorder="1" applyAlignment="1">
      <alignment horizontal="right"/>
    </xf>
    <xf numFmtId="168" fontId="16" fillId="8" borderId="0" xfId="0" applyNumberFormat="1" applyFont="1" applyFill="1"/>
    <xf numFmtId="37" fontId="16" fillId="8" borderId="0" xfId="0" applyNumberFormat="1" applyFont="1" applyFill="1"/>
    <xf numFmtId="164" fontId="19" fillId="0" borderId="0" xfId="0" applyNumberFormat="1" applyFont="1"/>
    <xf numFmtId="167" fontId="0" fillId="8" borderId="0" xfId="0" applyNumberFormat="1" applyFill="1"/>
    <xf numFmtId="172" fontId="16" fillId="8" borderId="0" xfId="0" applyNumberFormat="1" applyFont="1" applyFill="1"/>
    <xf numFmtId="172" fontId="0" fillId="8" borderId="0" xfId="0" applyNumberFormat="1" applyFill="1"/>
    <xf numFmtId="5" fontId="0" fillId="3" borderId="0" xfId="1" applyNumberFormat="1" applyFont="1" applyFill="1"/>
    <xf numFmtId="5" fontId="0" fillId="0" borderId="0" xfId="1" applyNumberFormat="1" applyFont="1"/>
    <xf numFmtId="5" fontId="4" fillId="0" borderId="0" xfId="1" applyNumberFormat="1" applyFont="1"/>
    <xf numFmtId="5" fontId="17" fillId="8" borderId="0" xfId="0" applyNumberFormat="1" applyFont="1" applyFill="1"/>
    <xf numFmtId="39" fontId="0" fillId="0" borderId="0" xfId="0" applyNumberFormat="1" applyFont="1" applyAlignment="1">
      <alignment horizontal="left" indent="4"/>
    </xf>
    <xf numFmtId="164" fontId="21" fillId="8" borderId="0" xfId="0" applyNumberFormat="1" applyFont="1" applyFill="1"/>
    <xf numFmtId="164" fontId="21" fillId="0" borderId="0" xfId="0" applyNumberFormat="1" applyFont="1" applyFill="1"/>
    <xf numFmtId="39" fontId="0" fillId="0" borderId="0" xfId="0" applyNumberFormat="1" applyFont="1" applyAlignment="1">
      <alignment horizontal="left" indent="7"/>
    </xf>
    <xf numFmtId="37" fontId="21" fillId="8" borderId="0" xfId="0" applyNumberFormat="1" applyFont="1" applyFill="1"/>
    <xf numFmtId="37" fontId="21" fillId="0" borderId="0" xfId="0" applyNumberFormat="1" applyFont="1" applyFill="1"/>
    <xf numFmtId="0" fontId="0" fillId="0" borderId="17" xfId="0" applyBorder="1"/>
    <xf numFmtId="0" fontId="0" fillId="0" borderId="17" xfId="0" applyBorder="1" applyAlignment="1">
      <alignment horizontal="left" indent="2"/>
    </xf>
    <xf numFmtId="0" fontId="0" fillId="0" borderId="17" xfId="0" applyBorder="1" applyAlignment="1">
      <alignment horizontal="left" indent="5"/>
    </xf>
    <xf numFmtId="0" fontId="2" fillId="4" borderId="0" xfId="0" applyFont="1" applyFill="1"/>
    <xf numFmtId="0" fontId="2" fillId="4" borderId="0" xfId="0" applyFont="1" applyFill="1" applyAlignment="1">
      <alignment horizontal="center"/>
    </xf>
    <xf numFmtId="0" fontId="2" fillId="4" borderId="1" xfId="0" applyFont="1" applyFill="1" applyBorder="1" applyAlignment="1">
      <alignment horizontal="centerContinuous"/>
    </xf>
    <xf numFmtId="0" fontId="2" fillId="4" borderId="1" xfId="0" applyFont="1" applyFill="1" applyBorder="1"/>
    <xf numFmtId="0" fontId="2" fillId="4" borderId="1" xfId="0" applyFont="1" applyFill="1" applyBorder="1" applyAlignment="1">
      <alignment horizontal="center"/>
    </xf>
    <xf numFmtId="169" fontId="2" fillId="4" borderId="1" xfId="0" applyNumberFormat="1" applyFont="1" applyFill="1" applyBorder="1" applyAlignment="1">
      <alignment horizontal="center"/>
    </xf>
    <xf numFmtId="0" fontId="2" fillId="4" borderId="2" xfId="0" applyFont="1" applyFill="1" applyBorder="1" applyAlignment="1">
      <alignment horizontal="center"/>
    </xf>
    <xf numFmtId="37" fontId="37" fillId="3" borderId="0" xfId="1" applyNumberFormat="1" applyFont="1" applyFill="1"/>
    <xf numFmtId="0" fontId="24" fillId="12" borderId="0" xfId="5" applyFont="1" applyFill="1" applyAlignment="1">
      <alignment horizontal="center"/>
    </xf>
    <xf numFmtId="0" fontId="39" fillId="11" borderId="17" xfId="4" applyFont="1" applyFill="1" applyBorder="1"/>
    <xf numFmtId="0" fontId="27" fillId="11" borderId="17" xfId="4" applyFont="1" applyFill="1" applyBorder="1"/>
    <xf numFmtId="0" fontId="40" fillId="11" borderId="17" xfId="4" applyFont="1" applyFill="1" applyBorder="1"/>
    <xf numFmtId="0" fontId="41" fillId="11" borderId="17" xfId="4" applyFont="1" applyFill="1" applyBorder="1"/>
    <xf numFmtId="0" fontId="42" fillId="12" borderId="0" xfId="5" applyFont="1" applyFill="1"/>
    <xf numFmtId="0" fontId="43" fillId="12" borderId="0" xfId="5" applyFont="1" applyFill="1"/>
    <xf numFmtId="0" fontId="44" fillId="12" borderId="0" xfId="5" applyFont="1" applyFill="1" applyAlignment="1">
      <alignment vertical="center"/>
    </xf>
    <xf numFmtId="0" fontId="45" fillId="11" borderId="20" xfId="5" applyFont="1" applyFill="1" applyBorder="1" applyAlignment="1">
      <alignment horizontal="center" vertical="center"/>
    </xf>
    <xf numFmtId="0" fontId="46" fillId="11" borderId="20" xfId="5" applyFont="1" applyFill="1" applyBorder="1" applyAlignment="1">
      <alignment horizontal="center" vertical="center"/>
    </xf>
    <xf numFmtId="0" fontId="30" fillId="12" borderId="0" xfId="5" applyFont="1" applyFill="1"/>
    <xf numFmtId="0" fontId="45" fillId="11" borderId="20" xfId="5" applyFont="1" applyFill="1" applyBorder="1" applyAlignment="1">
      <alignment horizontal="left" vertical="center"/>
    </xf>
    <xf numFmtId="0" fontId="30" fillId="12" borderId="0" xfId="5" applyFont="1" applyFill="1" applyAlignment="1">
      <alignment horizontal="center"/>
    </xf>
    <xf numFmtId="0" fontId="44" fillId="12" borderId="0" xfId="5" applyFont="1" applyFill="1" applyAlignment="1">
      <alignment horizontal="center"/>
    </xf>
    <xf numFmtId="0" fontId="42" fillId="12" borderId="0" xfId="5" applyFont="1" applyFill="1" applyAlignment="1">
      <alignment horizontal="center"/>
    </xf>
    <xf numFmtId="0" fontId="24" fillId="12" borderId="0" xfId="5" applyFont="1" applyFill="1" applyAlignment="1">
      <alignment horizontal="left" indent="2"/>
    </xf>
    <xf numFmtId="44" fontId="24" fillId="11" borderId="20" xfId="6" applyFill="1" applyBorder="1"/>
    <xf numFmtId="9" fontId="24" fillId="11" borderId="20" xfId="1" applyFont="1" applyFill="1" applyBorder="1"/>
    <xf numFmtId="0" fontId="44" fillId="12" borderId="0" xfId="5" applyFont="1" applyFill="1" applyAlignment="1">
      <alignment horizontal="center" vertical="center"/>
    </xf>
    <xf numFmtId="0" fontId="47" fillId="12" borderId="0" xfId="5" applyFont="1" applyFill="1"/>
    <xf numFmtId="0" fontId="48" fillId="12" borderId="0" xfId="5" applyFont="1" applyFill="1"/>
    <xf numFmtId="0" fontId="2" fillId="2" borderId="0" xfId="0" applyFont="1" applyFill="1" applyAlignment="1">
      <alignment horizontal="center"/>
    </xf>
    <xf numFmtId="0" fontId="21" fillId="0" borderId="0" xfId="0" applyFont="1" applyFill="1" applyBorder="1" applyAlignment="1">
      <alignment horizontal="center" vertical="center"/>
    </xf>
    <xf numFmtId="0" fontId="21" fillId="0" borderId="9" xfId="0" applyFont="1" applyFill="1" applyBorder="1" applyAlignment="1">
      <alignment horizontal="center" vertical="center"/>
    </xf>
    <xf numFmtId="0" fontId="3"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alignment horizontal="center"/>
    </xf>
    <xf numFmtId="0" fontId="2" fillId="2" borderId="0" xfId="0" applyFont="1" applyFill="1" applyAlignment="1">
      <alignment horizontal="left" vertical="center" wrapText="1"/>
    </xf>
    <xf numFmtId="0" fontId="2" fillId="2" borderId="0" xfId="0" applyFont="1" applyFill="1" applyAlignment="1">
      <alignment horizontal="left"/>
    </xf>
    <xf numFmtId="0" fontId="0" fillId="0" borderId="0" xfId="0" applyAlignment="1">
      <alignment horizontal="right" vertical="center" textRotation="90"/>
    </xf>
    <xf numFmtId="0" fontId="3" fillId="0" borderId="0" xfId="0" applyFont="1" applyFill="1" applyAlignment="1">
      <alignment horizontal="center"/>
    </xf>
    <xf numFmtId="0" fontId="24" fillId="12" borderId="0" xfId="5" applyFont="1" applyFill="1" applyAlignment="1">
      <alignment horizontal="center"/>
    </xf>
    <xf numFmtId="0" fontId="27" fillId="11" borderId="17" xfId="4" applyFont="1" applyFill="1" applyBorder="1" applyAlignment="1">
      <alignment horizontal="left" wrapText="1"/>
    </xf>
    <xf numFmtId="0" fontId="27" fillId="11" borderId="17" xfId="4" applyFont="1" applyFill="1" applyBorder="1" applyAlignment="1">
      <alignment horizontal="left"/>
    </xf>
    <xf numFmtId="0" fontId="26" fillId="12" borderId="0" xfId="4" applyFont="1" applyFill="1" applyAlignment="1">
      <alignment horizontal="left"/>
    </xf>
  </cellXfs>
  <cellStyles count="7">
    <cellStyle name="Currency" xfId="3" builtinId="4"/>
    <cellStyle name="Currency 9" xfId="6" xr:uid="{EF6AF368-5852-4C2E-AD22-BF3401058575}"/>
    <cellStyle name="Hyperlink" xfId="2" builtinId="8"/>
    <cellStyle name="Normal" xfId="0" builtinId="0"/>
    <cellStyle name="Normal 2" xfId="4" xr:uid="{069A273B-AA20-4080-9231-63DE5B35B7B6}"/>
    <cellStyle name="Normal 3" xfId="5" xr:uid="{79539CE0-786F-438B-B39B-9CDDD5DF6DE5}"/>
    <cellStyle name="Percent" xfId="1" builtinId="5"/>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ofaddin.rtdserver">
      <tp t="s">
        <v>#N/A Requesting Data...4239250157</v>
        <stp/>
        <stp>BQL|13233638493374373774</stp>
        <tr r="AX164" s="2"/>
      </tp>
    </main>
    <main first="bofaddin.rtdserver">
      <tp t="s">
        <v>#N/A Requesting Data...4138831862</v>
        <stp/>
        <stp>BQL|12234887495969973541</stp>
        <tr r="AM114" s="2"/>
      </tp>
    </main>
    <main first="bofaddin.rtdserver">
      <tp t="s">
        <v>#N/A Requesting Data...3476962476</v>
        <stp/>
        <stp>BQL|17025350841876475989</stp>
        <tr r="AG164" s="2"/>
      </tp>
    </main>
    <main first="bofaddin.rtdserver">
      <tp t="s">
        <v>#N/A Requesting Data...3563490703</v>
        <stp/>
        <stp>BQL|11149626608190487841</stp>
        <tr r="AS164" s="2"/>
      </tp>
    </main>
    <main first="bloomberg.rtd">
      <tp t="s">
        <v>#N/A N/A</v>
        <stp/>
        <stp>##V3_BDPV12</stp>
        <stp>SJM Equity</stp>
        <stp>ORGANIC_GROWTH</stp>
        <stp>[Zach MARIANI KDP.xlsx]Comps!R13C107</stp>
        <stp>EQY_FUND_YEAR=2022</stp>
        <tr r="DC13" s="5"/>
      </tp>
      <tp t="s">
        <v>#N/A N/A</v>
        <stp/>
        <stp>##V3_BDPV12</stp>
        <stp>SJM Equity</stp>
        <stp>ORGANIC_GROWTH</stp>
        <stp>[Zach MARIANI KDP.xlsx]Comps!R13C105</stp>
        <stp>EQY_FUND_YEAR=2021</stp>
        <tr r="DA13" s="5"/>
      </tp>
      <tp>
        <v>1</v>
        <stp/>
        <stp>##V3_BDPV12</stp>
        <stp>SJM Equity</stp>
        <stp>ORGANIC_GROWTH</stp>
        <stp>[Zach MARIANI KDP.xlsx]Comps!R13C103</stp>
        <stp>EQY_FUND_YEAR=2020</stp>
        <tr r="CY13" s="5"/>
      </tp>
      <tp t="s">
        <v>#N/A N/A</v>
        <stp/>
        <stp>##V3_BDPV12</stp>
        <stp>BO339157 Corp</stp>
        <stp>RTG_FITCH</stp>
        <stp>[Zach MARIANI KDP.xlsx]Debt!R7C15</stp>
        <tr r="O7" s="7"/>
      </tp>
    </main>
    <main first="bofaddin.rtdserver">
      <tp t="s">
        <v>#N/A Requesting Data...3527283220</v>
        <stp/>
        <stp>BQL|18142538141810389751</stp>
        <tr r="AF6" s="2"/>
      </tp>
    </main>
    <main first="bofaddin.rtdserver">
      <tp t="s">
        <v>#N/A Requesting Data...3206531560</v>
        <stp/>
        <stp>BQL|15076802536013758371</stp>
        <tr r="AO165" s="2"/>
      </tp>
      <tp t="s">
        <v>#N/A Requesting Data...3881017073</v>
        <stp/>
        <stp>BQL|14930334664299818669</stp>
        <tr r="AS165" s="2"/>
      </tp>
    </main>
    <main first="bofaddin.rtdserver">
      <tp t="s">
        <v>#N/A Requesting Data...3751054675</v>
        <stp/>
        <stp>BQL|16191063606201060926</stp>
        <tr r="AJ164" s="2"/>
      </tp>
    </main>
    <main first="bofaddin.rtdserver">
      <tp t="s">
        <v>#N/A Requesting Data...3539737737</v>
        <stp/>
        <stp>BQL|14128324299205291517</stp>
        <tr r="AO164" s="2"/>
      </tp>
    </main>
    <main first="bloomberg.rtd">
      <tp>
        <v>20.63139858160736</v>
        <stp/>
        <stp>##V3_BDPV12</stp>
        <stp>KDP Equity</stp>
        <stp>INTERVAL_AVG</stp>
        <stp>[Zach MARIANI KDP.xlsx]Comps!R7C77</stp>
        <stp>MARKET_DATA_OVERRIDE=BEST_PE_RATIO</stp>
        <stp xml:space="preserve">BEST_FPERIOD_OVERRIDE=1TY </stp>
        <stp xml:space="preserve">CALC_INTERVAL=5Y </stp>
        <tr r="BY7" s="5"/>
      </tp>
    </main>
    <main first="bofaddin.rtdserver">
      <tp t="s">
        <v>#N/A Requesting Data...3301334906</v>
        <stp/>
        <stp>BQL|10736017201958526549</stp>
        <tr r="X164" s="2"/>
      </tp>
    </main>
    <main first="bofaddin.rtdserver">
      <tp t="s">
        <v>#N/A Requesting Data...3936885626</v>
        <stp/>
        <stp>BQL|16832511966468251022</stp>
        <tr r="AP6" s="2"/>
      </tp>
    </main>
    <main first="bloomberg.rtd">
      <tp>
        <v>1397.259</v>
        <stp/>
        <stp>##V3_BDPV12</stp>
        <stp>KDP Equity</stp>
        <stp>EQY_SH_OUT</stp>
        <stp>[Zach MARIANI KDP.xlsx]Comps!R7C55</stp>
        <tr r="BC7" s="5"/>
      </tp>
    </main>
    <main first="bofaddin.rtdserver">
      <tp t="s">
        <v>#N/A Requesting Data...4127146022</v>
        <stp/>
        <stp>BQL|13937992544531140321</stp>
        <tr r="Y114" s="2"/>
      </tp>
      <tp t="s">
        <v>#N/A Requesting Data...3587646618</v>
        <stp/>
        <stp>BQL|11541560416239519069</stp>
        <tr r="Z6" s="2"/>
      </tp>
      <tp t="s">
        <v>#N/A Requesting Data...3719937739</v>
        <stp/>
        <stp>BQL|11874845355874002486</stp>
        <tr r="U165" s="2"/>
      </tp>
      <tp t="s">
        <v>#N/A Requesting Data...3697257199</v>
        <stp/>
        <stp>BQL|10341788344657754880</stp>
        <tr r="X165" s="2"/>
      </tp>
    </main>
    <main first="bloomberg.rtd">
      <tp t="s">
        <v>4/26/2017</v>
        <stp/>
        <stp>##V3_BDPV12</stp>
        <stp xml:space="preserve">KDP US Equity </stp>
        <stp>ANNOUNCEMENT_DT</stp>
        <stp>[Zach MARIANI KDP.xlsx]Tower!R7C8</stp>
        <stp xml:space="preserve">FUND_PER=Q1 </stp>
        <stp>EQY_FUND_YEAR=2017</stp>
        <tr r="H7" s="2"/>
      </tp>
      <tp t="s">
        <v>7/27/2017</v>
        <stp/>
        <stp>##V3_BDPV12</stp>
        <stp xml:space="preserve">KDP US Equity </stp>
        <stp>ANNOUNCEMENT_DT</stp>
        <stp>[Zach MARIANI KDP.xlsx]Tower!R7C9</stp>
        <stp xml:space="preserve">FUND_PER=Q2 </stp>
        <stp>EQY_FUND_YEAR=2017</stp>
        <tr r="I7" s="2"/>
      </tp>
      <tp>
        <v>45037.919999999998</v>
        <stp/>
        <stp>##V3_BDPV12</stp>
        <stp>KO Equity</stp>
        <stp>BEST_SALES</stp>
        <stp>[Zach MARIANI KDP.xlsx]Comps!R11C85</stp>
        <stp>BEST_FPERIOD_OVERRIDE=23BC</stp>
        <tr r="CG11" s="5"/>
      </tp>
    </main>
    <main first="bofaddin.rtdserver">
      <tp t="s">
        <v>#N/A Requesting Data...3840179207</v>
        <stp/>
        <stp>BQL|18163161366102637615</stp>
        <tr r="AM165" s="2"/>
      </tp>
    </main>
    <main first="bofaddin.rtdserver">
      <tp t="s">
        <v>#N/A Requesting Data...3317012518</v>
        <stp/>
        <stp>BQL|15690938415417618168</stp>
        <tr r="AK6" s="2"/>
      </tp>
      <tp t="s">
        <v>#N/A Requesting Data...3392339663</v>
        <stp/>
        <stp>BQL|17949015089482333622</stp>
        <tr r="AR165" s="2"/>
      </tp>
    </main>
    <main first="bofaddin.rtdserver">
      <tp t="s">
        <v>#N/A Requesting Data...4210751393</v>
        <stp/>
        <stp>BQL|18269641884415971855</stp>
        <tr r="U6" s="2"/>
      </tp>
    </main>
    <main first="bofaddin.rtdserver">
      <tp t="s">
        <v>#N/A Requesting Data...3380585708</v>
        <stp/>
        <stp>BQL|15040869361888415888</stp>
        <tr r="AJ6" s="2"/>
      </tp>
      <tp t="s">
        <v>#N/A Requesting Data...3636426280</v>
        <stp/>
        <stp>BQL|10238347990437446695</stp>
        <tr r="AO6" s="2"/>
      </tp>
      <tp t="s">
        <v>#N/A Requesting Data...4223400578</v>
        <stp/>
        <stp>BQL|12985884279662157428</stp>
        <tr r="F22" s="11"/>
      </tp>
      <tp t="s">
        <v>#N/A Requesting Data...3325483881</v>
        <stp/>
        <stp>BQL|16730756219432837997</stp>
        <tr r="AC114" s="2"/>
      </tp>
    </main>
    <main first="bloomberg.rtd">
      <tp>
        <v>43004</v>
        <stp/>
        <stp>##V3_BDPV12</stp>
        <stp>KO Equity</stp>
        <stp>BEST_SALES</stp>
        <stp>[Zach MARIANI KDP.xlsx]Comps!R11C83</stp>
        <stp>BEST_FPERIOD_OVERRIDE=22BC</stp>
        <tr r="CE11" s="5"/>
      </tp>
      <tp>
        <v>20.337867954911545</v>
        <stp/>
        <stp>##V3_BDPV12</stp>
        <stp>KDP Equity</stp>
        <stp>INTERVAL_AVG</stp>
        <stp>[Zach MARIANI KDP.xlsx]Comps!R7C75</stp>
        <stp>MARKET_DATA_OVERRIDE=BEST_PE_RATIO</stp>
        <stp xml:space="preserve">BEST_FPERIOD_OVERRIDE=1TY </stp>
        <stp xml:space="preserve">CALC_INTERVAL=2Y </stp>
        <tr r="BW7" s="5"/>
      </tp>
    </main>
    <main first="bofaddin.rtdserver">
      <tp t="s">
        <v>#N/A Requesting Data...4173987945</v>
        <stp/>
        <stp>BQL|16094190739259062763</stp>
        <tr r="O165" s="2"/>
      </tp>
      <tp t="s">
        <v>#N/A Requesting Data...3467786851</v>
        <stp/>
        <stp>BQL|15779727386123613331</stp>
        <tr r="AP165" s="2"/>
      </tp>
      <tp t="s">
        <v>#N/A Requesting Data...4133755770</v>
        <stp/>
        <stp>BQL|13934950229252465015</stp>
        <tr r="P164" s="2"/>
      </tp>
    </main>
    <main first="bofaddin.rtdserver">
      <tp t="s">
        <v>#N/A Requesting Data...3938590142</v>
        <stp/>
        <stp>BQL|14074911434396946270</stp>
        <tr r="AQ6" s="2"/>
      </tp>
    </main>
    <main first="bloomberg.rtd">
      <tp>
        <v>38658</v>
        <stp/>
        <stp>##V3_BDPV12</stp>
        <stp>KO Equity</stp>
        <stp>BEST_SALES</stp>
        <stp>[Zach MARIANI KDP.xlsx]Comps!R11C81</stp>
        <stp>BEST_FPERIOD_OVERRIDE=21BC</stp>
        <tr r="CC11" s="5"/>
      </tp>
      <tp>
        <v>19.199203217648979</v>
        <stp/>
        <stp>##V3_BDPV12</stp>
        <stp>KDP Equity</stp>
        <stp>INTERVAL_AVG</stp>
        <stp>[Zach MARIANI KDP.xlsx]Comps!R7C73</stp>
        <stp>MARKET_DATA_OVERRIDE=BEST_PE_RATIO</stp>
        <stp xml:space="preserve">BEST_FPERIOD_OVERRIDE=1TY </stp>
        <stp xml:space="preserve">CALC_INTERVAL=1Y </stp>
        <tr r="BU7" s="5"/>
      </tp>
      <tp t="s">
        <v>#N/A N/A</v>
        <stp/>
        <stp>##V3_BDPV12</stp>
        <stp>BV815699 Corp</stp>
        <stp>RTG_FITCH</stp>
        <stp>[Zach MARIANI KDP.xlsx]Debt!R9C15</stp>
        <tr r="O9" s="7"/>
      </tp>
    </main>
    <main first="bofaddin.rtdserver">
      <tp t="s">
        <v>#N/A Requesting Data...4224030607</v>
        <stp/>
        <stp>BQL|11552555131847578933</stp>
        <tr r="Y6" s="2"/>
      </tp>
    </main>
    <main first="bofaddin.rtdserver">
      <tp t="s">
        <v>#N/A Requesting Data...3767155635</v>
        <stp/>
        <stp>BQL|14755940988319099515</stp>
        <tr r="X6" s="2"/>
      </tp>
    </main>
    <main first="bloomberg.rtd">
      <tp>
        <v>20286.75</v>
        <stp/>
        <stp>##V3_BDPV12</stp>
        <stp>NESN SW Equity</stp>
        <stp>BEST_EBITDA</stp>
        <stp>[Zach MARIANI KDP.xlsx]Comps!R15C65</stp>
        <stp>BEST_FPERIOD_OVERRIDE=1TY</stp>
        <tr r="BM15" s="5"/>
      </tp>
      <tp>
        <v>12325</v>
        <stp/>
        <stp>##V3_BDPV12</stp>
        <stp>PEP Equity</stp>
        <stp>IS_ADJ_EBIT_OP_INC_AS_REPORTED</stp>
        <stp>[Zach MARIANI KDP.xlsx]Comps!R12C115</stp>
        <stp>EQY_FUND_YEAR=2022</stp>
        <tr r="DK12" s="5"/>
      </tp>
      <tp>
        <v>11414</v>
        <stp/>
        <stp>##V3_BDPV12</stp>
        <stp>PEP Equity</stp>
        <stp>IS_ADJ_EBIT_OP_INC_AS_REPORTED</stp>
        <stp>[Zach MARIANI KDP.xlsx]Comps!R12C113</stp>
        <stp>EQY_FUND_YEAR=2021</stp>
        <tr r="DI12" s="5"/>
      </tp>
      <tp>
        <v>10531</v>
        <stp/>
        <stp>##V3_BDPV12</stp>
        <stp>PEP Equity</stp>
        <stp>IS_ADJ_EBIT_OP_INC_AS_REPORTED</stp>
        <stp>[Zach MARIANI KDP.xlsx]Comps!R12C111</stp>
        <stp>EQY_FUND_YEAR=2020</stp>
        <tr r="DG12" s="5"/>
      </tp>
      <tp>
        <v>32999</v>
        <stp/>
        <stp>##V3_BDPV12</stp>
        <stp>KO Equity</stp>
        <stp>BEST_SALES</stp>
        <stp>[Zach MARIANI KDP.xlsx]Comps!R11C79</stp>
        <stp>BEST_FPERIOD_OVERRIDE=20BC</stp>
        <tr r="CA11" s="5"/>
      </tp>
      <tp>
        <v>12325</v>
        <stp/>
        <stp>##V3_BDPV12</stp>
        <stp>PEP Equity</stp>
        <stp>IS_ADJ_EBIT_OP_INC_AS_REPORTED</stp>
        <stp>[Zach MARIANI KDP.xlsx]Comps!R12C117</stp>
        <stp>EQY_FUND_YEAR=-0FY</stp>
        <tr r="DM12" s="5"/>
      </tp>
      <tp>
        <v>1377</v>
        <stp/>
        <stp>##V3_BDPV12</stp>
        <stp>PEP Equity</stp>
        <stp>BS_SH_OUT</stp>
        <stp>[Zach MARIANI KDP.xlsx]Comps!R12C56</stp>
        <tr r="BD12" s="5"/>
      </tp>
    </main>
    <main first="bofaddin.rtdserver">
      <tp t="s">
        <v>#N/A Requesting Data...3853443597</v>
        <stp/>
        <stp>BQL|11296920245824209032</stp>
        <tr r="S165" s="2"/>
      </tp>
      <tp t="s">
        <v>#N/A Requesting Data...3752640263</v>
        <stp/>
        <stp>BQL|14620864831812639507</stp>
        <tr r="AC113" s="2"/>
      </tp>
      <tp t="s">
        <v>#N/A Requesting Data...4004110918</v>
        <stp/>
        <stp>BQL|17495736237949676272</stp>
        <tr r="AJ165" s="2"/>
      </tp>
      <tp t="s">
        <v>#N/A Requesting Data...3610007029</v>
        <stp/>
        <stp>BQL|14138115924026980927</stp>
        <tr r="AH164" s="2"/>
      </tp>
    </main>
    <main first="bofaddin.rtdserver">
      <tp t="s">
        <v>#N/A Requesting Data...3627074279</v>
        <stp/>
        <stp>BQL|16681424084064912629</stp>
        <tr r="R164" s="2"/>
      </tp>
      <tp t="s">
        <v>#N/A Requesting Data...3852226438</v>
        <stp/>
        <stp>BQL|17208867647746119582</stp>
        <tr r="AY114" s="2"/>
      </tp>
    </main>
    <main first="bofaddin.rtdserver">
      <tp t="s">
        <v>#N/A Requesting Data...3499491245</v>
        <stp/>
        <stp>BQL|12337667623540217130</stp>
        <tr r="AJ113" s="2"/>
      </tp>
      <tp t="s">
        <v>#N/A Requesting Data...3926201939</v>
        <stp/>
        <stp>BQL|12991633807821334297</stp>
        <tr r="H6" s="2"/>
      </tp>
    </main>
    <main first="bofaddin.rtdserver">
      <tp t="s">
        <v>#N/A Requesting Data...4071761099</v>
        <stp/>
        <stp>BQL|14488038773152048667</stp>
        <tr r="AX6" s="2"/>
      </tp>
      <tp t="s">
        <v>#N/A Requesting Data...3722813698</v>
        <stp/>
        <stp>BQL|17193094545286175217</stp>
        <tr r="AC6" s="2"/>
      </tp>
    </main>
    <main first="bloomberg.rtd">
      <tp>
        <v>104.398618</v>
        <stp/>
        <stp>##V3_BDPV12</stp>
        <stp>SJM Equity</stp>
        <stp>BS_SH_OUT</stp>
        <stp>[Zach MARIANI KDP.xlsx]Comps!R13C56</stp>
        <tr r="BD13" s="5"/>
      </tp>
    </main>
    <main first="bofaddin.rtdserver">
      <tp t="s">
        <v>#N/A Requesting Data...3502960020</v>
        <stp/>
        <stp>BQL|18127262180197677344</stp>
        <tr r="AB164" s="2"/>
      </tp>
    </main>
    <main first="bofaddin.rtdserver">
      <tp t="s">
        <v>#N/A Requesting Data...3823013449</v>
        <stp/>
        <stp>BQL|13785382964162780221</stp>
        <tr r="N6" s="2"/>
      </tp>
    </main>
    <main first="bofaddin.rtdserver">
      <tp t="s">
        <v>#N/A Requesting Data...4051342385</v>
        <stp/>
        <stp>BQL|15620442665837883653</stp>
        <tr r="AD164" s="2"/>
      </tp>
    </main>
    <main first="bloomberg.rtd">
      <tp>
        <v>175.79</v>
        <stp/>
        <stp>##V3_BDPV12</stp>
        <stp>PEP Equity</stp>
        <stp>PX_LAST</stp>
        <stp>[Zach MARIANI KDP.xlsx]Comps!R12C5</stp>
        <tr r="E12" s="5"/>
      </tp>
    </main>
    <main first="bofaddin.rtdserver">
      <tp t="s">
        <v>#N/A Requesting Data...4231626938</v>
        <stp/>
        <stp>BQL|12469804560240172908</stp>
        <tr r="AY165" s="2"/>
      </tp>
    </main>
    <main first="bofaddin.rtdserver">
      <tp t="s">
        <v>#N/A Requesting Data...3451099442</v>
        <stp/>
        <stp>BQL|14868082660755695226</stp>
        <tr r="Q6" s="2"/>
      </tp>
    </main>
    <main first="bofaddin.rtdserver">
      <tp t="s">
        <v>#N/A Requesting Data...3971929507</v>
        <stp/>
        <stp>BQL|16222622089205904865</stp>
        <tr r="E22" s="11"/>
      </tp>
    </main>
    <main first="bofaddin.rtdserver">
      <tp t="s">
        <v>#N/A Requesting Data...3631823075</v>
        <stp/>
        <stp>BQL|16903708756405113431</stp>
        <tr r="AQ164" s="2"/>
      </tp>
    </main>
    <main first="bofaddin.rtdserver">
      <tp t="s">
        <v>#N/A Requesting Data...3951910105</v>
        <stp/>
        <stp>BQL|16176978285142290161</stp>
        <tr r="AL114" s="2"/>
      </tp>
    </main>
    <main first="bofaddin.rtdserver">
      <tp t="s">
        <v>#N/A Requesting Data...3505156161</v>
        <stp/>
        <stp>BQL|14811578419433635761</stp>
        <tr r="AL164" s="2"/>
      </tp>
      <tp t="s">
        <v>#N/A Requesting Data...3932720057</v>
        <stp/>
        <stp>BQL|15696449461591060232</stp>
        <tr r="AR164" s="2"/>
      </tp>
      <tp t="s">
        <v>#N/A Requesting Data...3978466366</v>
        <stp/>
        <stp>BQL|14717663673563289208</stp>
        <tr r="N164" s="2"/>
      </tp>
    </main>
    <main first="bofaddin.rtdserver">
      <tp t="s">
        <v>#N/A Requesting Data...3560078014</v>
        <stp/>
        <stp>BQL|18352550553119350556</stp>
        <tr r="AN6" s="2"/>
      </tp>
    </main>
    <main first="bofaddin.rtdserver">
      <tp t="s">
        <v>#N/A Requesting Data...3886278517</v>
        <stp/>
        <stp>BQL|12928088743711799393</stp>
        <tr r="W164" s="2"/>
      </tp>
      <tp t="s">
        <v>#N/A Requesting Data...4252377974</v>
        <stp/>
        <stp>BQL|15483566747553924324</stp>
        <tr r="AM113" s="2"/>
      </tp>
    </main>
    <main first="bofaddin.rtdserver">
      <tp t="s">
        <v>#N/A Requesting Data...3752247647</v>
        <stp/>
        <stp>BQL|16151987310972330822</stp>
        <tr r="AD165" s="2"/>
      </tp>
      <tp t="s">
        <v>#N/A Requesting Data...3526390044</v>
        <stp/>
        <stp>BQL|15471491438825930377</stp>
        <tr r="T6" s="2"/>
      </tp>
    </main>
    <main first="bofaddin.rtdserver">
      <tp t="s">
        <v>#N/A Requesting Data...3479360255</v>
        <stp/>
        <stp>BQL|13646553256963563322</stp>
        <tr r="AD6" s="2"/>
      </tp>
    </main>
    <main first="bofaddin.rtdserver">
      <tp t="s">
        <v>#N/A Requesting Data...3877368367</v>
        <stp/>
        <stp>BQL|14812923065348281038</stp>
        <tr r="AV165" s="2"/>
      </tp>
      <tp t="s">
        <v>#N/A Requesting Data...3717394209</v>
        <stp/>
        <stp>BQL|11556090915805015603</stp>
        <tr r="AE165" s="2"/>
      </tp>
      <tp t="s">
        <v>#N/A Requesting Data...4042935467</v>
        <stp/>
        <stp>BQL|17803222155280748301</stp>
        <tr r="N165" s="2"/>
      </tp>
    </main>
    <main first="bofaddin.rtdserver">
      <tp t="s">
        <v>#N/A Requesting Data...3684968819</v>
        <stp/>
        <stp>BQL|16816764364591026510</stp>
        <tr r="X114" s="2"/>
      </tp>
    </main>
    <main first="bofaddin.rtdserver">
      <tp t="s">
        <v>#N/A Requesting Data...4272126534</v>
        <stp/>
        <stp>BQL|10700184422507195765</stp>
        <tr r="AG165" s="2"/>
      </tp>
    </main>
    <main first="bofaddin.rtdserver">
      <tp t="s">
        <v>#N/A Requesting Data...3870078839</v>
        <stp/>
        <stp>BQL|15793178315954744314</stp>
        <tr r="AM164" s="2"/>
      </tp>
    </main>
    <main first="bloomberg.rtd">
      <tp>
        <v>4.4291762428934316</v>
        <stp/>
        <stp>##V3_BDPV12</stp>
        <stp>KO US Equity</stp>
        <stp>INVENT_TURN</stp>
        <stp>[Zach MARIANI KDP.xlsx]Comps!R11C45</stp>
        <tr r="AS11" s="5"/>
      </tp>
      <tp>
        <v>64.349999999999994</v>
        <stp/>
        <stp>##V3_BDPV12</stp>
        <stp>KO Equity</stp>
        <stp>INTERVAL_HIGH</stp>
        <stp>[Zach MARIANI KDP.xlsx]Comps!R11C53</stp>
        <stp>CALC_INTERVAL=52W</stp>
        <stp>END_DATE_OVERRIDE</stp>
        <stp>20230921</stp>
        <tr r="BA11" s="5"/>
      </tp>
    </main>
    <main first="bofaddin.rtdserver">
      <tp t="s">
        <v>#N/A Requesting Data...4272010367</v>
        <stp/>
        <stp>BQL|10538021318785992515</stp>
        <tr r="P6" s="2"/>
      </tp>
    </main>
    <main first="bofaddin.rtdserver">
      <tp t="s">
        <v>#N/A Requesting Data...4028314140</v>
        <stp/>
        <stp>BQL|12196694851376873670</stp>
        <tr r="AX114" s="2"/>
      </tp>
      <tp t="s">
        <v>#N/A Requesting Data...3667826701</v>
        <stp/>
        <stp>BQL|16754239473170087214</stp>
        <tr r="AJ114" s="2"/>
      </tp>
      <tp t="s">
        <v>#N/A Requesting Data...4229489795</v>
        <stp/>
        <stp>BQL|13646872696486430500</stp>
        <tr r="AY6" s="2"/>
        <tr r="AZ6" s="2"/>
      </tp>
      <tp t="s">
        <v>#N/A Requesting Data...4024009300</v>
        <stp/>
        <stp>BQL|14684364501782944456</stp>
        <tr r="AT6" s="2"/>
        <tr r="AU6" s="2"/>
      </tp>
    </main>
    <main first="bofaddin.rtdserver">
      <tp t="s">
        <v>#N/A Requesting Data...3990815884</v>
        <stp/>
        <stp>BQL|15995706394212373804</stp>
        <tr r="E6" s="2"/>
      </tp>
      <tp t="s">
        <v>#N/A Requesting Data...3576239833</v>
        <stp/>
        <stp>BQL|12982027434360607004</stp>
        <tr r="AR6" s="2"/>
      </tp>
      <tp t="s">
        <v>#N/A Requesting Data...3886939154</v>
        <stp/>
        <stp>BQL|17033473727076831617</stp>
        <tr r="AB6" s="2"/>
      </tp>
    </main>
    <main first="bofaddin.rtdserver">
      <tp t="s">
        <v>#N/A Requesting Data...3730512721</v>
        <stp/>
        <stp>BQL|15416147978771473345</stp>
        <tr r="AP164" s="2"/>
      </tp>
    </main>
    <main first="bloomberg.rtd">
      <tp t="s">
        <v>#N/A N/A</v>
        <stp/>
        <stp>##V3_BDPV12</stp>
        <stp>SBUX Equity</stp>
        <stp>ORGANIC_GROWTH</stp>
        <stp>[Zach MARIANI KDP.xlsx]Comps!R14C103</stp>
        <stp>EQY_FUND_YEAR=2020</stp>
        <tr r="CY14" s="5"/>
      </tp>
      <tp t="s">
        <v>#N/A N/A</v>
        <stp/>
        <stp>##V3_BDPV12</stp>
        <stp>SBUX Equity</stp>
        <stp>ORGANIC_GROWTH</stp>
        <stp>[Zach MARIANI KDP.xlsx]Comps!R14C105</stp>
        <stp>EQY_FUND_YEAR=2021</stp>
        <tr r="DA14" s="5"/>
      </tp>
      <tp t="s">
        <v>#N/A N/A</v>
        <stp/>
        <stp>##V3_BDPV12</stp>
        <stp>SBUX Equity</stp>
        <stp>ORGANIC_GROWTH</stp>
        <stp>[Zach MARIANI KDP.xlsx]Comps!R14C107</stp>
        <stp>EQY_FUND_YEAR=2022</stp>
        <tr r="DC14" s="5"/>
      </tp>
      <tp t="s">
        <v>#N/A N/A</v>
        <stp/>
        <stp>##V3_BDPV12</stp>
        <stp>BV815700 Corp</stp>
        <stp>RTG_FITCH</stp>
        <stp>[Zach MARIANI KDP.xlsx]Debt!R8C15</stp>
        <tr r="O8" s="7"/>
      </tp>
    </main>
    <main first="bofaddin.rtdserver">
      <tp t="s">
        <v>#N/A Requesting Data...4171211158</v>
        <stp/>
        <stp>BQL|16181106831772437659</stp>
        <tr r="D22" s="11"/>
      </tp>
      <tp t="s">
        <v>#N/A Requesting Data...3621131021</v>
        <stp/>
        <stp>BQL|13371101674906645314</stp>
        <tr r="AN165" s="2"/>
      </tp>
      <tp t="s">
        <v>#N/A Requesting Data...3647224934</v>
        <stp/>
        <stp>BQL|10947319829503565274</stp>
        <tr r="O6" s="2"/>
      </tp>
    </main>
    <main first="bofaddin.rtdserver">
      <tp t="s">
        <v>#N/A Requesting Data...4089522314</v>
        <stp/>
        <stp>BQL|17364107350115247639</stp>
        <tr r="AM6" s="2"/>
      </tp>
    </main>
    <main first="bloomberg.rtd">
      <tp>
        <v>1.4</v>
        <stp/>
        <stp>##V3_BDPV12</stp>
        <stp>KDP Equity</stp>
        <stp>BEST_EPS</stp>
        <stp>[Zach MARIANI KDP.xlsx]Comps!R7C95</stp>
        <stp>BEST_FPERIOD_OVERRIDE=20BC</stp>
        <tr r="CQ7" s="5"/>
      </tp>
    </main>
    <main first="bloomberg.rtd">
      <tp>
        <v>1.6</v>
        <stp/>
        <stp>##V3_BDPV12</stp>
        <stp>KDP Equity</stp>
        <stp>BEST_EPS</stp>
        <stp>[Zach MARIANI KDP.xlsx]Comps!R7C97</stp>
        <stp>BEST_FPERIOD_OVERRIDE=21BC</stp>
        <tr r="CS7" s="5"/>
      </tp>
      <tp>
        <v>16.0305</v>
        <stp/>
        <stp>##V3_BDPV12</stp>
        <stp>HFCS55WS Index</stp>
        <stp>INTERVAL_PERCENT_CHANGE</stp>
        <stp>[Zach MARIANI KDP.xlsx]Tower!R251C40</stp>
        <stp>START_DATE_OVERRIDE</stp>
        <stp>20220930</stp>
        <stp>END_DATE_OVERRIDE</stp>
        <stp>20230930</stp>
        <tr r="AN251" s="2"/>
      </tp>
      <tp>
        <v>5.7999999999999996E-3</v>
        <stp/>
        <stp>##V3_BDPV12</stp>
        <stp>HFCS55WS Index</stp>
        <stp>INTERVAL_PERCENT_CHANGE</stp>
        <stp>[Zach MARIANI KDP.xlsx]Tower!R251C35</stp>
        <stp>START_DATE_OVERRIDE</stp>
        <stp>20210930</stp>
        <stp>END_DATE_OVERRIDE</stp>
        <stp>20220930</stp>
        <tr r="AI251" s="2"/>
      </tp>
      <tp>
        <v>0</v>
        <stp/>
        <stp>##V3_BDPV12</stp>
        <stp>HFCS55WS Index</stp>
        <stp>INTERVAL_PERCENT_CHANGE</stp>
        <stp>[Zach MARIANI KDP.xlsx]Tower!R251C30</stp>
        <stp>START_DATE_OVERRIDE</stp>
        <stp>20200930</stp>
        <stp>END_DATE_OVERRIDE</stp>
        <stp>20210930</stp>
        <tr r="AD251" s="2"/>
      </tp>
      <tp>
        <v>3.153</v>
        <stp/>
        <stp>##V3_BDPV12</stp>
        <stp>HFCS55WS Index</stp>
        <stp>INTERVAL_PERCENT_CHANGE</stp>
        <stp>[Zach MARIANI KDP.xlsx]Tower!R251C25</stp>
        <stp>START_DATE_OVERRIDE</stp>
        <stp>20190930</stp>
        <stp>END_DATE_OVERRIDE</stp>
        <stp>20200930</stp>
        <tr r="Y251" s="2"/>
      </tp>
      <tp>
        <v>3.4220000000000002</v>
        <stp/>
        <stp>##V3_BDPV12</stp>
        <stp>HFCS55WS Index</stp>
        <stp>INTERVAL_PERCENT_CHANGE</stp>
        <stp>[Zach MARIANI KDP.xlsx]Tower!R251C15</stp>
        <stp>START_DATE_OVERRIDE</stp>
        <stp>20170930</stp>
        <stp>END_DATE_OVERRIDE</stp>
        <stp>20180930</stp>
        <tr r="O251" s="2"/>
      </tp>
      <tp>
        <v>4.9375999999999998</v>
        <stp/>
        <stp>##V3_BDPV12</stp>
        <stp>HFCS55WS Index</stp>
        <stp>INTERVAL_PERCENT_CHANGE</stp>
        <stp>[Zach MARIANI KDP.xlsx]Tower!R251C20</stp>
        <stp>START_DATE_OVERRIDE</stp>
        <stp>20180930</stp>
        <stp>END_DATE_OVERRIDE</stp>
        <stp>20190930</stp>
        <tr r="T251" s="2"/>
      </tp>
    </main>
    <main first="bofaddin.rtdserver">
      <tp t="s">
        <v>#N/A N/A</v>
        <stp/>
        <stp>BDH|14466136497155013229</stp>
        <tr r="AH368" s="2"/>
      </tp>
    </main>
    <main first="bloomberg.rtd">
      <tp>
        <v>1.68</v>
        <stp/>
        <stp>##V3_BDPV12</stp>
        <stp>KDP Equity</stp>
        <stp>BEST_EPS</stp>
        <stp>[Zach MARIANI KDP.xlsx]Comps!R7C99</stp>
        <stp>BEST_FPERIOD_OVERRIDE=22BC</stp>
        <tr r="CU7" s="5"/>
      </tp>
    </main>
    <main first="bloomberg.rtd">
      <tp>
        <v>4855</v>
        <stp/>
        <stp>##V3_BDPV12</stp>
        <stp>SBUX Equity</stp>
        <stp>IS_ADJ_EBIT_OP_INC_AS_REPORTED</stp>
        <stp>[Zach MARIANI KDP.xlsx]Comps!R14C115</stp>
        <stp>EQY_FUND_YEAR=2022</stp>
        <tr r="DK14" s="5"/>
      </tp>
      <tp>
        <v>5217.8999999999996</v>
        <stp/>
        <stp>##V3_BDPV12</stp>
        <stp>SBUX Equity</stp>
        <stp>IS_ADJ_EBIT_OP_INC_AS_REPORTED</stp>
        <stp>[Zach MARIANI KDP.xlsx]Comps!R14C113</stp>
        <stp>EQY_FUND_YEAR=2021</stp>
        <tr r="DI14" s="5"/>
      </tp>
      <tp>
        <v>2133.1999999999998</v>
        <stp/>
        <stp>##V3_BDPV12</stp>
        <stp>SBUX Equity</stp>
        <stp>IS_ADJ_EBIT_OP_INC_AS_REPORTED</stp>
        <stp>[Zach MARIANI KDP.xlsx]Comps!R14C111</stp>
        <stp>EQY_FUND_YEAR=2020</stp>
        <tr r="DG14" s="5"/>
      </tp>
      <tp>
        <v>4855</v>
        <stp/>
        <stp>##V3_BDPV12</stp>
        <stp>SBUX Equity</stp>
        <stp>IS_ADJ_EBIT_OP_INC_AS_REPORTED</stp>
        <stp>[Zach MARIANI KDP.xlsx]Comps!R14C117</stp>
        <stp>EQY_FUND_YEAR=-0FY</stp>
        <tr r="DM14" s="5"/>
      </tp>
      <tp>
        <v>8275.1333333333332</v>
        <stp/>
        <stp>##V3_BDPV12</stp>
        <stp>SJM Equity</stp>
        <stp>BEST_SALES</stp>
        <stp>[Zach MARIANI KDP.xlsx]Comps!R13C83</stp>
        <stp>BEST_FPERIOD_OVERRIDE=22BC</stp>
        <tr r="CE13" s="5"/>
      </tp>
    </main>
    <main first="bofaddin.rtdserver">
      <tp t="s">
        <v>#N/A N/A</v>
        <stp/>
        <stp>BDH|12630277828255664949</stp>
        <tr r="AM382" s="2"/>
      </tp>
      <tp t="s">
        <v>#N/A N/A</v>
        <stp/>
        <stp>BDH|15140426456869721381</stp>
        <tr r="Y368" s="2"/>
      </tp>
      <tp t="s">
        <v>#N/A N/A</v>
        <stp/>
        <stp>BDH|13513755670934608997</stp>
        <tr r="AI382" s="2"/>
      </tp>
    </main>
    <main first="bloomberg.rtd">
      <tp t="s">
        <v>Baa1</v>
        <stp/>
        <stp>##V3_BDPV12</stp>
        <stp>BV815700 Corp</stp>
        <stp>RTG_MOODY</stp>
        <stp>[Zach MARIANI KDP.xlsx]Debt!R8C14</stp>
        <tr r="N8" s="7"/>
      </tp>
      <tp>
        <v>8023.6149999999998</v>
        <stp/>
        <stp>##V3_BDPV12</stp>
        <stp>SJM Equity</stp>
        <stp>BEST_SALES</stp>
        <stp>[Zach MARIANI KDP.xlsx]Comps!R13C85</stp>
        <stp>BEST_FPERIOD_OVERRIDE=23BC</stp>
        <tr r="CG13" s="5"/>
      </tp>
    </main>
    <main first="bloomberg.rtd">
      <tp>
        <v>129.28</v>
        <stp/>
        <stp>##V3_BDPV12</stp>
        <stp>SJM Equity</stp>
        <stp>PX_LAST</stp>
        <stp>[Zach MARIANI KDP.xlsx]Comps!R13C5</stp>
        <tr r="E13" s="5"/>
      </tp>
      <tp>
        <v>8139.7</v>
        <stp/>
        <stp>##V3_BDPV12</stp>
        <stp>SJM Equity</stp>
        <stp>BEST_SALES</stp>
        <stp>[Zach MARIANI KDP.xlsx]Comps!R13C79</stp>
        <stp>BEST_FPERIOD_OVERRIDE=20BC</stp>
        <tr r="CA13" s="5"/>
      </tp>
    </main>
    <main first="bloomberg.rtd">
      <tp t="s">
        <v>#N/A N/A</v>
        <stp/>
        <stp>##V3_BDPV12</stp>
        <stp xml:space="preserve">KDP US Equity </stp>
        <stp>ANNOUNCEMENT_DT</stp>
        <stp>[Zach MARIANI KDP.xlsx]Tower!R7C42</stp>
        <stp xml:space="preserve">FUND_PER=Q4 </stp>
        <stp>EQY_FUND_YEAR=2023</stp>
        <tr r="AP7" s="2"/>
      </tp>
      <tp t="s">
        <v>2/27/2020</v>
        <stp/>
        <stp>##V3_BDPV12</stp>
        <stp xml:space="preserve">KDP US Equity </stp>
        <stp>ANNOUNCEMENT_DT</stp>
        <stp>[Zach MARIANI KDP.xlsx]Tower!R7C22</stp>
        <stp xml:space="preserve">FUND_PER=Q4 </stp>
        <stp>EQY_FUND_YEAR=2019</stp>
        <tr r="V7" s="2"/>
      </tp>
      <tp t="s">
        <v>2/25/2021</v>
        <stp/>
        <stp>##V3_BDPV12</stp>
        <stp xml:space="preserve">KDP US Equity </stp>
        <stp>ANNOUNCEMENT_DT</stp>
        <stp>[Zach MARIANI KDP.xlsx]Tower!R7C27</stp>
        <stp xml:space="preserve">FUND_PER=Q4 </stp>
        <stp>EQY_FUND_YEAR=2020</stp>
        <tr r="AA7" s="2"/>
      </tp>
      <tp t="s">
        <v>2/14/2018</v>
        <stp/>
        <stp>##V3_BDPV12</stp>
        <stp xml:space="preserve">KDP US Equity </stp>
        <stp>ANNOUNCEMENT_DT</stp>
        <stp>[Zach MARIANI KDP.xlsx]Tower!R7C12</stp>
        <stp xml:space="preserve">FUND_PER=Q4 </stp>
        <stp>EQY_FUND_YEAR=2017</stp>
        <tr r="L7" s="2"/>
      </tp>
      <tp t="s">
        <v>10/25/2017</v>
        <stp/>
        <stp>##V3_BDPV12</stp>
        <stp xml:space="preserve">KDP US Equity </stp>
        <stp>ANNOUNCEMENT_DT</stp>
        <stp>[Zach MARIANI KDP.xlsx]Tower!R7C10</stp>
        <stp xml:space="preserve">FUND_PER=Q3 </stp>
        <stp>EQY_FUND_YEAR=2017</stp>
        <tr r="J7" s="2"/>
      </tp>
      <tp t="s">
        <v>2/28/2019</v>
        <stp/>
        <stp>##V3_BDPV12</stp>
        <stp xml:space="preserve">KDP US Equity </stp>
        <stp>ANNOUNCEMENT_DT</stp>
        <stp>[Zach MARIANI KDP.xlsx]Tower!R7C17</stp>
        <stp xml:space="preserve">FUND_PER=Q4 </stp>
        <stp>EQY_FUND_YEAR=2018</stp>
        <tr r="Q7" s="2"/>
      </tp>
      <tp t="s">
        <v>2/23/2023</v>
        <stp/>
        <stp>##V3_BDPV12</stp>
        <stp xml:space="preserve">KDP US Equity </stp>
        <stp>ANNOUNCEMENT_DT</stp>
        <stp>[Zach MARIANI KDP.xlsx]Tower!R7C37</stp>
        <stp xml:space="preserve">FUND_PER=Q4 </stp>
        <stp>EQY_FUND_YEAR=2022</stp>
        <tr r="AK7" s="2"/>
      </tp>
      <tp t="s">
        <v>2/24/2022</v>
        <stp/>
        <stp>##V3_BDPV12</stp>
        <stp xml:space="preserve">KDP US Equity </stp>
        <stp>ANNOUNCEMENT_DT</stp>
        <stp>[Zach MARIANI KDP.xlsx]Tower!R7C32</stp>
        <stp xml:space="preserve">FUND_PER=Q4 </stp>
        <stp>EQY_FUND_YEAR=2021</stp>
        <tr r="AF7" s="2"/>
      </tp>
      <tp>
        <v>7891.833333333333</v>
        <stp/>
        <stp>##V3_BDPV12</stp>
        <stp>SJM Equity</stp>
        <stp>BEST_SALES</stp>
        <stp>[Zach MARIANI KDP.xlsx]Comps!R13C81</stp>
        <stp>BEST_FPERIOD_OVERRIDE=21BC</stp>
        <tr r="CC13" s="5"/>
      </tp>
    </main>
    <main first="bofaddin.rtdserver">
      <tp t="s">
        <v>#N/A N/A</v>
        <stp/>
        <stp>BDH|12469385311409876470</stp>
        <tr r="AD382" s="2"/>
      </tp>
    </main>
    <main first="bofaddin.rtdserver">
      <tp t="s">
        <v>#N/A N/A</v>
        <stp/>
        <stp>BDH|14193928245520932462</stp>
        <tr r="AA368" s="2"/>
        <tr r="Z368" s="2"/>
      </tp>
    </main>
    <main first="bofaddin.rtdserver">
      <tp t="s">
        <v>#N/A N/A</v>
        <stp/>
        <stp>BDH|17318981043111361664</stp>
        <tr r="AJ382" s="2"/>
        <tr r="AK382" s="2"/>
      </tp>
      <tp t="s">
        <v>#N/A N/A</v>
        <stp/>
        <stp>BDH|12820210523878141775</stp>
        <tr r="R368" s="2"/>
      </tp>
    </main>
    <main first="bloomberg.rtd">
      <tp>
        <v>15.046829140294742</v>
        <stp/>
        <stp>##V3_BDPV12</stp>
        <stp>KDP Equity</stp>
        <stp>INTERVAL_AVG</stp>
        <stp>[Zach MARIANI KDP.xlsx]Comps!R7C71</stp>
        <stp>MARKET_DATA_OVERRIDE=BEST_CUR_EV_TO_EBITDA</stp>
        <stp xml:space="preserve">BEST_FPERIOD_OVERRIDE=1TY </stp>
        <stp xml:space="preserve">CALC_INTERVAL=5Y </stp>
        <tr r="BS7" s="5"/>
      </tp>
      <tp>
        <v>4.21</v>
        <stp/>
        <stp>##V3_BDPV12</stp>
        <stp>NESN SW Equity</stp>
        <stp>BEST_EPS</stp>
        <stp>[Zach MARIANI KDP.xlsx]Comps!R15C95</stp>
        <stp>BEST_FPERIOD_OVERRIDE=20BC</stp>
        <tr r="CQ15" s="5"/>
      </tp>
      <tp>
        <v>7859.8450000000003</v>
        <stp/>
        <stp>##V3_BDPV12</stp>
        <stp>SBUX Equity</stp>
        <stp>BEST_EBITDA</stp>
        <stp>[Zach MARIANI KDP.xlsx]Comps!R14C65</stp>
        <stp>BEST_FPERIOD_OVERRIDE=1TY</stp>
        <tr r="BM14" s="5"/>
      </tp>
    </main>
    <main first="bofaddin.rtdserver">
      <tp t="s">
        <v>#N/A N/A</v>
        <stp/>
        <stp>BDH|11274719506251071577</stp>
        <tr r="AC382" s="2"/>
      </tp>
    </main>
    <main first="bloomberg.rtd">
      <tp>
        <v>70372</v>
        <stp/>
        <stp>##V3_BDPV12</stp>
        <stp>PEP Equity</stp>
        <stp>BEST_SALES</stp>
        <stp>[Zach MARIANI KDP.xlsx]Comps!R12C79</stp>
        <stp>BEST_FPERIOD_OVERRIDE=20BC</stp>
        <tr r="CA12" s="5"/>
      </tp>
    </main>
    <main first="bofaddin.rtdserver">
      <tp t="s">
        <v>#N/A N/A</v>
        <stp/>
        <stp>BDH|15476271677161588360</stp>
        <tr r="Y382" s="2"/>
      </tp>
    </main>
    <main first="bofaddin.rtdserver">
      <tp t="s">
        <v>#N/A N/A</v>
        <stp/>
        <stp>BDH|14986557814200029238</stp>
        <tr r="S382" s="2"/>
      </tp>
    </main>
    <main first="bofaddin.rtdserver">
      <tp t="s">
        <v>#N/A N/A</v>
        <stp/>
        <stp>BDH|17303456702140979108</stp>
        <tr r="U382" s="2"/>
        <tr r="V382" s="2"/>
      </tp>
    </main>
    <main first="bofaddin.rtdserver">
      <tp t="s">
        <v>#N/A N/A</v>
        <stp/>
        <stp>BDH|14104796727651373235</stp>
        <tr r="AH382" s="2"/>
      </tp>
    </main>
    <main first="bloomberg.rtd">
      <tp>
        <v>116.46</v>
        <stp/>
        <stp>##V3_BDPV12</stp>
        <stp>NESN SW Equity</stp>
        <stp>INTERVAL_HIGH</stp>
        <stp>[Zach MARIANI KDP.xlsx]Comps!R15C53</stp>
        <stp>CALC_INTERVAL=52W</stp>
        <stp>END_DATE_OVERRIDE</stp>
        <stp>20230921</stp>
        <tr r="BA15" s="5"/>
      </tp>
      <tp>
        <v>4.42</v>
        <stp/>
        <stp>##V3_BDPV12</stp>
        <stp>NESN SW Equity</stp>
        <stp>BEST_EPS</stp>
        <stp>[Zach MARIANI KDP.xlsx]Comps!R15C97</stp>
        <stp>BEST_FPERIOD_OVERRIDE=21BC</stp>
        <tr r="CS15" s="5"/>
      </tp>
      <tp t="s">
        <v>#N/A Invalid Security</v>
        <stp/>
        <stp>##V3_BDPV12</stp>
        <stp>NESN SW US Equity</stp>
        <stp>INVENT_TURN</stp>
        <stp>[Zach MARIANI KDP.xlsx]Comps!R15C45</stp>
        <tr r="AS15" s="5"/>
      </tp>
    </main>
    <main first="bloomberg.rtd">
      <tp>
        <v>79474</v>
        <stp/>
        <stp>##V3_BDPV12</stp>
        <stp>PEP Equity</stp>
        <stp>BEST_SALES</stp>
        <stp>[Zach MARIANI KDP.xlsx]Comps!R12C81</stp>
        <stp>BEST_FPERIOD_OVERRIDE=21BC</stp>
        <tr r="CC12" s="5"/>
      </tp>
    </main>
    <main first="bloomberg.rtd">
      <tp>
        <v>1508.6999999999998</v>
        <stp/>
        <stp>##V3_BDPV12</stp>
        <stp>SJM Equity</stp>
        <stp>IS_ADJ_EBIT_OP_INC_AS_REPORTED</stp>
        <stp>[Zach MARIANI KDP.xlsx]Comps!R13C111</stp>
        <stp>EQY_FUND_YEAR=2020</stp>
        <tr r="DG13" s="5"/>
      </tp>
      <tp>
        <v>1528.8</v>
        <stp/>
        <stp>##V3_BDPV12</stp>
        <stp>SJM Equity</stp>
        <stp>IS_ADJ_EBIT_OP_INC_AS_REPORTED</stp>
        <stp>[Zach MARIANI KDP.xlsx]Comps!R13C113</stp>
        <stp>EQY_FUND_YEAR=2021</stp>
        <tr r="DI13" s="5"/>
      </tp>
      <tp>
        <v>1440.1</v>
        <stp/>
        <stp>##V3_BDPV12</stp>
        <stp>SJM Equity</stp>
        <stp>IS_ADJ_EBIT_OP_INC_AS_REPORTED</stp>
        <stp>[Zach MARIANI KDP.xlsx]Comps!R13C115</stp>
        <stp>EQY_FUND_YEAR=2022</stp>
        <tr r="DK13" s="5"/>
      </tp>
      <tp>
        <v>4.8</v>
        <stp/>
        <stp>##V3_BDPV12</stp>
        <stp>NESN SW Equity</stp>
        <stp>BEST_EPS</stp>
        <stp>[Zach MARIANI KDP.xlsx]Comps!R15C99</stp>
        <stp>BEST_FPERIOD_OVERRIDE=22BC</stp>
        <tr r="CU15" s="5"/>
      </tp>
      <tp>
        <v>1415.3999999999999</v>
        <stp/>
        <stp>##V3_BDPV12</stp>
        <stp>SJM Equity</stp>
        <stp>IS_ADJ_EBIT_OP_INC_AS_REPORTED</stp>
        <stp>[Zach MARIANI KDP.xlsx]Comps!R13C117</stp>
        <stp>EQY_FUND_YEAR=-0FY</stp>
        <tr r="DM13" s="5"/>
      </tp>
      <tp>
        <v>86392</v>
        <stp/>
        <stp>##V3_BDPV12</stp>
        <stp>PEP Equity</stp>
        <stp>BEST_SALES</stp>
        <stp>[Zach MARIANI KDP.xlsx]Comps!R12C83</stp>
        <stp>BEST_FPERIOD_OVERRIDE=22BC</stp>
        <tr r="CE12" s="5"/>
      </tp>
    </main>
    <main first="bloomberg.rtd">
      <tp>
        <v>4328</v>
        <stp/>
        <stp>##V3_BDPV12</stp>
        <stp>KO Equity</stp>
        <stp>BS_SH_OUT</stp>
        <stp>[Zach MARIANI KDP.xlsx]Comps!R11C56</stp>
        <tr r="BD11" s="5"/>
      </tp>
      <tp t="s">
        <v>Baa1</v>
        <stp/>
        <stp>##V3_BDPV12</stp>
        <stp>BO339157 Corp</stp>
        <stp>RTG_MOODY</stp>
        <stp>[Zach MARIANI KDP.xlsx]Debt!R7C14</stp>
        <tr r="N7" s="7"/>
      </tp>
      <tp>
        <v>1.2999999999999999E-3</v>
        <stp/>
        <stp>##V3_BDPV12</stp>
        <stp>HFCS55WS Index</stp>
        <stp>INTERVAL_PERCENT_CHANGE</stp>
        <stp>[Zach MARIANI KDP.xlsx]Tower!R251C41</stp>
        <stp>START_DATE_OVERRIDE</stp>
        <stp>20221231</stp>
        <stp>END_DATE_OVERRIDE</stp>
        <stp>20231231</stp>
        <tr r="AO251" s="2"/>
      </tp>
      <tp>
        <v>1.2999999999999999E-3</v>
        <stp/>
        <stp>##V3_BDPV12</stp>
        <stp>HFCS55WS Index</stp>
        <stp>INTERVAL_PERCENT_CHANGE</stp>
        <stp>[Zach MARIANI KDP.xlsx]Tower!R251C42</stp>
        <stp>START_DATE_OVERRIDE</stp>
        <stp>20221231</stp>
        <stp>END_DATE_OVERRIDE</stp>
        <stp>20231231</stp>
        <tr r="AP251" s="2"/>
      </tp>
      <tp>
        <v>4.9375999999999998</v>
        <stp/>
        <stp>##V3_BDPV12</stp>
        <stp>HFCS55WS Index</stp>
        <stp>INTERVAL_PERCENT_CHANGE</stp>
        <stp>[Zach MARIANI KDP.xlsx]Tower!R251C21</stp>
        <stp>START_DATE_OVERRIDE</stp>
        <stp>20181231</stp>
        <stp>END_DATE_OVERRIDE</stp>
        <stp>20191231</stp>
        <tr r="U251" s="2"/>
      </tp>
      <tp>
        <v>3.153</v>
        <stp/>
        <stp>##V3_BDPV12</stp>
        <stp>HFCS55WS Index</stp>
        <stp>INTERVAL_PERCENT_CHANGE</stp>
        <stp>[Zach MARIANI KDP.xlsx]Tower!R251C26</stp>
        <stp>START_DATE_OVERRIDE</stp>
        <stp>20191231</stp>
        <stp>END_DATE_OVERRIDE</stp>
        <stp>20201231</stp>
        <tr r="Z251" s="2"/>
      </tp>
      <tp>
        <v>5.7999999999999996E-3</v>
        <stp/>
        <stp>##V3_BDPV12</stp>
        <stp>HFCS55WS Index</stp>
        <stp>INTERVAL_PERCENT_CHANGE</stp>
        <stp>[Zach MARIANI KDP.xlsx]Tower!R251C33</stp>
        <stp>START_DATE_OVERRIDE</stp>
        <stp>20210331</stp>
        <stp>END_DATE_OVERRIDE</stp>
        <stp>20220331</stp>
        <tr r="AG251" s="2"/>
      </tp>
      <tp>
        <v>3.4220000000000002</v>
        <stp/>
        <stp>##V3_BDPV12</stp>
        <stp>HFCS55WS Index</stp>
        <stp>INTERVAL_PERCENT_CHANGE</stp>
        <stp>[Zach MARIANI KDP.xlsx]Tower!R251C16</stp>
        <stp>START_DATE_OVERRIDE</stp>
        <stp>20171231</stp>
        <stp>END_DATE_OVERRIDE</stp>
        <stp>20181231</stp>
        <tr r="P251" s="2"/>
      </tp>
      <tp>
        <v>16.0305</v>
        <stp/>
        <stp>##V3_BDPV12</stp>
        <stp>HFCS55WS Index</stp>
        <stp>INTERVAL_PERCENT_CHANGE</stp>
        <stp>[Zach MARIANI KDP.xlsx]Tower!R251C38</stp>
        <stp>START_DATE_OVERRIDE</stp>
        <stp>20220331</stp>
        <stp>END_DATE_OVERRIDE</stp>
        <stp>20230331</stp>
        <tr r="AL251" s="2"/>
      </tp>
      <tp>
        <v>16.029</v>
        <stp/>
        <stp>##V3_BDPV12</stp>
        <stp>HFCS55WS Index</stp>
        <stp>INTERVAL_PERCENT_CHANGE</stp>
        <stp>[Zach MARIANI KDP.xlsx]Tower!R251C36</stp>
        <stp>START_DATE_OVERRIDE</stp>
        <stp>20211231</stp>
        <stp>END_DATE_OVERRIDE</stp>
        <stp>20221231</stp>
        <tr r="AJ251" s="2"/>
      </tp>
      <tp>
        <v>4.9375999999999998</v>
        <stp/>
        <stp>##V3_BDPV12</stp>
        <stp>HFCS55WS Index</stp>
        <stp>INTERVAL_PERCENT_CHANGE</stp>
        <stp>[Zach MARIANI KDP.xlsx]Tower!R251C18</stp>
        <stp>START_DATE_OVERRIDE</stp>
        <stp>20180331</stp>
        <stp>END_DATE_OVERRIDE</stp>
        <stp>20190331</stp>
        <tr r="R251" s="2"/>
      </tp>
      <tp>
        <v>5.7999999999999996E-3</v>
        <stp/>
        <stp>##V3_BDPV12</stp>
        <stp>HFCS55WS Index</stp>
        <stp>INTERVAL_PERCENT_CHANGE</stp>
        <stp>[Zach MARIANI KDP.xlsx]Tower!R251C31</stp>
        <stp>START_DATE_OVERRIDE</stp>
        <stp>20201231</stp>
        <stp>END_DATE_OVERRIDE</stp>
        <stp>20211231</stp>
        <tr r="AE251" s="2"/>
      </tp>
      <tp>
        <v>3.153</v>
        <stp/>
        <stp>##V3_BDPV12</stp>
        <stp>HFCS55WS Index</stp>
        <stp>INTERVAL_PERCENT_CHANGE</stp>
        <stp>[Zach MARIANI KDP.xlsx]Tower!R251C23</stp>
        <stp>START_DATE_OVERRIDE</stp>
        <stp>20190331</stp>
        <stp>END_DATE_OVERRIDE</stp>
        <stp>20200331</stp>
        <tr r="W251" s="2"/>
      </tp>
      <tp>
        <v>0</v>
        <stp/>
        <stp>##V3_BDPV12</stp>
        <stp>HFCS55WS Index</stp>
        <stp>INTERVAL_PERCENT_CHANGE</stp>
        <stp>[Zach MARIANI KDP.xlsx]Tower!R251C28</stp>
        <stp>START_DATE_OVERRIDE</stp>
        <stp>20200331</stp>
        <stp>END_DATE_OVERRIDE</stp>
        <stp>20210331</stp>
        <tr r="AB251" s="2"/>
      </tp>
      <tp>
        <v>3.4220000000000002</v>
        <stp/>
        <stp>##V3_BDPV12</stp>
        <stp>HFCS55WS Index</stp>
        <stp>INTERVAL_PERCENT_CHANGE</stp>
        <stp>[Zach MARIANI KDP.xlsx]Tower!R251C13</stp>
        <stp>START_DATE_OVERRIDE</stp>
        <stp>20170331</stp>
        <stp>END_DATE_OVERRIDE</stp>
        <stp>20180331</stp>
        <tr r="M251" s="2"/>
      </tp>
    </main>
    <main first="bofaddin.rtdserver">
      <tp t="s">
        <v>#N/A N/A</v>
        <stp/>
        <stp>BDH|17469161337155129165</stp>
        <tr r="AL382" s="2"/>
      </tp>
    </main>
    <main first="bloomberg.rtd">
      <tp>
        <v>92449.722000000009</v>
        <stp/>
        <stp>##V3_BDPV12</stp>
        <stp>PEP Equity</stp>
        <stp>BEST_SALES</stp>
        <stp>[Zach MARIANI KDP.xlsx]Comps!R12C85</stp>
        <stp>BEST_FPERIOD_OVERRIDE=23BC</stp>
        <tr r="CG12" s="5"/>
      </tp>
    </main>
    <main first="bofaddin.rtdserver">
      <tp t="s">
        <v>#N/A N/A</v>
        <stp/>
        <stp>BDH|11933496816555545086</stp>
        <tr r="R382" s="2"/>
      </tp>
    </main>
    <main first="bloomberg.rtd">
      <tp>
        <v>14.151646066086402</v>
        <stp/>
        <stp>##V3_BDPV12</stp>
        <stp>KDP Equity</stp>
        <stp>INTERVAL_AVG</stp>
        <stp>[Zach MARIANI KDP.xlsx]Comps!R7C67</stp>
        <stp>MARKET_DATA_OVERRIDE=BEST_CUR_EV_TO_EBITDA</stp>
        <stp xml:space="preserve">BEST_FPERIOD_OVERRIDE=1TY </stp>
        <stp xml:space="preserve">CALC_INTERVAL=1Y </stp>
        <tr r="BO7" s="5"/>
      </tp>
      <tp>
        <v>4.3</v>
        <stp/>
        <stp>##V3_BDPV12</stp>
        <stp>PEP Equity</stp>
        <stp>ORGANIC_GROWTH</stp>
        <stp>[Zach MARIANI KDP.xlsx]Comps!R12C103</stp>
        <stp>EQY_FUND_YEAR=2020</stp>
        <tr r="CY12" s="5"/>
      </tp>
      <tp>
        <v>9.5</v>
        <stp/>
        <stp>##V3_BDPV12</stp>
        <stp>PEP Equity</stp>
        <stp>ORGANIC_GROWTH</stp>
        <stp>[Zach MARIANI KDP.xlsx]Comps!R12C105</stp>
        <stp>EQY_FUND_YEAR=2021</stp>
        <tr r="DA12" s="5"/>
      </tp>
      <tp>
        <v>14.4</v>
        <stp/>
        <stp>##V3_BDPV12</stp>
        <stp>PEP Equity</stp>
        <stp>ORGANIC_GROWTH</stp>
        <stp>[Zach MARIANI KDP.xlsx]Comps!R12C107</stp>
        <stp>EQY_FUND_YEAR=2022</stp>
        <tr r="DC12" s="5"/>
      </tp>
      <tp t="s">
        <v>Baa1</v>
        <stp/>
        <stp>##V3_BDPV12</stp>
        <stp>BV815699 Corp</stp>
        <stp>RTG_MOODY</stp>
        <stp>[Zach MARIANI KDP.xlsx]Debt!R9C14</stp>
        <tr r="N9" s="7"/>
      </tp>
    </main>
    <main first="bofaddin.rtdserver">
      <tp t="s">
        <v>#N/A N/A</v>
        <stp/>
        <stp>BDH|12514793848044413376</stp>
        <tr r="AC368" s="2"/>
      </tp>
      <tp t="s">
        <v>#N/A N/A</v>
        <stp/>
        <stp>BDH|16862544207595193010</stp>
        <tr r="T368" s="2"/>
      </tp>
    </main>
    <main first="bloomberg.rtd">
      <tp>
        <v>3.153</v>
        <stp/>
        <stp>##V3_BDPV12</stp>
        <stp>HFCS55WS Index</stp>
        <stp>INTERVAL_PERCENT_CHANGE</stp>
        <stp>[Zach MARIANI KDP.xlsx]Tower!R251C24</stp>
        <stp>START_DATE_OVERRIDE</stp>
        <stp>20190630</stp>
        <stp>END_DATE_OVERRIDE</stp>
        <stp>20200630</stp>
        <tr r="X251" s="2"/>
      </tp>
      <tp>
        <v>4.9375999999999998</v>
        <stp/>
        <stp>##V3_BDPV12</stp>
        <stp>HFCS55WS Index</stp>
        <stp>INTERVAL_PERCENT_CHANGE</stp>
        <stp>[Zach MARIANI KDP.xlsx]Tower!R251C19</stp>
        <stp>START_DATE_OVERRIDE</stp>
        <stp>20180630</stp>
        <stp>END_DATE_OVERRIDE</stp>
        <stp>20190630</stp>
        <tr r="S251" s="2"/>
      </tp>
      <tp>
        <v>3.4220000000000002</v>
        <stp/>
        <stp>##V3_BDPV12</stp>
        <stp>HFCS55WS Index</stp>
        <stp>INTERVAL_PERCENT_CHANGE</stp>
        <stp>[Zach MARIANI KDP.xlsx]Tower!R251C14</stp>
        <stp>START_DATE_OVERRIDE</stp>
        <stp>20170630</stp>
        <stp>END_DATE_OVERRIDE</stp>
        <stp>20180630</stp>
        <tr r="N251" s="2"/>
      </tp>
      <tp>
        <v>0</v>
        <stp/>
        <stp>##V3_BDPV12</stp>
        <stp>HFCS55WS Index</stp>
        <stp>INTERVAL_PERCENT_CHANGE</stp>
        <stp>[Zach MARIANI KDP.xlsx]Tower!R251C29</stp>
        <stp>START_DATE_OVERRIDE</stp>
        <stp>20200630</stp>
        <stp>END_DATE_OVERRIDE</stp>
        <stp>20210630</stp>
        <tr r="AC251" s="2"/>
      </tp>
      <tp>
        <v>5.7999999999999996E-3</v>
        <stp/>
        <stp>##V3_BDPV12</stp>
        <stp>HFCS55WS Index</stp>
        <stp>INTERVAL_PERCENT_CHANGE</stp>
        <stp>[Zach MARIANI KDP.xlsx]Tower!R251C34</stp>
        <stp>START_DATE_OVERRIDE</stp>
        <stp>20210630</stp>
        <stp>END_DATE_OVERRIDE</stp>
        <stp>20220630</stp>
        <tr r="AH251" s="2"/>
      </tp>
      <tp>
        <v>16.0305</v>
        <stp/>
        <stp>##V3_BDPV12</stp>
        <stp>HFCS55WS Index</stp>
        <stp>INTERVAL_PERCENT_CHANGE</stp>
        <stp>[Zach MARIANI KDP.xlsx]Tower!R251C39</stp>
        <stp>START_DATE_OVERRIDE</stp>
        <stp>20220630</stp>
        <stp>END_DATE_OVERRIDE</stp>
        <stp>20230630</stp>
        <tr r="AM251" s="2"/>
      </tp>
    </main>
    <main first="bofaddin.rtdserver">
      <tp t="s">
        <v>#N/A N/A</v>
        <stp/>
        <stp>BDH|16349144679795181142</stp>
        <tr r="T382" s="2"/>
      </tp>
      <tp t="s">
        <v>#N/A N/A</v>
        <stp/>
        <stp>BDH|15541074243007727282</stp>
        <tr r="X382" s="2"/>
      </tp>
    </main>
    <main first="bloomberg.rtd">
      <tp>
        <v>14.825082319569518</v>
        <stp/>
        <stp>##V3_BDPV12</stp>
        <stp>KDP Equity</stp>
        <stp>INTERVAL_AVG</stp>
        <stp>[Zach MARIANI KDP.xlsx]Comps!R7C69</stp>
        <stp>MARKET_DATA_OVERRIDE=BEST_CUR_EV_TO_EBITDA</stp>
        <stp xml:space="preserve">BEST_FPERIOD_OVERRIDE=1TY </stp>
        <stp xml:space="preserve">CALC_INTERVAL=2Y </stp>
        <tr r="BQ7" s="5"/>
      </tp>
      <tp>
        <v>93.564999999999998</v>
        <stp/>
        <stp>##V3_BDPV12</stp>
        <stp>SBUX Equity</stp>
        <stp>PX_LAST</stp>
        <stp>[Zach MARIANI KDP.xlsx]Comps!R14C5</stp>
        <tr r="E14" s="5"/>
      </tp>
    </main>
    <main first="bofaddin.rtdserver">
      <tp t="s">
        <v>#N/A N/A</v>
        <stp/>
        <stp>BDH|13960749551875072148</stp>
        <tr r="W368" s="2"/>
      </tp>
    </main>
    <main first="bloomberg.rtd">
      <tp t="s">
        <v>Y</v>
        <stp/>
        <stp>##V3_BDPV12</stp>
        <stp>AL578753 Corp</stp>
        <stp>CALLABLE</stp>
        <stp>[Zach MARIANI KDP.xlsx]Debt!R22C7</stp>
        <tr r="G22" s="7"/>
      </tp>
      <tp t="s">
        <v>12/15/2023</v>
        <stp/>
        <stp>##V3_BDPV12</stp>
        <stp>AL578101 Corp</stp>
        <stp>MATURITY</stp>
        <stp>[Zach MARIANI KDP.xlsx]Debt!R11C5</stp>
        <tr r="E11" s="7"/>
      </tp>
      <tp>
        <v>750000000</v>
        <stp/>
        <stp>##V3_BDPV12</stp>
        <stp>BH631196 Corp</stp>
        <stp>AMT_OUTSTANDING</stp>
        <stp>[Zach MARIANI KDP.xlsx]Debt!R13C9</stp>
        <tr r="I13" s="7"/>
      </tp>
      <tp>
        <v>498000000</v>
        <stp/>
        <stp>##V3_BDPV12</stp>
        <stp>AL578155 Corp</stp>
        <stp>AMT_OUTSTANDING</stp>
        <stp>[Zach MARIANI KDP.xlsx]Debt!R19C9</stp>
        <tr r="I19" s="7"/>
      </tp>
      <tp t="s">
        <v>11/15/2025</v>
        <stp/>
        <stp>##V3_BDPV12</stp>
        <stp>QJ508221 Corp</stp>
        <stp>MATURITY</stp>
        <stp>[Zach MARIANI KDP.xlsx]Debt!R15C5</stp>
        <tr r="E15" s="7"/>
      </tp>
      <tp t="s">
        <v>3/15/2051</v>
        <stp/>
        <stp>##V3_BDPV12</stp>
        <stp>BO339159 Corp</stp>
        <stp>MATURITY</stp>
        <stp>[Zach MARIANI KDP.xlsx]Debt!R23C5</stp>
        <tr r="E23" s="7"/>
      </tp>
      <tp t="s">
        <v>5/1/2030</v>
        <stp/>
        <stp>##V3_BDPV12</stp>
        <stp>BH631195 Corp</stp>
        <stp>MATURITY</stp>
        <stp>[Zach MARIANI KDP.xlsx]Debt!R14C5</stp>
        <tr r="E14" s="7"/>
      </tp>
      <tp>
        <v>1699999.9999998799</v>
        <stp/>
        <stp>##V3_BDPV12</stp>
        <stp>AS645505 Corp</stp>
        <stp>AMT_OUTSTANDING</stp>
        <stp>[Zach MARIANI KDP.xlsx]Debt!R25C9</stp>
        <tr r="I25" s="7"/>
      </tp>
      <tp>
        <v>0</v>
        <stp/>
        <stp>##V3_BDPV12</stp>
        <stp>SBUX Equity</stp>
        <stp>BS_PFD_EQY</stp>
        <stp>[Zach MARIANI KDP.xlsx]Comps!R14C60</stp>
        <stp>FUND_PER=Q</stp>
        <tr r="BH14" s="5"/>
      </tp>
      <tp>
        <v>0</v>
        <stp/>
        <stp>##V3_BDPV12</stp>
        <stp>KDP Equity</stp>
        <stp>BS_PFD_EQY</stp>
        <stp>[Zach MARIANI KDP.xlsx]Comps!R7C60</stp>
        <stp>FUND_PER=Q</stp>
        <tr r="BH7" s="5"/>
      </tp>
      <tp t="s">
        <v>2/23/2027</v>
        <stp/>
        <stp>##V3_BDPV12</stp>
        <stp>BL389364 Corp</stp>
        <stp>MATURITY</stp>
        <stp>[Zach MARIANI KDP.xlsx]Debt!R31C5</stp>
        <tr r="E31" s="7"/>
      </tp>
      <tp t="s">
        <v>Y</v>
        <stp/>
        <stp>##V3_BDPV12</stp>
        <stp>BH631196 Corp</stp>
        <stp>CALLABLE</stp>
        <stp>[Zach MARIANI KDP.xlsx]Debt!R13C7</stp>
        <tr r="G13" s="7"/>
      </tp>
      <tp>
        <v>9.7639999999999993</v>
        <stp/>
        <stp>##V3_BDPV12</stp>
        <stp>SJM Equity</stp>
        <stp>BEST_EPS</stp>
        <stp>[Zach MARIANI KDP.xlsx]Comps!R13C64</stp>
        <stp>BEST_FPERIOD_OVERRIDE=1TY</stp>
        <tr r="BL13" s="5"/>
      </tp>
      <tp t="s">
        <v>3/15/2031</v>
        <stp/>
        <stp>##V3_BDPV12</stp>
        <stp>BO339158 Corp</stp>
        <stp>MATURITY</stp>
        <stp>[Zach MARIANI KDP.xlsx]Debt!R21C5</stp>
        <tr r="E21" s="7"/>
      </tp>
      <tp t="s">
        <v>Y</v>
        <stp/>
        <stp>##V3_BDPV12</stp>
        <stp>BH631195 Corp</stp>
        <stp>CALLABLE</stp>
        <stp>[Zach MARIANI KDP.xlsx]Debt!R14C7</stp>
        <tr r="G14" s="7"/>
      </tp>
      <tp t="s">
        <v>11/9/2015</v>
        <stp/>
        <stp>##V3_BDPV12</stp>
        <stp>QJ508726 Corp</stp>
        <stp>ISSUE_DT</stp>
        <stp>[Zach MARIANI KDP.xlsx]Debt!R18C6</stp>
        <tr r="F18" s="7"/>
      </tp>
      <tp t="s">
        <v>Y</v>
        <stp/>
        <stp>##V3_BDPV12</stp>
        <stp>BO339159 Corp</stp>
        <stp>CALLABLE</stp>
        <stp>[Zach MARIANI KDP.xlsx]Debt!R23C7</stp>
        <tr r="G23" s="7"/>
      </tp>
      <tp t="s">
        <v>Y</v>
        <stp/>
        <stp>##V3_BDPV12</stp>
        <stp>QJ508221 Corp</stp>
        <stp>CALLABLE</stp>
        <stp>[Zach MARIANI KDP.xlsx]Debt!R15C7</stp>
        <tr r="G15" s="7"/>
      </tp>
      <tp>
        <v>102.1421</v>
        <stp/>
        <stp>##V3_BDPV12</stp>
        <stp>SJM Equity</stp>
        <stp>EQY_SH_OUT</stp>
        <stp>[Zach MARIANI KDP.xlsx]Comps!R13C55</stp>
        <tr r="BC13" s="5"/>
      </tp>
      <tp t="s">
        <v>12/14/2016</v>
        <stp/>
        <stp>##V3_BDPV12</stp>
        <stp>AL578155 Corp</stp>
        <stp>ISSUE_DT</stp>
        <stp>[Zach MARIANI KDP.xlsx]Debt!R19C6</stp>
        <tr r="F19" s="7"/>
      </tp>
      <tp t="s">
        <v>Y</v>
        <stp/>
        <stp>##V3_BDPV12</stp>
        <stp>AL578101 Corp</stp>
        <stp>CALLABLE</stp>
        <stp>[Zach MARIANI KDP.xlsx]Debt!R11C7</stp>
        <tr r="G11" s="7"/>
      </tp>
      <tp t="s">
        <v>12/15/2046</v>
        <stp/>
        <stp>##V3_BDPV12</stp>
        <stp>AL578753 Corp</stp>
        <stp>MATURITY</stp>
        <stp>[Zach MARIANI KDP.xlsx]Debt!R22C5</stp>
        <tr r="E22" s="7"/>
      </tp>
      <tp>
        <v>1150000000</v>
        <stp/>
        <stp>##V3_BDPV12</stp>
        <stp>BV815715 Corp</stp>
        <stp>AMT_OUTSTANDING</stp>
        <stp>[Zach MARIANI KDP.xlsx]Debt!R12C9</stp>
        <tr r="I12" s="7"/>
      </tp>
      <tp>
        <v>43621</v>
        <stp/>
        <stp>##V3_BDPV12</stp>
        <stp>PEP Equity</stp>
        <stp>SHORT_AND_LONG_TERM_DEBT</stp>
        <stp>[Zach MARIANI KDP.xlsx]Comps!R12C58</stp>
        <stp>FUND_PER=Q</stp>
        <tr r="BF12" s="5"/>
      </tp>
      <tp t="s">
        <v>Y</v>
        <stp/>
        <stp>##V3_BDPV12</stp>
        <stp>BO339158 Corp</stp>
        <stp>CALLABLE</stp>
        <stp>[Zach MARIANI KDP.xlsx]Debt!R21C7</stp>
        <tr r="G21" s="7"/>
      </tp>
      <tp t="s">
        <v>5/1/2050</v>
        <stp/>
        <stp>##V3_BDPV12</stp>
        <stp>BH631196 Corp</stp>
        <stp>MATURITY</stp>
        <stp>[Zach MARIANI KDP.xlsx]Debt!R13C5</stp>
        <tr r="E13" s="7"/>
      </tp>
      <tp>
        <v>1.7850000000000001</v>
        <stp/>
        <stp>##V3_BDPV12</stp>
        <stp>KDP Equity</stp>
        <stp>BEST_EPS</stp>
        <stp>[Zach MARIANI KDP.xlsx]Comps!R7C101</stp>
        <stp>BEST_FPERIOD_OVERRIDE=23BC</stp>
        <tr r="CW7" s="5"/>
      </tp>
      <tp>
        <v>24371.199999999997</v>
        <stp/>
        <stp>##V3_BDPV12</stp>
        <stp>SBUX Equity</stp>
        <stp>SHORT_AND_LONG_TERM_DEBT</stp>
        <stp>[Zach MARIANI KDP.xlsx]Comps!R14C58</stp>
        <stp>FUND_PER=Q</stp>
        <tr r="BF14" s="5"/>
      </tp>
      <tp>
        <v>4495.2000000000007</v>
        <stp/>
        <stp>##V3_BDPV12</stp>
        <stp>SJM Equity</stp>
        <stp>SHORT_AND_LONG_TERM_DEBT</stp>
        <stp>[Zach MARIANI KDP.xlsx]Comps!R13C58</stp>
        <stp>FUND_PER=Q</stp>
        <tr r="BF13" s="5"/>
      </tp>
      <tp t="s">
        <v>N</v>
        <stp/>
        <stp>##V3_BDPV12</stp>
        <stp>BL389364 Corp</stp>
        <stp>CALLABLE</stp>
        <stp>[Zach MARIANI KDP.xlsx]Debt!R31C7</stp>
        <tr r="G31" s="7"/>
      </tp>
      <tp>
        <v>750000000</v>
        <stp/>
        <stp>##V3_BDPV12</stp>
        <stp>BH631195 Corp</stp>
        <stp>AMT_OUTSTANDING</stp>
        <stp>[Zach MARIANI KDP.xlsx]Debt!R14C9</stp>
        <tr r="I14" s="7"/>
      </tp>
      <tp>
        <v>0</v>
        <stp/>
        <stp>##V3_BDPV12</stp>
        <stp>SJM Equity</stp>
        <stp>MINORITY_NONCONTROLLING_INTEREST</stp>
        <stp>[Zach MARIANI KDP.xlsx]Comps!R13C60</stp>
        <stp>FUND_PER=Q</stp>
        <tr r="BH13" s="5"/>
      </tp>
      <tp>
        <v>7</v>
        <stp/>
        <stp>##V3_BDPV12</stp>
        <stp>SBUX Equity</stp>
        <stp>MINORITY_NONCONTROLLING_INTEREST</stp>
        <stp>[Zach MARIANI KDP.xlsx]Comps!R14C60</stp>
        <stp>FUND_PER=Q</stp>
        <tr r="BH14" s="5"/>
      </tp>
      <tp t="s">
        <v>12/14/2016</v>
        <stp/>
        <stp>##V3_BDPV12</stp>
        <stp>AL578753 Corp</stp>
        <stp>ISSUE_DT</stp>
        <stp>[Zach MARIANI KDP.xlsx]Debt!R22C6</stp>
        <tr r="F22" s="7"/>
      </tp>
      <tp>
        <v>3191</v>
        <stp/>
        <stp>##V3_BDPV12</stp>
        <stp>KDP Equity</stp>
        <stp>IS_ADJ_EBIT_OP_INC_AS_REPORTED</stp>
        <stp>[Zach MARIANI KDP.xlsx]Comps!R7C111</stp>
        <stp>EQY_FUND_YEAR=2020</stp>
        <tr r="DG7" s="5"/>
      </tp>
      <tp>
        <v>3421</v>
        <stp/>
        <stp>##V3_BDPV12</stp>
        <stp>KDP Equity</stp>
        <stp>IS_ADJ_EBIT_OP_INC_AS_REPORTED</stp>
        <stp>[Zach MARIANI KDP.xlsx]Comps!R7C113</stp>
        <stp>EQY_FUND_YEAR=2021</stp>
        <tr r="DI7" s="5"/>
      </tp>
      <tp>
        <v>3538</v>
        <stp/>
        <stp>##V3_BDPV12</stp>
        <stp>KDP Equity</stp>
        <stp>IS_ADJ_EBIT_OP_INC_AS_REPORTED</stp>
        <stp>[Zach MARIANI KDP.xlsx]Comps!R7C115</stp>
        <stp>EQY_FUND_YEAR=2022</stp>
        <tr r="DK7" s="5"/>
      </tp>
      <tp t="s">
        <v>6/15/2027</v>
        <stp/>
        <stp>##V3_BDPV12</stp>
        <stp>AL578155 Corp</stp>
        <stp>MATURITY</stp>
        <stp>[Zach MARIANI KDP.xlsx]Debt!R19C5</stp>
        <tr r="E19" s="7"/>
      </tp>
      <tp>
        <v>3538</v>
        <stp/>
        <stp>##V3_BDPV12</stp>
        <stp>KDP Equity</stp>
        <stp>IS_ADJ_EBIT_OP_INC_AS_REPORTED</stp>
        <stp>[Zach MARIANI KDP.xlsx]Comps!R7C117</stp>
        <stp>EQY_FUND_YEAR=-0FY</stp>
        <tr r="DM7" s="5"/>
      </tp>
      <tp>
        <v>13079</v>
        <stp/>
        <stp>##V3_BDPV12</stp>
        <stp>PEP Equity</stp>
        <stp>BEST_EBITDA</stp>
        <stp>[Zach MARIANI KDP.xlsx]Comps!R12C87</stp>
        <stp>BEST_FPERIOD_OVERRIDE=20BC</stp>
        <tr r="CI12" s="5"/>
      </tp>
      <tp>
        <v>500000000</v>
        <stp/>
        <stp>##V3_BDPV12</stp>
        <stp>BO339159 Corp</stp>
        <stp>AMT_OUTSTANDING</stp>
        <stp>[Zach MARIANI KDP.xlsx]Debt!R23C9</stp>
        <tr r="I23" s="7"/>
      </tp>
      <tp>
        <v>500000000</v>
        <stp/>
        <stp>##V3_BDPV12</stp>
        <stp>AL578101 Corp</stp>
        <stp>AMT_OUTSTANDING</stp>
        <stp>[Zach MARIANI KDP.xlsx]Debt!R11C9</stp>
        <tr r="I11" s="7"/>
      </tp>
      <tp>
        <v>140</v>
        <stp/>
        <stp>##V3_BDPV12</stp>
        <stp>PEP Equity</stp>
        <stp>MINORITY_NONCONTROLLING_INTEREST</stp>
        <stp>[Zach MARIANI KDP.xlsx]Comps!R12C60</stp>
        <stp>FUND_PER=Q</stp>
        <tr r="BH12" s="5"/>
      </tp>
      <tp t="s">
        <v>11/15/2045</v>
        <stp/>
        <stp>##V3_BDPV12</stp>
        <stp>QJ508726 Corp</stp>
        <stp>MATURITY</stp>
        <stp>[Zach MARIANI KDP.xlsx]Debt!R18C5</stp>
        <tr r="E18" s="7"/>
      </tp>
      <tp>
        <v>14124</v>
        <stp/>
        <stp>##V3_BDPV12</stp>
        <stp>PEP Equity</stp>
        <stp>BEST_EBITDA</stp>
        <stp>[Zach MARIANI KDP.xlsx]Comps!R12C89</stp>
        <stp>BEST_FPERIOD_OVERRIDE=21BC</stp>
        <tr r="CK12" s="5"/>
      </tp>
      <tp>
        <v>1145.3999999999999</v>
        <stp/>
        <stp>##V3_BDPV12</stp>
        <stp>SBUX Equity</stp>
        <stp>EQY_SH_OUT</stp>
        <stp>[Zach MARIANI KDP.xlsx]Comps!R14C55</stp>
        <tr r="BC14" s="5"/>
      </tp>
      <tp>
        <v>15088</v>
        <stp/>
        <stp>##V3_BDPV12</stp>
        <stp>PEP Equity</stp>
        <stp>BEST_EBITDA</stp>
        <stp>[Zach MARIANI KDP.xlsx]Comps!R12C91</stp>
        <stp>BEST_FPERIOD_OVERRIDE=22BC</stp>
        <tr r="CM12" s="5"/>
      </tp>
      <tp>
        <v>0</v>
        <stp/>
        <stp>##V3_BDPV12</stp>
        <stp>BL389364 Corp</stp>
        <stp>AMT_OUTSTANDING</stp>
        <stp>[Zach MARIANI KDP.xlsx]Debt!R31C9</stp>
        <tr r="I31" s="7"/>
      </tp>
      <tp>
        <v>500000000</v>
        <stp/>
        <stp>##V3_BDPV12</stp>
        <stp>BO339158 Corp</stp>
        <stp>AMT_OUTSTANDING</stp>
        <stp>[Zach MARIANI KDP.xlsx]Debt!R21C9</stp>
        <tr r="I21" s="7"/>
      </tp>
      <tp>
        <v>16</v>
        <stp/>
        <stp>##V3_BDPV12</stp>
        <stp>KO Equity</stp>
        <stp>ORGANIC_GROWTH</stp>
        <stp>[Zach MARIANI KDP.xlsx]Comps!R11C109</stp>
        <stp>EQY_FUND_RELATIVE_PERIOD=-0FY</stp>
        <tr r="DE11" s="5"/>
      </tp>
      <tp>
        <v>4.21</v>
        <stp/>
        <stp>##V3_BDPV12</stp>
        <stp>NESN SW Equity</stp>
        <stp>IS_ADJUSTED_EPS_AS_REPORTED</stp>
        <stp>[Zach MARIANI KDP.xlsx]Comps!R15C119</stp>
        <stp>EQY_FUND_YEAR=2020</stp>
        <tr r="DO15" s="5"/>
      </tp>
      <tp>
        <v>4.8</v>
        <stp/>
        <stp>##V3_BDPV12</stp>
        <stp>NESN SW Equity</stp>
        <stp>IS_ADJUSTED_EPS_AS_REPORTED</stp>
        <stp>[Zach MARIANI KDP.xlsx]Comps!R15C123</stp>
        <stp>EQY_FUND_YEAR=2022</stp>
        <tr r="DS15" s="5"/>
      </tp>
      <tp>
        <v>4.42</v>
        <stp/>
        <stp>##V3_BDPV12</stp>
        <stp>NESN SW Equity</stp>
        <stp>IS_ADJUSTED_EPS_AS_REPORTED</stp>
        <stp>[Zach MARIANI KDP.xlsx]Comps!R15C121</stp>
        <stp>EQY_FUND_YEAR=2021</stp>
        <tr r="DQ15" s="5"/>
      </tp>
      <tp t="s">
        <v>4/13/2020</v>
        <stp/>
        <stp>##V3_BDPV12</stp>
        <stp>BH631196 Corp</stp>
        <stp>ISSUE_DT</stp>
        <stp>[Zach MARIANI KDP.xlsx]Debt!R13C6</stp>
        <tr r="F13" s="7"/>
      </tp>
      <tp>
        <v>4.8</v>
        <stp/>
        <stp>##V3_BDPV12</stp>
        <stp>NESN SW Equity</stp>
        <stp>IS_ADJUSTED_EPS_AS_REPORTED</stp>
        <stp>[Zach MARIANI KDP.xlsx]Comps!R15C125</stp>
        <stp>EQY_FUND_YEAR=-0FY</stp>
        <tr r="DU15" s="5"/>
      </tp>
      <tp>
        <v>16738.938000000002</v>
        <stp/>
        <stp>##V3_BDPV12</stp>
        <stp>PEP Equity</stp>
        <stp>BEST_EBITDA</stp>
        <stp>[Zach MARIANI KDP.xlsx]Comps!R12C93</stp>
        <stp>BEST_FPERIOD_OVERRIDE=23BC</stp>
        <tr r="CO12" s="5"/>
      </tp>
      <tp>
        <v>400000000</v>
        <stp/>
        <stp>##V3_BDPV12</stp>
        <stp>AL578753 Corp</stp>
        <stp>AMT_OUTSTANDING</stp>
        <stp>[Zach MARIANI KDP.xlsx]Debt!R22C9</stp>
        <tr r="I22" s="7"/>
      </tp>
      <tp t="s">
        <v>3/15/2021</v>
        <stp/>
        <stp>##V3_BDPV12</stp>
        <stp>BO339159 Corp</stp>
        <stp>ISSUE_DT</stp>
        <stp>[Zach MARIANI KDP.xlsx]Debt!R23C6</stp>
        <tr r="F23" s="7"/>
      </tp>
      <tp t="s">
        <v>11/9/2015</v>
        <stp/>
        <stp>##V3_BDPV12</stp>
        <stp>QJ508221 Corp</stp>
        <stp>ISSUE_DT</stp>
        <stp>[Zach MARIANI KDP.xlsx]Debt!R15C6</stp>
        <tr r="F15" s="7"/>
      </tp>
      <tp t="s">
        <v>Y</v>
        <stp/>
        <stp>##V3_BDPV12</stp>
        <stp>QJ508726 Corp</stp>
        <stp>CALLABLE</stp>
        <stp>[Zach MARIANI KDP.xlsx]Debt!R18C7</stp>
        <tr r="G18" s="7"/>
      </tp>
      <tp t="s">
        <v>4/13/2020</v>
        <stp/>
        <stp>##V3_BDPV12</stp>
        <stp>BH631195 Corp</stp>
        <stp>ISSUE_DT</stp>
        <stp>[Zach MARIANI KDP.xlsx]Debt!R14C6</stp>
        <tr r="F14" s="7"/>
      </tp>
      <tp>
        <v>15694</v>
        <stp/>
        <stp>##V3_BDPV12</stp>
        <stp>KO Equity</stp>
        <stp>CASH_AND_MARKETABLE_SECURITIES</stp>
        <stp>[Zach MARIANI KDP.xlsx]Comps!R11C62</stp>
        <stp>FUND_PER=Q</stp>
        <tr r="BJ11" s="5"/>
      </tp>
      <tp t="s">
        <v>12/14/2016</v>
        <stp/>
        <stp>##V3_BDPV12</stp>
        <stp>AL578101 Corp</stp>
        <stp>ISSUE_DT</stp>
        <stp>[Zach MARIANI KDP.xlsx]Debt!R11C6</stp>
        <tr r="F11" s="7"/>
      </tp>
      <tp t="s">
        <v>Y</v>
        <stp/>
        <stp>##V3_BDPV12</stp>
        <stp>AL578155 Corp</stp>
        <stp>CALLABLE</stp>
        <stp>[Zach MARIANI KDP.xlsx]Debt!R19C7</stp>
        <tr r="G19" s="7"/>
      </tp>
      <tp>
        <v>3.9210000000000003</v>
        <stp/>
        <stp>##V3_BDPV12</stp>
        <stp>SBUX Equity</stp>
        <stp>BEST_EPS</stp>
        <stp>[Zach MARIANI KDP.xlsx]Comps!R14C64</stp>
        <stp>BEST_FPERIOD_OVERRIDE=1TY</stp>
        <tr r="BL14" s="5"/>
      </tp>
      <tp>
        <v>1408.3942930000001</v>
        <stp/>
        <stp>##V3_BDPV12</stp>
        <stp>KDP Equity</stp>
        <stp>BS_SH_OUT</stp>
        <stp>[Zach MARIANI KDP.xlsx]Comps!R7C56</stp>
        <tr r="BD7" s="5"/>
      </tp>
      <tp t="s">
        <v>3/15/2021</v>
        <stp/>
        <stp>##V3_BDPV12</stp>
        <stp>BO339158 Corp</stp>
        <stp>ISSUE_DT</stp>
        <stp>[Zach MARIANI KDP.xlsx]Debt!R21C6</stp>
        <tr r="F21" s="7"/>
      </tp>
      <tp t="s">
        <v>2/23/2022</v>
        <stp/>
        <stp>##V3_BDPV12</stp>
        <stp>BL389364 Corp</stp>
        <stp>ISSUE_DT</stp>
        <stp>[Zach MARIANI KDP.xlsx]Debt!R31C6</stp>
        <tr r="F31" s="7"/>
      </tp>
      <tp>
        <v>1539</v>
        <stp/>
        <stp>##V3_BDPV12</stp>
        <stp>KO Equity</stp>
        <stp>MINORITY_NONCONTROLLING_INTEREST</stp>
        <stp>[Zach MARIANI KDP.xlsx]Comps!R11C60</stp>
        <stp>FUND_PER=Q</stp>
        <tr r="BH11" s="5"/>
      </tp>
      <tp t="s">
        <v>5/31/2019</v>
        <stp/>
        <stp>##V3_BDPV12</stp>
        <stp>ZS464615 Corp</stp>
        <stp>ISSUE_DT</stp>
        <stp>[Zach MARIANI KDP.xlsx]Debt!R24C6</stp>
        <tr r="F24" s="7"/>
      </tp>
      <tp t="s">
        <v>5/31/2019</v>
        <stp/>
        <stp>##V3_BDPV12</stp>
        <stp>ZS462236 Corp</stp>
        <stp>ISSUE_DT</stp>
        <stp>[Zach MARIANI KDP.xlsx]Debt!R10C6</stp>
        <tr r="F10" s="7"/>
      </tp>
      <tp t="s">
        <v>Baa1</v>
        <stp/>
        <stp>##V3_BDPV12</stp>
        <stp>AL578753 Corp</stp>
        <stp>RTG_MOODY</stp>
        <stp>[Zach MARIANI KDP.xlsx]Debt!R22C14</stp>
        <tr r="N22" s="7"/>
      </tp>
      <tp t="s">
        <v>Baa1</v>
        <stp/>
        <stp>##V3_BDPV12</stp>
        <stp>BV815715 Corp</stp>
        <stp>RTG_MOODY</stp>
        <stp>[Zach MARIANI KDP.xlsx]Debt!R12C14</stp>
        <tr r="N12" s="7"/>
      </tp>
      <tp t="s">
        <v>#N/A N/A</v>
        <stp/>
        <stp>##V3_BDPV12</stp>
        <stp>AL578155 Corp</stp>
        <stp>RTG_FITCH</stp>
        <stp>[Zach MARIANI KDP.xlsx]Debt!R19C15</stp>
        <tr r="O19" s="7"/>
      </tp>
      <tp>
        <v>5.2497140678612277</v>
        <stp/>
        <stp>##V3_BDPV12</stp>
        <stp>KDP US Equity</stp>
        <stp>INVENT_TURN</stp>
        <stp>[Zach MARIANI KDP.xlsx]Comps!R7C45</stp>
        <tr r="AS7" s="5"/>
      </tp>
      <tp>
        <v>550000000</v>
        <stp/>
        <stp>##V3_BDPV12</stp>
        <stp>QJ508726 Corp</stp>
        <stp>AMT_OUTSTANDING</stp>
        <stp>[Zach MARIANI KDP.xlsx]Debt!R18C9</stp>
        <tr r="I18" s="7"/>
      </tp>
      <tp t="s">
        <v>Baa1</v>
        <stp/>
        <stp>##V3_BDPV12</stp>
        <stp>BH631196 Corp</stp>
        <stp>RTG_MOODY</stp>
        <stp>[Zach MARIANI KDP.xlsx]Debt!R13C14</stp>
        <tr r="N13" s="7"/>
      </tp>
      <tp t="s">
        <v>#N/A N/A</v>
        <stp/>
        <stp>##V3_BDPV12</stp>
        <stp>ZS464615 Corp</stp>
        <stp>RTG_FITCH</stp>
        <stp>[Zach MARIANI KDP.xlsx]Debt!R24C15</stp>
        <tr r="O24" s="7"/>
      </tp>
      <tp t="s">
        <v>5/31/2019</v>
        <stp/>
        <stp>##V3_BDPV12</stp>
        <stp>ZS464608 Corp</stp>
        <stp>ISSUE_DT</stp>
        <stp>[Zach MARIANI KDP.xlsx]Debt!R16C6</stp>
        <tr r="F16" s="7"/>
      </tp>
      <tp t="s">
        <v>5/25/2018</v>
        <stp/>
        <stp>##V3_BDPV12</stp>
        <stp>AS645505 Corp</stp>
        <stp>ISSUE_DT</stp>
        <stp>[Zach MARIANI KDP.xlsx]Debt!R25C6</stp>
        <tr r="F25" s="7"/>
      </tp>
      <tp t="s">
        <v>4/22/2022</v>
        <stp/>
        <stp>##V3_BDPV12</stp>
        <stp>BV815715 Corp</stp>
        <stp>ISSUE_DT</stp>
        <stp>[Zach MARIANI KDP.xlsx]Debt!R12C6</stp>
        <tr r="F12" s="7"/>
      </tp>
      <tp>
        <v>6454</v>
        <stp/>
        <stp>##V3_BDPV12</stp>
        <stp>PEP Equity</stp>
        <stp>CASH_AND_MARKETABLE_SECURITIES</stp>
        <stp>[Zach MARIANI KDP.xlsx]Comps!R12C62</stp>
        <stp>FUND_PER=Q</stp>
        <tr r="BJ12" s="5"/>
      </tp>
      <tp t="s">
        <v>Baa1</v>
        <stp/>
        <stp>##V3_BDPV12</stp>
        <stp>AL578101 Corp</stp>
        <stp>RTG_MOODY</stp>
        <stp>[Zach MARIANI KDP.xlsx]Debt!R11C14</stp>
        <tr r="N11" s="7"/>
      </tp>
      <tp t="s">
        <v>#N/A N/A</v>
        <stp/>
        <stp>##V3_BDPV12</stp>
        <stp>ZS462236 Corp</stp>
        <stp>RTG_FITCH</stp>
        <stp>[Zach MARIANI KDP.xlsx]Debt!R10C15</stp>
        <tr r="O10" s="7"/>
      </tp>
      <tp t="s">
        <v>Baa1</v>
        <stp/>
        <stp>##V3_BDPV12</stp>
        <stp>BH631195 Corp</stp>
        <stp>RTG_MOODY</stp>
        <stp>[Zach MARIANI KDP.xlsx]Debt!R14C14</stp>
        <tr r="N14" s="7"/>
      </tp>
      <tp>
        <v>400000000</v>
        <stp/>
        <stp>##V3_BDPV12</stp>
        <stp>QZ493040 Corp</stp>
        <stp>AMT_OUTSTANDING</stp>
        <stp>[Zach MARIANI KDP.xlsx]Debt!R20C9</stp>
        <tr r="I20" s="7"/>
      </tp>
      <tp t="s">
        <v>Baa1</v>
        <stp/>
        <stp>##V3_BDPV12</stp>
        <stp>QJ508726 Corp</stp>
        <stp>RTG_MOODY</stp>
        <stp>[Zach MARIANI KDP.xlsx]Debt!R18C14</stp>
        <tr r="N18" s="7"/>
      </tp>
      <tp t="s">
        <v>Y</v>
        <stp/>
        <stp>##V3_BDPV12</stp>
        <stp>QZ493040 Corp</stp>
        <stp>CALLABLE</stp>
        <stp>[Zach MARIANI KDP.xlsx]Debt!R20C7</stp>
        <tr r="G20" s="7"/>
      </tp>
      <tp t="s">
        <v>#N/A N/A</v>
        <stp/>
        <stp>##V3_BDPV12</stp>
        <stp>QJ508221 Corp</stp>
        <stp>RTG_FITCH</stp>
        <stp>[Zach MARIANI KDP.xlsx]Debt!R15C15</stp>
        <tr r="O15" s="7"/>
      </tp>
      <tp t="s">
        <v>#N/A N/A</v>
        <stp/>
        <stp>##V3_BDPV12</stp>
        <stp>AS645505 Corp</stp>
        <stp>RTG_FITCH</stp>
        <stp>[Zach MARIANI KDP.xlsx]Debt!R25C15</stp>
        <tr r="O25" s="7"/>
      </tp>
      <tp>
        <v>1150000000</v>
        <stp/>
        <stp>##V3_BDPV12</stp>
        <stp>BO339157 Corp</stp>
        <stp>AMT_ISSUED</stp>
        <stp>[Zach MARIANI KDP.xlsx]Debt!R7C8</stp>
        <tr r="H7" s="7"/>
      </tp>
      <tp>
        <v>1886.3666666666668</v>
        <stp/>
        <stp>##V3_BDPV12</stp>
        <stp>SJM Equity</stp>
        <stp>BEST_EBITDA</stp>
        <stp>[Zach MARIANI KDP.xlsx]Comps!R13C87</stp>
        <stp>BEST_FPERIOD_OVERRIDE=20BC</stp>
        <tr r="CI13" s="5"/>
      </tp>
      <tp t="s">
        <v>#N/A N/A</v>
        <stp/>
        <stp>##V3_BDPV12</stp>
        <stp>QJ508726 Corp</stp>
        <stp>RTG_FITCH</stp>
        <stp>[Zach MARIANI KDP.xlsx]Debt!R18C15</stp>
        <tr r="O18" s="7"/>
      </tp>
      <tp t="s">
        <v>Baa1</v>
        <stp/>
        <stp>##V3_BDPV12</stp>
        <stp>ZS462236 Corp</stp>
        <stp>RTG_MOODY</stp>
        <stp>[Zach MARIANI KDP.xlsx]Debt!R10C14</stp>
        <tr r="N10" s="7"/>
      </tp>
      <tp t="s">
        <v>#N/A N/A</v>
        <stp/>
        <stp>##V3_BDPV12</stp>
        <stp>BH631195 Corp</stp>
        <stp>RTG_FITCH</stp>
        <stp>[Zach MARIANI KDP.xlsx]Debt!R14C15</stp>
        <tr r="O14" s="7"/>
      </tp>
      <tp t="s">
        <v>#N/A N/A</v>
        <stp/>
        <stp>##V3_BDPV12</stp>
        <stp>AL578101 Corp</stp>
        <stp>RTG_FITCH</stp>
        <stp>[Zach MARIANI KDP.xlsx]Debt!R11C15</stp>
        <tr r="O11" s="7"/>
      </tp>
      <tp>
        <v>850000000</v>
        <stp/>
        <stp>##V3_BDPV12</stp>
        <stp>BV815700 Corp</stp>
        <stp>AMT_ISSUED</stp>
        <stp>[Zach MARIANI KDP.xlsx]Debt!R8C8</stp>
        <tr r="H8" s="7"/>
      </tp>
      <tp>
        <v>14.4</v>
        <stp/>
        <stp>##V3_BDPV12</stp>
        <stp>PEP Equity</stp>
        <stp>ORGANIC_GROWTH</stp>
        <stp>[Zach MARIANI KDP.xlsx]Comps!R12C109</stp>
        <stp>EQY_FUND_RELATIVE_PERIOD=-0FY</stp>
        <tr r="DE12" s="5"/>
      </tp>
      <tp>
        <v>1589.7</v>
        <stp/>
        <stp>##V3_BDPV12</stp>
        <stp>SJM Equity</stp>
        <stp>BEST_EBITDA</stp>
        <stp>[Zach MARIANI KDP.xlsx]Comps!R13C89</stp>
        <stp>BEST_FPERIOD_OVERRIDE=21BC</stp>
        <tr r="CK13" s="5"/>
      </tp>
      <tp t="s">
        <v>Baa1</v>
        <stp/>
        <stp>##V3_BDPV12</stp>
        <stp>AS645505 Corp</stp>
        <stp>RTG_MOODY</stp>
        <stp>[Zach MARIANI KDP.xlsx]Debt!R25C14</stp>
        <tr r="N25" s="7"/>
      </tp>
      <tp t="s">
        <v>Baa1</v>
        <stp/>
        <stp>##V3_BDPV12</stp>
        <stp>QJ508221 Corp</stp>
        <stp>RTG_MOODY</stp>
        <stp>[Zach MARIANI KDP.xlsx]Debt!R15C14</stp>
        <tr r="N15" s="7"/>
      </tp>
      <tp t="s">
        <v>5/31/2019</v>
        <stp/>
        <stp>##V3_BDPV12</stp>
        <stp>ZS462329 Corp</stp>
        <stp>ISSUE_DT</stp>
        <stp>[Zach MARIANI KDP.xlsx]Debt!R17C6</stp>
        <tr r="F17" s="7"/>
      </tp>
      <tp t="s">
        <v>9/15/2026</v>
        <stp/>
        <stp>##V3_BDPV12</stp>
        <stp>QZ493040 Corp</stp>
        <stp>MATURITY</stp>
        <stp>[Zach MARIANI KDP.xlsx]Debt!R20C5</stp>
        <tr r="E20" s="7"/>
      </tp>
      <tp>
        <v>1532.5333333333333</v>
        <stp/>
        <stp>##V3_BDPV12</stp>
        <stp>SJM Equity</stp>
        <stp>BEST_EBITDA</stp>
        <stp>[Zach MARIANI KDP.xlsx]Comps!R13C91</stp>
        <stp>BEST_FPERIOD_OVERRIDE=22BC</stp>
        <tr r="CM13" s="5"/>
      </tp>
      <tp t="s">
        <v>Baa1</v>
        <stp/>
        <stp>##V3_BDPV12</stp>
        <stp>AL578155 Corp</stp>
        <stp>RTG_MOODY</stp>
        <stp>[Zach MARIANI KDP.xlsx]Debt!R19C14</stp>
        <tr r="N19" s="7"/>
      </tp>
      <tp t="s">
        <v>#N/A N/A</v>
        <stp/>
        <stp>##V3_BDPV12</stp>
        <stp>BV815715 Corp</stp>
        <stp>RTG_FITCH</stp>
        <stp>[Zach MARIANI KDP.xlsx]Debt!R12C15</stp>
        <tr r="O12" s="7"/>
      </tp>
      <tp t="s">
        <v>#N/A N/A</v>
        <stp/>
        <stp>##V3_BDPV12</stp>
        <stp>AL578753 Corp</stp>
        <stp>RTG_FITCH</stp>
        <stp>[Zach MARIANI KDP.xlsx]Debt!R22C15</stp>
        <tr r="O22" s="7"/>
      </tp>
      <tp>
        <v>10.8</v>
        <stp/>
        <stp>##V3_BDPV12</stp>
        <stp>KDP Equity</stp>
        <stp>ORGANIC_GROWTH</stp>
        <stp>[Zach MARIANI KDP.xlsx]Comps!R7C107</stp>
        <stp>EQY_FUND_YEAR=2022</stp>
        <tr r="DC7" s="5"/>
      </tp>
      <tp>
        <v>2.7</v>
        <stp/>
        <stp>##V3_BDPV12</stp>
        <stp>KDP Equity</stp>
        <stp>ORGANIC_GROWTH</stp>
        <stp>[Zach MARIANI KDP.xlsx]Comps!R7C105</stp>
        <stp>EQY_FUND_YEAR=2021</stp>
        <tr r="DA7" s="5"/>
      </tp>
      <tp>
        <v>-0.6</v>
        <stp/>
        <stp>##V3_BDPV12</stp>
        <stp>KDP Equity</stp>
        <stp>ORGANIC_GROWTH</stp>
        <stp>[Zach MARIANI KDP.xlsx]Comps!R7C103</stp>
        <stp>EQY_FUND_YEAR=2020</stp>
        <tr r="CY7" s="5"/>
      </tp>
      <tp>
        <v>1690.1553333333334</v>
        <stp/>
        <stp>##V3_BDPV12</stp>
        <stp>SJM Equity</stp>
        <stp>BEST_EBITDA</stp>
        <stp>[Zach MARIANI KDP.xlsx]Comps!R13C93</stp>
        <stp>BEST_FPERIOD_OVERRIDE=23BC</stp>
        <tr r="CO13" s="5"/>
      </tp>
      <tp t="s">
        <v>#N/A N/A</v>
        <stp/>
        <stp>##V3_BDPV12</stp>
        <stp>BH631196 Corp</stp>
        <stp>RTG_FITCH</stp>
        <stp>[Zach MARIANI KDP.xlsx]Debt!R13C15</stp>
        <tr r="O13" s="7"/>
      </tp>
      <tp t="s">
        <v>Baa1</v>
        <stp/>
        <stp>##V3_BDPV12</stp>
        <stp>ZS464615 Corp</stp>
        <stp>RTG_MOODY</stp>
        <stp>[Zach MARIANI KDP.xlsx]Debt!R24C14</stp>
        <tr r="N24" s="7"/>
      </tp>
      <tp t="s">
        <v>Y</v>
        <stp/>
        <stp>##V3_BDPV12</stp>
        <stp>ZS462236 Corp</stp>
        <stp>CALLABLE</stp>
        <stp>[Zach MARIANI KDP.xlsx]Debt!R10C7</stp>
        <tr r="G10" s="7"/>
      </tp>
      <tp t="s">
        <v>Y</v>
        <stp/>
        <stp>##V3_BDPV12</stp>
        <stp>ZS464615 Corp</stp>
        <stp>CALLABLE</stp>
        <stp>[Zach MARIANI KDP.xlsx]Debt!R24C7</stp>
        <tr r="G24" s="7"/>
      </tp>
      <tp t="s">
        <v>#N/A N/A</v>
        <stp/>
        <stp>##V3_BDPV12</stp>
        <stp>BL389364 Corp</stp>
        <stp>RTG_MOODY</stp>
        <stp>[Zach MARIANI KDP.xlsx]Debt!R31C14</stp>
        <tr r="N31" s="7"/>
      </tp>
      <tp>
        <v>1112114000</v>
        <stp/>
        <stp>##V3_BDPV12</stp>
        <stp>ZS462236 Corp</stp>
        <stp>AMT_OUTSTANDING</stp>
        <stp>[Zach MARIANI KDP.xlsx]Debt!R10C9</stp>
        <tr r="I10" s="7"/>
      </tp>
      <tp t="s">
        <v>#N/A N/A</v>
        <stp/>
        <stp>##V3_BDPV12</stp>
        <stp>BO339159 Corp</stp>
        <stp>RTG_FITCH</stp>
        <stp>[Zach MARIANI KDP.xlsx]Debt!R23C15</stp>
        <tr r="O23" s="7"/>
      </tp>
      <tp>
        <v>527614000</v>
        <stp/>
        <stp>##V3_BDPV12</stp>
        <stp>ZS464608 Corp</stp>
        <stp>AMT_OUTSTANDING</stp>
        <stp>[Zach MARIANI KDP.xlsx]Debt!R16C9</stp>
        <tr r="I16" s="7"/>
      </tp>
      <tp>
        <v>1376.5809999999999</v>
        <stp/>
        <stp>##V3_BDPV12</stp>
        <stp>PEP Equity</stp>
        <stp>EQY_SH_OUT</stp>
        <stp>[Zach MARIANI KDP.xlsx]Comps!R12C55</stp>
        <tr r="BC12" s="5"/>
      </tp>
      <tp t="s">
        <v>#N/A N/A</v>
        <stp/>
        <stp>##V3_BDPV12</stp>
        <stp>BO339158 Corp</stp>
        <stp>RTG_FITCH</stp>
        <stp>[Zach MARIANI KDP.xlsx]Debt!R21C15</stp>
        <tr r="O21" s="7"/>
      </tp>
      <tp t="s">
        <v>Y</v>
        <stp/>
        <stp>##V3_BDPV12</stp>
        <stp>BV815715 Corp</stp>
        <stp>CALLABLE</stp>
        <stp>[Zach MARIANI KDP.xlsx]Debt!R12C7</stp>
        <tr r="G12" s="7"/>
      </tp>
      <tp t="s">
        <v>Y</v>
        <stp/>
        <stp>##V3_BDPV12</stp>
        <stp>AS645505 Corp</stp>
        <stp>CALLABLE</stp>
        <stp>[Zach MARIANI KDP.xlsx]Debt!R25C7</stp>
        <tr r="G25" s="7"/>
      </tp>
      <tp t="s">
        <v>Y</v>
        <stp/>
        <stp>##V3_BDPV12</stp>
        <stp>ZS464608 Corp</stp>
        <stp>CALLABLE</stp>
        <stp>[Zach MARIANI KDP.xlsx]Debt!R16C7</stp>
        <tr r="G16" s="7"/>
      </tp>
      <tp t="s">
        <v>Baa1</v>
        <stp/>
        <stp>##V3_BDPV12</stp>
        <stp>ZS464608 Corp</stp>
        <stp>RTG_MOODY</stp>
        <stp>[Zach MARIANI KDP.xlsx]Debt!R16C14</stp>
        <tr r="N16" s="7"/>
      </tp>
      <tp>
        <v>391130000</v>
        <stp/>
        <stp>##V3_BDPV12</stp>
        <stp>ZS464615 Corp</stp>
        <stp>AMT_OUTSTANDING</stp>
        <stp>[Zach MARIANI KDP.xlsx]Debt!R24C9</stp>
        <tr r="I24" s="7"/>
      </tp>
      <tp t="s">
        <v>9/16/2016</v>
        <stp/>
        <stp>##V3_BDPV12</stp>
        <stp>QZ493040 Corp</stp>
        <stp>ISSUE_DT</stp>
        <stp>[Zach MARIANI KDP.xlsx]Debt!R20C6</stp>
        <tr r="F20" s="7"/>
      </tp>
      <tp>
        <v>9</v>
        <stp/>
        <stp>##V3_BDPV12</stp>
        <stp>SJM Equity</stp>
        <stp>ORGANIC_GROWTH</stp>
        <stp>[Zach MARIANI KDP.xlsx]Comps!R13C109</stp>
        <stp>EQY_FUND_RELATIVE_PERIOD=-0FY</stp>
        <tr r="DE13" s="5"/>
      </tp>
      <tp t="s">
        <v>5/25/2038</v>
        <stp/>
        <stp>##V3_BDPV12</stp>
        <stp>ZS462329 Corp</stp>
        <stp>MATURITY</stp>
        <stp>[Zach MARIANI KDP.xlsx]Debt!R17C5</stp>
        <tr r="E17" s="7"/>
      </tp>
      <tp t="s">
        <v>#N/A N/A</v>
        <stp/>
        <stp>##V3_BDPV12</stp>
        <stp>QZ493040 Corp</stp>
        <stp>RTG_FITCH</stp>
        <stp>[Zach MARIANI KDP.xlsx]Debt!R20C15</stp>
        <tr r="O20" s="7"/>
      </tp>
      <tp t="s">
        <v>Baa1</v>
        <stp/>
        <stp>##V3_BDPV12</stp>
        <stp>ZS462329 Corp</stp>
        <stp>RTG_MOODY</stp>
        <stp>[Zach MARIANI KDP.xlsx]Debt!R17C14</stp>
        <tr r="N17" s="7"/>
      </tp>
      <tp>
        <v>0</v>
        <stp/>
        <stp>##V3_BDPV12</stp>
        <stp>NESN SW Equity</stp>
        <stp>BS_PFD_EQY</stp>
        <stp>[Zach MARIANI KDP.xlsx]Comps!R15C60</stp>
        <stp>FUND_PER=Q</stp>
        <tr r="BH15" s="5"/>
      </tp>
      <tp>
        <v>700.9</v>
        <stp/>
        <stp>##V3_BDPV12</stp>
        <stp>SJM Equity</stp>
        <stp>CASH_AND_MARKETABLE_SECURITIES</stp>
        <stp>[Zach MARIANI KDP.xlsx]Comps!R13C62</stp>
        <stp>FUND_PER=Q</stp>
        <tr r="BJ13" s="5"/>
      </tp>
      <tp>
        <v>6888.7999999999993</v>
        <stp/>
        <stp>##V3_BDPV12</stp>
        <stp>SBUX Equity</stp>
        <stp>BEST_EBITDA</stp>
        <stp>[Zach MARIANI KDP.xlsx]Comps!R14C89</stp>
        <stp>BEST_FPERIOD_OVERRIDE=21BC</stp>
        <tr r="CK14" s="5"/>
      </tp>
      <tp>
        <v>500000000</v>
        <stp/>
        <stp>##V3_BDPV12</stp>
        <stp>QJ508221 Corp</stp>
        <stp>AMT_OUTSTANDING</stp>
        <stp>[Zach MARIANI KDP.xlsx]Debt!R15C9</stp>
        <tr r="I15" s="7"/>
      </tp>
      <tp t="s">
        <v>#N/A N/A</v>
        <stp/>
        <stp>##V3_BDPV12</stp>
        <stp>ZS464608 Corp</stp>
        <stp>RTG_FITCH</stp>
        <stp>[Zach MARIANI KDP.xlsx]Debt!R16C15</stp>
        <tr r="O16" s="7"/>
      </tp>
      <tp>
        <v>1000000000</v>
        <stp/>
        <stp>##V3_BDPV12</stp>
        <stp>BV815699 Corp</stp>
        <stp>AMT_ISSUED</stp>
        <stp>[Zach MARIANI KDP.xlsx]Debt!R9C8</stp>
        <tr r="H9" s="7"/>
      </tp>
      <tp t="s">
        <v>5/25/2028</v>
        <stp/>
        <stp>##V3_BDPV12</stp>
        <stp>ZS462236 Corp</stp>
        <stp>MATURITY</stp>
        <stp>[Zach MARIANI KDP.xlsx]Debt!R10C5</stp>
        <tr r="E10" s="7"/>
      </tp>
      <tp t="s">
        <v>5/25/2048</v>
        <stp/>
        <stp>##V3_BDPV12</stp>
        <stp>ZS464615 Corp</stp>
        <stp>MATURITY</stp>
        <stp>[Zach MARIANI KDP.xlsx]Debt!R24C5</stp>
        <tr r="E24" s="7"/>
      </tp>
      <tp t="s">
        <v>8/8/2019</v>
        <stp/>
        <stp>##V3_BDPV12</stp>
        <stp xml:space="preserve">KDP US Equity </stp>
        <stp>ANNOUNCEMENT_DT</stp>
        <stp>[Zach MARIANI KDP.xlsx]Tower!R7C19</stp>
        <stp>FUND_PER=Q2</stp>
        <stp>EQY_FUND_YEAR=2019</stp>
        <tr r="S7" s="2"/>
      </tp>
      <tp t="s">
        <v>5/9/2019</v>
        <stp/>
        <stp>##V3_BDPV12</stp>
        <stp xml:space="preserve">KDP US Equity </stp>
        <stp>ANNOUNCEMENT_DT</stp>
        <stp>[Zach MARIANI KDP.xlsx]Tower!R7C18</stp>
        <stp>FUND_PER=Q1</stp>
        <stp>EQY_FUND_YEAR=2019</stp>
        <tr r="R7" s="2"/>
      </tp>
      <tp t="s">
        <v>4/25/2018</v>
        <stp/>
        <stp>##V3_BDPV12</stp>
        <stp xml:space="preserve">KDP US Equity </stp>
        <stp>ANNOUNCEMENT_DT</stp>
        <stp>[Zach MARIANI KDP.xlsx]Tower!R7C13</stp>
        <stp>FUND_PER=Q1</stp>
        <stp>EQY_FUND_YEAR=2018</stp>
        <tr r="M7" s="2"/>
      </tp>
      <tp t="s">
        <v>2/28/2019</v>
        <stp/>
        <stp>##V3_BDPV12</stp>
        <stp xml:space="preserve">KDP US Equity </stp>
        <stp>ANNOUNCEMENT_DT</stp>
        <stp>[Zach MARIANI KDP.xlsx]Tower!R7C16</stp>
        <stp>FUND_PER=Q4</stp>
        <stp>EQY_FUND_YEAR=2018</stp>
        <tr r="P7" s="2"/>
      </tp>
      <tp t="s">
        <v>8/8/2018</v>
        <stp/>
        <stp>##V3_BDPV12</stp>
        <stp xml:space="preserve">KDP US Equity </stp>
        <stp>ANNOUNCEMENT_DT</stp>
        <stp>[Zach MARIANI KDP.xlsx]Tower!R7C14</stp>
        <stp>FUND_PER=Q2</stp>
        <stp>EQY_FUND_YEAR=2018</stp>
        <tr r="N7" s="2"/>
      </tp>
      <tp t="s">
        <v>11/7/2018</v>
        <stp/>
        <stp>##V3_BDPV12</stp>
        <stp xml:space="preserve">KDP US Equity </stp>
        <stp>ANNOUNCEMENT_DT</stp>
        <stp>[Zach MARIANI KDP.xlsx]Tower!R7C15</stp>
        <stp>FUND_PER=Q3</stp>
        <stp>EQY_FUND_YEAR=2018</stp>
        <tr r="O7" s="2"/>
      </tp>
      <tp t="s">
        <v>11/7/2019</v>
        <stp/>
        <stp>##V3_BDPV12</stp>
        <stp xml:space="preserve">KDP US Equity </stp>
        <stp>ANNOUNCEMENT_DT</stp>
        <stp>[Zach MARIANI KDP.xlsx]Tower!R7C20</stp>
        <stp>FUND_PER=Q3</stp>
        <stp>EQY_FUND_YEAR=2019</stp>
        <tr r="T7" s="2"/>
      </tp>
      <tp t="s">
        <v>2/27/2020</v>
        <stp/>
        <stp>##V3_BDPV12</stp>
        <stp xml:space="preserve">KDP US Equity </stp>
        <stp>ANNOUNCEMENT_DT</stp>
        <stp>[Zach MARIANI KDP.xlsx]Tower!R7C21</stp>
        <stp>FUND_PER=Q4</stp>
        <stp>EQY_FUND_YEAR=2019</stp>
        <tr r="U7" s="2"/>
      </tp>
      <tp t="s">
        <v>2/14/2018</v>
        <stp/>
        <stp>##V3_BDPV12</stp>
        <stp xml:space="preserve">KDP US Equity </stp>
        <stp>ANNOUNCEMENT_DT</stp>
        <stp>[Zach MARIANI KDP.xlsx]Tower!R7C11</stp>
        <stp>FUND_PER=Q4</stp>
        <stp>EQY_FUND_YEAR=2017</stp>
        <tr r="K7" s="2"/>
      </tp>
      <tp t="s">
        <v>#N/A N/A</v>
        <stp/>
        <stp>##V3_BDPV12</stp>
        <stp xml:space="preserve">KDP US Equity </stp>
        <stp>ANNOUNCEMENT_DT</stp>
        <stp>[Zach MARIANI KDP.xlsx]Tower!R7C43</stp>
        <stp>FUND_PER=Q1</stp>
        <stp>EQY_FUND_YEAR=2024</stp>
        <tr r="AQ7" s="2"/>
      </tp>
      <tp t="s">
        <v>#N/A N/A</v>
        <stp/>
        <stp>##V3_BDPV12</stp>
        <stp xml:space="preserve">KDP US Equity </stp>
        <stp>ANNOUNCEMENT_DT</stp>
        <stp>[Zach MARIANI KDP.xlsx]Tower!R7C46</stp>
        <stp>FUND_PER=Q4</stp>
        <stp>EQY_FUND_YEAR=2024</stp>
        <tr r="AT7" s="2"/>
      </tp>
      <tp t="s">
        <v>#N/A N/A</v>
        <stp/>
        <stp>##V3_BDPV12</stp>
        <stp xml:space="preserve">KDP US Equity </stp>
        <stp>ANNOUNCEMENT_DT</stp>
        <stp>[Zach MARIANI KDP.xlsx]Tower!R7C47</stp>
        <stp>FUND_PER=Q4</stp>
        <stp>EQY_FUND_YEAR=2024</stp>
        <tr r="AU7" s="2"/>
      </tp>
      <tp t="s">
        <v>#N/A N/A</v>
        <stp/>
        <stp>##V3_BDPV12</stp>
        <stp xml:space="preserve">KDP US Equity </stp>
        <stp>ANNOUNCEMENT_DT</stp>
        <stp>[Zach MARIANI KDP.xlsx]Tower!R7C50</stp>
        <stp>FUND_PER=Q3</stp>
        <stp>EQY_FUND_YEAR=2025</stp>
        <tr r="AX7" s="2"/>
      </tp>
      <tp t="s">
        <v>#N/A N/A</v>
        <stp/>
        <stp>##V3_BDPV12</stp>
        <stp xml:space="preserve">KDP US Equity </stp>
        <stp>ANNOUNCEMENT_DT</stp>
        <stp>[Zach MARIANI KDP.xlsx]Tower!R7C44</stp>
        <stp>FUND_PER=Q2</stp>
        <stp>EQY_FUND_YEAR=2024</stp>
        <tr r="AR7" s="2"/>
      </tp>
      <tp t="s">
        <v>#N/A N/A</v>
        <stp/>
        <stp>##V3_BDPV12</stp>
        <stp xml:space="preserve">KDP US Equity </stp>
        <stp>ANNOUNCEMENT_DT</stp>
        <stp>[Zach MARIANI KDP.xlsx]Tower!R7C45</stp>
        <stp>FUND_PER=Q3</stp>
        <stp>EQY_FUND_YEAR=2024</stp>
        <tr r="AS7" s="2"/>
      </tp>
      <tp t="s">
        <v>#N/A N/A</v>
        <stp/>
        <stp>##V3_BDPV12</stp>
        <stp xml:space="preserve">KDP US Equity </stp>
        <stp>ANNOUNCEMENT_DT</stp>
        <stp>[Zach MARIANI KDP.xlsx]Tower!R7C52</stp>
        <stp>FUND_PER=Q4</stp>
        <stp>EQY_FUND_YEAR=2025</stp>
        <tr r="AZ7" s="2"/>
      </tp>
      <tp t="s">
        <v>#N/A N/A</v>
        <stp/>
        <stp>##V3_BDPV12</stp>
        <stp xml:space="preserve">KDP US Equity </stp>
        <stp>ANNOUNCEMENT_DT</stp>
        <stp>[Zach MARIANI KDP.xlsx]Tower!R7C51</stp>
        <stp>FUND_PER=Q4</stp>
        <stp>EQY_FUND_YEAR=2025</stp>
        <tr r="AY7" s="2"/>
      </tp>
      <tp t="s">
        <v>7/27/2023</v>
        <stp/>
        <stp>##V3_BDPV12</stp>
        <stp xml:space="preserve">KDP US Equity </stp>
        <stp>ANNOUNCEMENT_DT</stp>
        <stp>[Zach MARIANI KDP.xlsx]Tower!R7C39</stp>
        <stp>FUND_PER=Q2</stp>
        <stp>EQY_FUND_YEAR=2023</stp>
        <tr r="AM7" s="2"/>
      </tp>
      <tp t="s">
        <v>4/27/2023</v>
        <stp/>
        <stp>##V3_BDPV12</stp>
        <stp xml:space="preserve">KDP US Equity </stp>
        <stp>ANNOUNCEMENT_DT</stp>
        <stp>[Zach MARIANI KDP.xlsx]Tower!R7C38</stp>
        <stp>FUND_PER=Q1</stp>
        <stp>EQY_FUND_YEAR=2023</stp>
        <tr r="AL7" s="2"/>
      </tp>
      <tp t="s">
        <v>4/28/2022</v>
        <stp/>
        <stp>##V3_BDPV12</stp>
        <stp xml:space="preserve">KDP US Equity </stp>
        <stp>ANNOUNCEMENT_DT</stp>
        <stp>[Zach MARIANI KDP.xlsx]Tower!R7C33</stp>
        <stp>FUND_PER=Q1</stp>
        <stp>EQY_FUND_YEAR=2022</stp>
        <tr r="AG7" s="2"/>
      </tp>
      <tp t="s">
        <v>2/23/2023</v>
        <stp/>
        <stp>##V3_BDPV12</stp>
        <stp xml:space="preserve">KDP US Equity </stp>
        <stp>ANNOUNCEMENT_DT</stp>
        <stp>[Zach MARIANI KDP.xlsx]Tower!R7C36</stp>
        <stp>FUND_PER=Q4</stp>
        <stp>EQY_FUND_YEAR=2022</stp>
        <tr r="AJ7" s="2"/>
      </tp>
      <tp t="s">
        <v>7/28/2022</v>
        <stp/>
        <stp>##V3_BDPV12</stp>
        <stp xml:space="preserve">KDP US Equity </stp>
        <stp>ANNOUNCEMENT_DT</stp>
        <stp>[Zach MARIANI KDP.xlsx]Tower!R7C34</stp>
        <stp>FUND_PER=Q2</stp>
        <stp>EQY_FUND_YEAR=2022</stp>
        <tr r="AH7" s="2"/>
      </tp>
      <tp t="s">
        <v>10/27/2022</v>
        <stp/>
        <stp>##V3_BDPV12</stp>
        <stp xml:space="preserve">KDP US Equity </stp>
        <stp>ANNOUNCEMENT_DT</stp>
        <stp>[Zach MARIANI KDP.xlsx]Tower!R7C35</stp>
        <stp>FUND_PER=Q3</stp>
        <stp>EQY_FUND_YEAR=2022</stp>
        <tr r="AI7" s="2"/>
      </tp>
      <tp t="s">
        <v>#N/A N/A</v>
        <stp/>
        <stp>##V3_BDPV12</stp>
        <stp xml:space="preserve">KDP US Equity </stp>
        <stp>ANNOUNCEMENT_DT</stp>
        <stp>[Zach MARIANI KDP.xlsx]Tower!R7C49</stp>
        <stp>FUND_PER=Q2</stp>
        <stp>EQY_FUND_YEAR=2025</stp>
        <tr r="AW7" s="2"/>
      </tp>
      <tp t="s">
        <v>#N/A N/A</v>
        <stp/>
        <stp>##V3_BDPV12</stp>
        <stp xml:space="preserve">KDP US Equity </stp>
        <stp>ANNOUNCEMENT_DT</stp>
        <stp>[Zach MARIANI KDP.xlsx]Tower!R7C48</stp>
        <stp>FUND_PER=Q1</stp>
        <stp>EQY_FUND_YEAR=2025</stp>
        <tr r="AV7" s="2"/>
      </tp>
      <tp t="s">
        <v>4/27/2020</v>
        <stp/>
        <stp>##V3_BDPV12</stp>
        <stp xml:space="preserve">KDP US Equity </stp>
        <stp>ANNOUNCEMENT_DT</stp>
        <stp>[Zach MARIANI KDP.xlsx]Tower!R7C23</stp>
        <stp>FUND_PER=Q1</stp>
        <stp>EQY_FUND_YEAR=2020</stp>
        <tr r="W7" s="2"/>
      </tp>
      <tp t="s">
        <v>2/25/2021</v>
        <stp/>
        <stp>##V3_BDPV12</stp>
        <stp xml:space="preserve">KDP US Equity </stp>
        <stp>ANNOUNCEMENT_DT</stp>
        <stp>[Zach MARIANI KDP.xlsx]Tower!R7C26</stp>
        <stp>FUND_PER=Q4</stp>
        <stp>EQY_FUND_YEAR=2020</stp>
        <tr r="Z7" s="2"/>
      </tp>
      <tp t="s">
        <v>10/28/2021</v>
        <stp/>
        <stp>##V3_BDPV12</stp>
        <stp xml:space="preserve">KDP US Equity </stp>
        <stp>ANNOUNCEMENT_DT</stp>
        <stp>[Zach MARIANI KDP.xlsx]Tower!R7C30</stp>
        <stp>FUND_PER=Q3</stp>
        <stp>EQY_FUND_YEAR=2021</stp>
        <tr r="AD7" s="2"/>
      </tp>
      <tp t="s">
        <v>7/30/2020</v>
        <stp/>
        <stp>##V3_BDPV12</stp>
        <stp xml:space="preserve">KDP US Equity </stp>
        <stp>ANNOUNCEMENT_DT</stp>
        <stp>[Zach MARIANI KDP.xlsx]Tower!R7C24</stp>
        <stp>FUND_PER=Q2</stp>
        <stp>EQY_FUND_YEAR=2020</stp>
        <tr r="X7" s="2"/>
      </tp>
      <tp t="s">
        <v>10/29/2020</v>
        <stp/>
        <stp>##V3_BDPV12</stp>
        <stp xml:space="preserve">KDP US Equity </stp>
        <stp>ANNOUNCEMENT_DT</stp>
        <stp>[Zach MARIANI KDP.xlsx]Tower!R7C25</stp>
        <stp>FUND_PER=Q3</stp>
        <stp>EQY_FUND_YEAR=2020</stp>
        <tr r="Y7" s="2"/>
      </tp>
      <tp t="s">
        <v>2/24/2022</v>
        <stp/>
        <stp>##V3_BDPV12</stp>
        <stp xml:space="preserve">KDP US Equity </stp>
        <stp>ANNOUNCEMENT_DT</stp>
        <stp>[Zach MARIANI KDP.xlsx]Tower!R7C31</stp>
        <stp>FUND_PER=Q4</stp>
        <stp>EQY_FUND_YEAR=2021</stp>
        <tr r="AE7" s="2"/>
      </tp>
      <tp t="s">
        <v>7/29/2021</v>
        <stp/>
        <stp>##V3_BDPV12</stp>
        <stp xml:space="preserve">KDP US Equity </stp>
        <stp>ANNOUNCEMENT_DT</stp>
        <stp>[Zach MARIANI KDP.xlsx]Tower!R7C29</stp>
        <stp>FUND_PER=Q2</stp>
        <stp>EQY_FUND_YEAR=2021</stp>
        <tr r="AC7" s="2"/>
      </tp>
      <tp t="s">
        <v>4/29/2021</v>
        <stp/>
        <stp>##V3_BDPV12</stp>
        <stp xml:space="preserve">KDP US Equity </stp>
        <stp>ANNOUNCEMENT_DT</stp>
        <stp>[Zach MARIANI KDP.xlsx]Tower!R7C28</stp>
        <stp>FUND_PER=Q1</stp>
        <stp>EQY_FUND_YEAR=2021</stp>
        <tr r="AB7" s="2"/>
      </tp>
      <tp t="s">
        <v>#N/A N/A</v>
        <stp/>
        <stp>##V3_BDPV12</stp>
        <stp xml:space="preserve">KDP US Equity </stp>
        <stp>ANNOUNCEMENT_DT</stp>
        <stp>[Zach MARIANI KDP.xlsx]Tower!R7C40</stp>
        <stp>FUND_PER=Q3</stp>
        <stp>EQY_FUND_YEAR=2023</stp>
        <tr r="AN7" s="2"/>
      </tp>
      <tp t="s">
        <v>#N/A N/A</v>
        <stp/>
        <stp>##V3_BDPV12</stp>
        <stp xml:space="preserve">KDP US Equity </stp>
        <stp>ANNOUNCEMENT_DT</stp>
        <stp>[Zach MARIANI KDP.xlsx]Tower!R7C41</stp>
        <stp>FUND_PER=Q4</stp>
        <stp>EQY_FUND_YEAR=2023</stp>
        <tr r="AO7" s="2"/>
      </tp>
      <tp>
        <v>3358.8</v>
        <stp/>
        <stp>##V3_BDPV12</stp>
        <stp>SBUX Equity</stp>
        <stp>BEST_EBITDA</stp>
        <stp>[Zach MARIANI KDP.xlsx]Comps!R14C87</stp>
        <stp>BEST_FPERIOD_OVERRIDE=20BC</stp>
        <tr r="CI14" s="5"/>
      </tp>
      <tp t="s">
        <v>#N/A N/A</v>
        <stp/>
        <stp>##V3_BDPV12</stp>
        <stp>ZS462329 Corp</stp>
        <stp>RTG_FITCH</stp>
        <stp>[Zach MARIANI KDP.xlsx]Debt!R17C15</stp>
        <tr r="O17" s="7"/>
      </tp>
      <tp t="s">
        <v>Baa1</v>
        <stp/>
        <stp>##V3_BDPV12</stp>
        <stp>QZ493040 Corp</stp>
        <stp>RTG_MOODY</stp>
        <stp>[Zach MARIANI KDP.xlsx]Debt!R20C14</stp>
        <tr r="N20" s="7"/>
      </tp>
      <tp t="s">
        <v>Y</v>
        <stp/>
        <stp>##V3_BDPV12</stp>
        <stp>ZS462329 Corp</stp>
        <stp>CALLABLE</stp>
        <stp>[Zach MARIANI KDP.xlsx]Debt!R17C7</stp>
        <tr r="G17" s="7"/>
      </tp>
      <tp>
        <v>7.8079999999999998</v>
        <stp/>
        <stp>##V3_BDPV12</stp>
        <stp>PEP Equity</stp>
        <stp>BEST_EPS</stp>
        <stp>[Zach MARIANI KDP.xlsx]Comps!R12C64</stp>
        <stp>BEST_FPERIOD_OVERRIDE=1TY</stp>
        <tr r="BL12" s="5"/>
      </tp>
      <tp>
        <v>7751.1469999999999</v>
        <stp/>
        <stp>##V3_BDPV12</stp>
        <stp>SBUX Equity</stp>
        <stp>BEST_EBITDA</stp>
        <stp>[Zach MARIANI KDP.xlsx]Comps!R14C93</stp>
        <stp>BEST_FPERIOD_OVERRIDE=23BC</stp>
        <tr r="CO14" s="5"/>
      </tp>
      <tp t="s">
        <v>Baa1</v>
        <stp/>
        <stp>##V3_BDPV12</stp>
        <stp>BO339159 Corp</stp>
        <stp>RTG_MOODY</stp>
        <stp>[Zach MARIANI KDP.xlsx]Debt!R23C14</stp>
        <tr r="N23" s="7"/>
      </tp>
      <tp t="s">
        <v>#N/A N/A</v>
        <stp/>
        <stp>##V3_BDPV12</stp>
        <stp>BL389364 Corp</stp>
        <stp>RTG_FITCH</stp>
        <stp>[Zach MARIANI KDP.xlsx]Debt!R31C15</stp>
        <tr r="O31" s="7"/>
      </tp>
      <tp>
        <v>41625</v>
        <stp/>
        <stp>##V3_BDPV12</stp>
        <stp>KO Equity</stp>
        <stp>SHORT_AND_LONG_TERM_DEBT</stp>
        <stp>[Zach MARIANI KDP.xlsx]Comps!R11C58</stp>
        <stp>FUND_PER=Q</stp>
        <tr r="BF11" s="5"/>
      </tp>
      <tp t="s">
        <v>5/25/2025</v>
        <stp/>
        <stp>##V3_BDPV12</stp>
        <stp>AS645505 Corp</stp>
        <stp>MATURITY</stp>
        <stp>[Zach MARIANI KDP.xlsx]Debt!R25C5</stp>
        <tr r="E25" s="7"/>
      </tp>
      <tp t="s">
        <v>5/25/2025</v>
        <stp/>
        <stp>##V3_BDPV12</stp>
        <stp>ZS464608 Corp</stp>
        <stp>MATURITY</stp>
        <stp>[Zach MARIANI KDP.xlsx]Debt!R16C5</stp>
        <tr r="E16" s="7"/>
      </tp>
      <tp t="s">
        <v>4/15/2052</v>
        <stp/>
        <stp>##V3_BDPV12</stp>
        <stp>BV815715 Corp</stp>
        <stp>MATURITY</stp>
        <stp>[Zach MARIANI KDP.xlsx]Debt!R12C5</stp>
        <tr r="E12" s="7"/>
      </tp>
      <tp>
        <v>5986.3</v>
        <stp/>
        <stp>##V3_BDPV12</stp>
        <stp>SBUX Equity</stp>
        <stp>BEST_EBITDA</stp>
        <stp>[Zach MARIANI KDP.xlsx]Comps!R14C91</stp>
        <stp>BEST_FPERIOD_OVERRIDE=22BC</stp>
        <tr r="CM14" s="5"/>
      </tp>
      <tp t="s">
        <v>Baa1</v>
        <stp/>
        <stp>##V3_BDPV12</stp>
        <stp>BO339158 Corp</stp>
        <stp>RTG_MOODY</stp>
        <stp>[Zach MARIANI KDP.xlsx]Debt!R21C14</stp>
        <tr r="N21" s="7"/>
      </tp>
      <tp>
        <v>1.839</v>
        <stp/>
        <stp>##V3_BDPV12</stp>
        <stp>KDP Equity</stp>
        <stp>BEST_EPS</stp>
        <stp>[Zach MARIANI KDP.xlsx]Comps!R7C64</stp>
        <stp>BEST_FPERIOD_OVERRIDE=1TY</stp>
        <tr r="BL7" s="5"/>
      </tp>
      <tp>
        <v>211088000</v>
        <stp/>
        <stp>##V3_BDPV12</stp>
        <stp>ZS462329 Corp</stp>
        <stp>AMT_OUTSTANDING</stp>
        <stp>[Zach MARIANI KDP.xlsx]Debt!R17C9</stp>
        <tr r="I17" s="7"/>
      </tp>
    </main>
    <main first="bofaddin.rtdserver">
      <tp t="s">
        <v>#N/A Requesting Data...390020131</v>
        <stp/>
        <stp>BQL|7885725361412435844</stp>
        <tr r="AD114" s="2"/>
      </tp>
      <tp t="s">
        <v>#N/A Requesting Data...1108808204</v>
        <stp/>
        <stp>BQL|5520147698064151528</stp>
        <tr r="AI164" s="2"/>
      </tp>
    </main>
    <main first="bofaddin.rtdserver">
      <tp t="s">
        <v>#N/A Requesting Data...2617741439</v>
        <stp/>
        <stp>BQL|9094549324460251257</stp>
        <tr r="M6" s="2"/>
      </tp>
    </main>
    <main first="bofaddin.rtdserver">
      <tp t="s">
        <v>#N/A Requesting Data...1448951400</v>
        <stp/>
        <stp>BQL|9506743191428339335</stp>
        <tr r="M164" s="2"/>
      </tp>
    </main>
    <main first="bloomberg.rtd">
      <tp>
        <v>1.68</v>
        <stp/>
        <stp>##V3_BDPV12</stp>
        <stp>KDP Equity</stp>
        <stp>IS_ADJUSTED_EPS_AS_REPORTED</stp>
        <stp>[Zach MARIANI KDP.xlsx]Comps!R7C125</stp>
        <stp>EQY_FUND_YEAR=-0FY</stp>
        <tr r="DU7" s="5"/>
      </tp>
      <tp>
        <v>1.68</v>
        <stp/>
        <stp>##V3_BDPV12</stp>
        <stp>KDP Equity</stp>
        <stp>IS_ADJUSTED_EPS_AS_REPORTED</stp>
        <stp>[Zach MARIANI KDP.xlsx]Comps!R7C123</stp>
        <stp>EQY_FUND_YEAR=2022</stp>
        <tr r="DS7" s="5"/>
      </tp>
      <tp>
        <v>1.4</v>
        <stp/>
        <stp>##V3_BDPV12</stp>
        <stp>KDP Equity</stp>
        <stp>IS_ADJUSTED_EPS_AS_REPORTED</stp>
        <stp>[Zach MARIANI KDP.xlsx]Comps!R7C119</stp>
        <stp>EQY_FUND_YEAR=2020</stp>
        <tr r="DO7" s="5"/>
      </tp>
      <tp>
        <v>1.6</v>
        <stp/>
        <stp>##V3_BDPV12</stp>
        <stp>KDP Equity</stp>
        <stp>IS_ADJUSTED_EPS_AS_REPORTED</stp>
        <stp>[Zach MARIANI KDP.xlsx]Comps!R7C121</stp>
        <stp>EQY_FUND_YEAR=2021</stp>
        <tr r="DQ7" s="5"/>
      </tp>
    </main>
    <main first="bofaddin.rtdserver">
      <tp t="s">
        <v>#N/A Requesting Data...393887414</v>
        <stp/>
        <stp>BQL|26895195435318187</stp>
        <tr r="AL165" s="2"/>
      </tp>
    </main>
    <main first="bofaddin.rtdserver">
      <tp t="s">
        <v>#N/A Requesting Data...3319302375</v>
        <stp/>
        <stp>BQL|48707054472230559</stp>
        <tr r="AV6" s="2"/>
      </tp>
    </main>
    <main first="bofaddin.rtdserver">
      <tp t="s">
        <v>#N/A Requesting Data...3368761871</v>
        <stp/>
        <stp>BQL|7729232596462635392</stp>
        <tr r="Y164" s="2"/>
      </tp>
    </main>
    <main first="bofaddin.rtdserver">
      <tp t="s">
        <v>#N/A Requesting Data...520069100</v>
        <stp/>
        <stp>BQL|1993976421707101059</stp>
        <tr r="AS114" s="2"/>
      </tp>
    </main>
    <main first="bofaddin.rtdserver">
      <tp t="s">
        <v>#N/A Requesting Data...1683319512</v>
        <stp/>
        <stp>BQL|9917232970670630196</stp>
        <tr r="I6" s="2"/>
      </tp>
    </main>
    <main first="bofaddin.rtdserver">
      <tp t="s">
        <v>#N/A Requesting Data...2142028063</v>
        <stp/>
        <stp>BQL|3239553106998676336</stp>
        <tr r="AW114" s="2"/>
      </tp>
      <tp t="s">
        <v>#N/A Requesting Data...1009656155</v>
        <stp/>
        <stp>BQL|4891975937897208494</stp>
        <tr r="AI165" s="2"/>
      </tp>
    </main>
    <main first="bofaddin.rtdserver">
      <tp t="s">
        <v>#N/A N/A</v>
        <stp/>
        <stp>BDH|8542876759690704872</stp>
        <tr r="AA382" s="2"/>
        <tr r="Z382" s="2"/>
      </tp>
    </main>
    <main first="bofaddin.rtdserver">
      <tp t="s">
        <v>#N/A N/A</v>
        <stp/>
        <stp>BDH|4521998779347546005</stp>
        <tr r="P368" s="2"/>
        <tr r="Q368" s="2"/>
      </tp>
    </main>
    <main first="bofaddin.rtdserver">
      <tp t="s">
        <v>#N/A Requesting Data...1542924475</v>
        <stp/>
        <stp>BQL|8981017672809584835</stp>
        <tr r="AG6" s="2"/>
      </tp>
      <tp t="s">
        <v>#N/A Requesting Data...3733599584</v>
        <stp/>
        <stp>BQL|6176217399685713651</stp>
        <tr r="S164" s="2"/>
      </tp>
    </main>
    <main first="bofaddin.rtdserver">
      <tp t="s">
        <v>#N/A Requesting Data...1958301778</v>
        <stp/>
        <stp>BQL|7489216505819142274</stp>
        <tr r="AI114" s="2"/>
      </tp>
    </main>
    <main first="bofaddin.rtdserver">
      <tp t="s">
        <v>#N/A Requesting Data...441735969</v>
        <stp/>
        <stp>BQL|8640940294314585279</stp>
        <tr r="AF113" s="2"/>
      </tp>
    </main>
    <main first="bofaddin.rtdserver">
      <tp t="s">
        <v>#N/A Requesting Data...969149263</v>
        <stp/>
        <stp>BQL|2761263790991615645</stp>
        <tr r="Z165" s="2"/>
      </tp>
      <tp t="s">
        <v>#N/A Requesting Data...2540615909</v>
        <stp/>
        <stp>BQL|7602241690967743579</stp>
        <tr r="AO114" s="2"/>
      </tp>
    </main>
    <main first="bofaddin.rtdserver">
      <tp t="s">
        <v>#N/A Requesting Data...2907493487</v>
        <stp/>
        <stp>BQL|5005199097402079019</stp>
        <tr r="AU164" s="2"/>
      </tp>
      <tp t="s">
        <v>#N/A Requesting Data...1754249837</v>
        <stp/>
        <stp>BQL|6258479789656344304</stp>
        <tr r="AE113" s="2"/>
      </tp>
    </main>
    <main first="bofaddin.rtdserver">
      <tp t="s">
        <v>#N/A Requesting Data...2073719089</v>
        <stp/>
        <stp>BQL|1889244054369133059</stp>
        <tr r="L6" s="2"/>
      </tp>
    </main>
    <main first="bofaddin.rtdserver">
      <tp t="s">
        <v>#N/A Requesting Data...3148152999</v>
        <stp/>
        <stp>BQL|8777685979580021632</stp>
        <tr r="Z164" s="2"/>
      </tp>
    </main>
    <main first="bofaddin.rtdserver">
      <tp t="s">
        <v>#N/A Requesting Data...2327454112</v>
        <stp/>
        <stp>BQL|7705725467188121104</stp>
        <tr r="AE6" s="2"/>
      </tp>
    </main>
    <main first="bofaddin.rtdserver">
      <tp t="s">
        <v>#N/A Requesting Data...4088609103</v>
        <stp/>
        <stp>BQL|8705558716232118157</stp>
        <tr r="AT165" s="2"/>
      </tp>
      <tp t="s">
        <v>#N/A N/A</v>
        <stp/>
        <stp>BDH|3438700393066516464</stp>
        <tr r="AB382" s="2"/>
      </tp>
    </main>
    <main first="bofaddin.rtdserver">
      <tp t="s">
        <v>#N/A Requesting Data...2220954490</v>
        <stp/>
        <stp>BQL|9900330413474044771</stp>
        <tr r="G6" s="2"/>
      </tp>
      <tp t="s">
        <v>#N/A Requesting Data...507514298</v>
        <stp/>
        <stp>BQL|8844055581421110937</stp>
        <tr r="AK113" s="2"/>
      </tp>
    </main>
    <main first="bofaddin.rtdserver">
      <tp t="s">
        <v>#N/A Requesting Data...4234356661</v>
        <stp/>
        <stp>BQL|1989234630819525145</stp>
        <tr r="AR114" s="2"/>
      </tp>
      <tp t="s">
        <v>#N/A Requesting Data...2018790878</v>
        <stp/>
        <stp>BQL|2684246339333118816</stp>
        <tr r="AB114" s="2"/>
      </tp>
    </main>
    <main first="bofaddin.rtdserver">
      <tp t="s">
        <v>#N/A Requesting Data...2991594656</v>
        <stp/>
        <stp>BQL|4335817818393566673</stp>
        <tr r="W114" s="2"/>
      </tp>
    </main>
    <main first="bofaddin.rtdserver">
      <tp t="s">
        <v>#N/A Requesting Data...2484557256</v>
        <stp/>
        <stp>BQL|7049081917097899938</stp>
        <tr r="AH165" s="2"/>
      </tp>
      <tp t="s">
        <v>#N/A Requesting Data...3600321753</v>
        <stp/>
        <stp>BQL|1660848612438791830</stp>
        <tr r="K6" s="2"/>
      </tp>
    </main>
    <main first="bofaddin.rtdserver">
      <tp t="s">
        <v>#N/A N/A</v>
        <stp/>
        <stp>BDH|8942168836415939721</stp>
        <tr r="O368" s="2"/>
      </tp>
      <tp t="s">
        <v>#N/A N/A</v>
        <stp/>
        <stp>BDH|3048352457375514847</stp>
        <tr r="U368" s="2"/>
        <tr r="V368" s="2"/>
      </tp>
    </main>
    <main first="bloomberg.rtd">
      <tp>
        <v>9770</v>
        <stp/>
        <stp>##V3_BDPV12</stp>
        <stp>KO Equity</stp>
        <stp>IS_ADJ_EBIT_OP_INC_AS_REPORTED</stp>
        <stp>[Zach MARIANI KDP.xlsx]Comps!R11C111</stp>
        <stp>EQY_FUND_YEAR=2020</stp>
        <tr r="DG11" s="5"/>
      </tp>
      <tp>
        <v>11109</v>
        <stp/>
        <stp>##V3_BDPV12</stp>
        <stp>KO Equity</stp>
        <stp>IS_ADJ_EBIT_OP_INC_AS_REPORTED</stp>
        <stp>[Zach MARIANI KDP.xlsx]Comps!R11C113</stp>
        <stp>EQY_FUND_YEAR=2021</stp>
        <tr r="DI11" s="5"/>
      </tp>
      <tp>
        <v>12345</v>
        <stp/>
        <stp>##V3_BDPV12</stp>
        <stp>KO Equity</stp>
        <stp>IS_ADJ_EBIT_OP_INC_AS_REPORTED</stp>
        <stp>[Zach MARIANI KDP.xlsx]Comps!R11C115</stp>
        <stp>EQY_FUND_YEAR=2022</stp>
        <tr r="DK11" s="5"/>
      </tp>
      <tp>
        <v>12345</v>
        <stp/>
        <stp>##V3_BDPV12</stp>
        <stp>KO Equity</stp>
        <stp>IS_ADJ_EBIT_OP_INC_AS_REPORTED</stp>
        <stp>[Zach MARIANI KDP.xlsx]Comps!R11C117</stp>
        <stp>EQY_FUND_YEAR=-0FY</stp>
        <tr r="DM11" s="5"/>
      </tp>
    </main>
    <main first="bofaddin.rtdserver">
      <tp t="s">
        <v>#N/A Requesting Data...2789332474</v>
        <stp/>
        <stp>BQL|6819215259230582889</stp>
        <tr r="U164" s="2"/>
      </tp>
    </main>
    <main first="bofaddin.rtdserver">
      <tp t="s">
        <v>#N/A Requesting Data...1354087893</v>
        <stp/>
        <stp>BQL|6886930729481246578</stp>
        <tr r="AB113" s="2"/>
      </tp>
    </main>
    <main first="bofaddin.rtdserver">
      <tp t="s">
        <v>#N/A N/A</v>
        <stp/>
        <stp>BDH|8864519222505789356</stp>
        <tr r="AJ368" s="2"/>
        <tr r="AK368" s="2"/>
      </tp>
      <tp t="s">
        <v>#N/A N/A</v>
        <stp/>
        <stp>BDH|8561141322870958298</stp>
        <tr r="AG382" s="2"/>
      </tp>
    </main>
    <main first="bofaddin.rtdserver">
      <tp t="s">
        <v>#N/A Requesting Data...3063981302</v>
        <stp/>
        <stp>BQL|96871168976682831</stp>
        <tr r="T165" s="2"/>
      </tp>
    </main>
    <main first="bofaddin.rtdserver">
      <tp t="s">
        <v>#N/A Requesting Data...2198493454</v>
        <stp/>
        <stp>BQL|4137508565528950513</stp>
        <tr r="AU165" s="2"/>
      </tp>
    </main>
    <main first="bofaddin.rtdserver">
      <tp t="s">
        <v>#N/A Requesting Data...1915384176</v>
        <stp/>
        <stp>BQL|8353746614337777319</stp>
        <tr r="R165" s="2"/>
      </tp>
    </main>
    <main first="bofaddin.rtdserver">
      <tp t="s">
        <v>#N/A Requesting Data...739544347</v>
        <stp/>
        <stp>BQL|6583360484426059144</stp>
        <tr r="AC165" s="2"/>
      </tp>
    </main>
    <main first="bofaddin.rtdserver">
      <tp t="s">
        <v>#N/A N/A</v>
        <stp/>
        <stp>BDH|8107584652343857190</stp>
        <tr r="AI368" s="2"/>
      </tp>
    </main>
    <main first="bofaddin.rtdserver">
      <tp t="s">
        <v>#N/A Requesting Data...3570315994</v>
        <stp/>
        <stp>BQL|6791038089700100530</stp>
        <tr r="AE114" s="2"/>
      </tp>
      <tp t="s">
        <v>#N/A Requesting Data...1567884212</v>
        <stp/>
        <stp>BQL|1245092330450211963</stp>
        <tr r="T164" s="2"/>
      </tp>
    </main>
    <main first="bofaddin.rtdserver">
      <tp t="s">
        <v>#N/A Requesting Data...1402374500</v>
        <stp/>
        <stp>BQL|3038997051067393365</stp>
        <tr r="AH113" s="2"/>
      </tp>
    </main>
    <main first="bofaddin.rtdserver">
      <tp t="s">
        <v>#N/A Requesting Data...621156956</v>
        <stp/>
        <stp>BQL|5569839662992927256</stp>
        <tr r="AL6" s="2"/>
      </tp>
    </main>
    <main first="bofaddin.rtdserver">
      <tp t="s">
        <v>#N/A Requesting Data...1795507299</v>
        <stp/>
        <stp>BQL|2668060635348083202</stp>
        <tr r="AN164" s="2"/>
      </tp>
    </main>
    <main first="bofaddin.rtdserver">
      <tp t="s">
        <v>#N/A Requesting Data...3601047863</v>
        <stp/>
        <stp>BQL|9402741561320724342</stp>
        <tr r="R6" s="2"/>
      </tp>
      <tp t="s">
        <v>#N/A Requesting Data...762756960</v>
        <stp/>
        <stp>BQL|8139570943097147568</stp>
        <tr r="AA6" s="2"/>
      </tp>
    </main>
    <main first="bofaddin.rtdserver">
      <tp t="s">
        <v>#N/A N/A</v>
        <stp/>
        <stp>BDH|1128581756312501801</stp>
        <tr r="AE382" s="2"/>
        <tr r="AF382" s="2"/>
      </tp>
    </main>
    <main first="bofaddin.rtdserver">
      <tp t="s">
        <v>#N/A Requesting Data...3746711174</v>
        <stp/>
        <stp>BQL|4904602626307565364</stp>
        <tr r="AH114" s="2"/>
      </tp>
    </main>
    <main first="bofaddin.rtdserver">
      <tp t="s">
        <v>#N/A Requesting Data...4136108373</v>
        <stp/>
        <stp>BQL|1205386719637898080</stp>
        <tr r="AG113" s="2"/>
      </tp>
      <tp t="s">
        <v>#N/A Requesting Data...3077553545</v>
        <stp/>
        <stp>BQL|1236245868813881272</stp>
        <tr r="AQ114" s="2"/>
      </tp>
    </main>
    <main first="bloomberg.rtd">
      <tp>
        <v>15088.482</v>
        <stp/>
        <stp>##V3_BDPV12</stp>
        <stp>KO Equity</stp>
        <stp>BEST_EBITDA</stp>
        <stp>[Zach MARIANI KDP.xlsx]Comps!R11C65</stp>
        <stp>BEST_FPERIOD_OVERRIDE=1TY</stp>
        <tr r="BM11" s="5"/>
      </tp>
    </main>
    <main first="bofaddin.rtdserver">
      <tp t="s">
        <v>#N/A Requesting Data...2896955737</v>
        <stp/>
        <stp>BQL|2062550201724098747</stp>
        <tr r="AE164" s="2"/>
      </tp>
    </main>
    <main first="bofaddin.rtdserver">
      <tp t="s">
        <v>#N/A N/A</v>
        <stp/>
        <stp>BDH|3056060336521433559</stp>
        <tr r="S368" s="2"/>
      </tp>
      <tp t="s">
        <v>#N/A N/A</v>
        <stp/>
        <stp>BDH|3963982226579769563</stp>
        <tr r="AL368" s="2"/>
      </tp>
    </main>
    <main first="bloomberg.rtd">
      <tp>
        <v>14879.529</v>
        <stp/>
        <stp>##V3_BDPV12</stp>
        <stp>KDP Equity</stp>
        <stp>BEST_SALES</stp>
        <stp>[Zach MARIANI KDP.xlsx]Comps!R7C85</stp>
        <stp>BEST_FPERIOD_OVERRIDE=23BC</stp>
        <tr r="CG7" s="5"/>
      </tp>
      <tp>
        <v>8.3000000000000007</v>
        <stp/>
        <stp>##V3_BDPV12</stp>
        <stp>NESN SW Equity</stp>
        <stp>ORGANIC_GROWTH</stp>
        <stp>[Zach MARIANI KDP.xlsx]Comps!R15C107</stp>
        <stp>EQY_FUND_YEAR=2022</stp>
        <tr r="DC15" s="5"/>
      </tp>
      <tp>
        <v>3.6</v>
        <stp/>
        <stp>##V3_BDPV12</stp>
        <stp>NESN SW Equity</stp>
        <stp>ORGANIC_GROWTH</stp>
        <stp>[Zach MARIANI KDP.xlsx]Comps!R15C103</stp>
        <stp>EQY_FUND_YEAR=2020</stp>
        <tr r="CY15" s="5"/>
      </tp>
      <tp>
        <v>7.5</v>
        <stp/>
        <stp>##V3_BDPV12</stp>
        <stp>NESN SW Equity</stp>
        <stp>ORGANIC_GROWTH</stp>
        <stp>[Zach MARIANI KDP.xlsx]Comps!R15C105</stp>
        <stp>EQY_FUND_YEAR=2021</stp>
        <tr r="DA15" s="5"/>
      </tp>
    </main>
    <main first="bofaddin.rtdserver">
      <tp t="s">
        <v>#N/A Requesting Data...1833249913</v>
        <stp/>
        <stp>BQL|9634404228529587379</stp>
        <tr r="O164" s="2"/>
      </tp>
    </main>
    <main first="bofaddin.rtdserver">
      <tp t="s">
        <v>#N/A N/A</v>
        <stp/>
        <stp>BDH|3608619448827656301</stp>
        <tr r="AB368" s="2"/>
      </tp>
    </main>
    <main first="bofaddin.rtdserver">
      <tp t="s">
        <v>#N/A N/A</v>
        <stp/>
        <stp>BDH|7758025418864146719</stp>
        <tr r="W382" s="2"/>
      </tp>
    </main>
    <main first="bloomberg.rtd">
      <tp>
        <v>14060</v>
        <stp/>
        <stp>##V3_BDPV12</stp>
        <stp>KDP Equity</stp>
        <stp>BEST_SALES</stp>
        <stp>[Zach MARIANI KDP.xlsx]Comps!R7C83</stp>
        <stp>BEST_FPERIOD_OVERRIDE=22BC</stp>
        <tr r="CE7" s="5"/>
      </tp>
    </main>
    <main first="bloomberg.rtd">
      <tp>
        <v>23.30791528231028</v>
        <stp/>
        <stp>##V3_BDPV12</stp>
        <stp>NESN SW Equity</stp>
        <stp>INTERVAL_AVG</stp>
        <stp>[Zach MARIANI KDP.xlsx]Comps!R15C75</stp>
        <stp>MARKET_DATA_OVERRIDE=BEST_PE_RATIO</stp>
        <stp xml:space="preserve">BEST_FPERIOD_OVERRIDE=1TY </stp>
        <stp xml:space="preserve">CALC_INTERVAL=2Y </stp>
        <tr r="BW15" s="5"/>
      </tp>
    </main>
    <main first="bofaddin.rtdserver">
      <tp t="s">
        <v>#N/A Requesting Data...932888337</v>
        <stp/>
        <stp>BQL|5101384910009605806</stp>
        <tr r="S6" s="2"/>
      </tp>
      <tp t="s">
        <v>#N/A Requesting Data...3994800767</v>
        <stp/>
        <stp>BQL|3659758449192179407</stp>
        <tr r="W6" s="2"/>
      </tp>
      <tp t="s">
        <v>#N/A Requesting Data...1663465764</v>
        <stp/>
        <stp>BQL|8433678091284979515</stp>
        <tr r="Y165" s="2"/>
      </tp>
    </main>
    <main first="bloomberg.rtd">
      <tp>
        <v>12683</v>
        <stp/>
        <stp>##V3_BDPV12</stp>
        <stp>KDP Equity</stp>
        <stp>BEST_SALES</stp>
        <stp>[Zach MARIANI KDP.xlsx]Comps!R7C81</stp>
        <stp>BEST_FPERIOD_OVERRIDE=21BC</stp>
        <tr r="CC7" s="5"/>
      </tp>
      <tp>
        <v>57.545000000000002</v>
        <stp/>
        <stp>##V3_BDPV12</stp>
        <stp>KO Equity</stp>
        <stp>PX_LAST</stp>
        <stp>[Zach MARIANI KDP.xlsx]Comps!R11C5</stp>
        <tr r="E11" s="5"/>
      </tp>
      <tp>
        <v>21.878871039664475</v>
        <stp/>
        <stp>##V3_BDPV12</stp>
        <stp>NESN SW Equity</stp>
        <stp>INTERVAL_AVG</stp>
        <stp>[Zach MARIANI KDP.xlsx]Comps!R15C73</stp>
        <stp>MARKET_DATA_OVERRIDE=BEST_PE_RATIO</stp>
        <stp xml:space="preserve">BEST_FPERIOD_OVERRIDE=1TY </stp>
        <stp xml:space="preserve">CALC_INTERVAL=1Y </stp>
        <tr r="BU15" s="5"/>
      </tp>
    </main>
    <main first="bofaddin.rtdserver">
      <tp t="s">
        <v>#N/A Requesting Data...4206594412</v>
        <stp/>
        <stp>BQL|5302457969476693677</stp>
        <tr r="AS6" s="2"/>
      </tp>
      <tp t="s">
        <v>#N/A Requesting Data...2427248907</v>
        <stp/>
        <stp>BQL|3221679031363922206</stp>
        <tr r="AV164" s="2"/>
      </tp>
    </main>
    <main first="bofaddin.rtdserver">
      <tp t="s">
        <v>#N/A Requesting Data...1095073345</v>
        <stp/>
        <stp>BQL|1912606800753630328</stp>
        <tr r="AC164" s="2"/>
      </tp>
    </main>
    <main first="bofaddin.rtdserver">
      <tp t="s">
        <v>#N/A Requesting Data...2871193803</v>
        <stp/>
        <stp>BQL|3215141600864464174</stp>
        <tr r="AI6" s="2"/>
      </tp>
    </main>
    <main first="bofaddin.rtdserver">
      <tp t="s">
        <v>#N/A N/A</v>
        <stp/>
        <stp>BDH|7247114943957600228</stp>
        <tr r="AE368" s="2"/>
        <tr r="AF368" s="2"/>
      </tp>
    </main>
    <main first="bloomberg.rtd">
      <tp>
        <v>11618</v>
        <stp/>
        <stp>##V3_BDPV12</stp>
        <stp>KDP Equity</stp>
        <stp>BEST_SALES</stp>
        <stp>[Zach MARIANI KDP.xlsx]Comps!R7C79</stp>
        <stp>BEST_FPERIOD_OVERRIDE=20BC</stp>
        <tr r="CA7" s="5"/>
      </tp>
      <tp>
        <v>1147.9000000000001</v>
        <stp/>
        <stp>##V3_BDPV12</stp>
        <stp>SBUX Equity</stp>
        <stp>BS_SH_OUT</stp>
        <stp>[Zach MARIANI KDP.xlsx]Comps!R14C56</stp>
        <tr r="BD14" s="5"/>
      </tp>
    </main>
    <main first="bofaddin.rtdserver">
      <tp t="s">
        <v>#N/A Requesting Data...2603610089</v>
        <stp/>
        <stp>BQL|3441364437122361196</stp>
        <tr r="AL113" s="2"/>
      </tp>
      <tp t="s">
        <v>#N/A Requesting Data...2268240686</v>
        <stp/>
        <stp>BQL|3762244963520886775</stp>
        <tr r="AV114" s="2"/>
      </tp>
    </main>
    <main first="bofaddin.rtdserver">
      <tp t="s">
        <v>#N/A Requesting Data...4104716317</v>
        <stp/>
        <stp>BQL|7264333135076919110</stp>
        <tr r="AT114" s="2"/>
      </tp>
    </main>
    <main first="bofaddin.rtdserver">
      <tp t="s">
        <v>#N/A Requesting Data...4207102669</v>
        <stp/>
        <stp>BQL|2709421308385514338</stp>
        <tr r="AX165" s="2"/>
      </tp>
    </main>
    <main first="bofaddin.rtdserver">
      <tp t="s">
        <v>#N/A Requesting Data...1334225352</v>
        <stp/>
        <stp>BQL|6521559733231696105</stp>
        <tr r="AT164" s="2"/>
      </tp>
      <tp t="s">
        <v>#N/A Requesting Data...2176640739</v>
        <stp/>
        <stp>BQL|6154043857600696302</stp>
        <tr r="P165" s="2"/>
      </tp>
    </main>
    <main first="bofaddin.rtdserver">
      <tp t="s">
        <v>#N/A N/A</v>
        <stp/>
        <stp>BDH|8357145891228164816</stp>
        <tr r="Q382" s="2"/>
      </tp>
    </main>
    <main first="bofaddin.rtdserver">
      <tp t="s">
        <v>#N/A N/A</v>
        <stp/>
        <stp>BDH|3213961158959933609</stp>
        <tr r="AD368" s="2"/>
      </tp>
    </main>
    <main first="bloomberg.rtd">
      <tp>
        <v>84343</v>
        <stp/>
        <stp>##V3_BDPV12</stp>
        <stp>NESN SW Equity</stp>
        <stp>BEST_SALES</stp>
        <stp>[Zach MARIANI KDP.xlsx]Comps!R15C79</stp>
        <stp>BEST_FPERIOD_OVERRIDE=20BC</stp>
        <tr r="CA15" s="5"/>
      </tp>
      <tp>
        <v>1.95</v>
        <stp/>
        <stp>##V3_BDPV12</stp>
        <stp>KO Equity</stp>
        <stp>BEST_EPS</stp>
        <stp>[Zach MARIANI KDP.xlsx]Comps!R11C95</stp>
        <stp>BEST_FPERIOD_OVERRIDE=20BC</stp>
        <tr r="CQ11" s="5"/>
      </tp>
    </main>
    <main first="bofaddin.rtdserver">
      <tp t="s">
        <v>#N/A Requesting Data...935914767</v>
        <stp/>
        <stp>BQL|7145923984900002788</stp>
        <tr r="AW165" s="2"/>
      </tp>
    </main>
    <main first="bloomberg.rtd">
      <tp>
        <v>196.12</v>
        <stp/>
        <stp>##V3_BDPV12</stp>
        <stp>PEP Equity</stp>
        <stp>INTERVAL_HIGH</stp>
        <stp>[Zach MARIANI KDP.xlsx]Comps!R12C53</stp>
        <stp>CALC_INTERVAL=52W</stp>
        <stp>END_DATE_OVERRIDE</stp>
        <stp>20230921</stp>
        <tr r="BA12" s="5"/>
      </tp>
    </main>
    <main first="bloomberg.rtd">
      <tp>
        <v>7.4337242359630418</v>
        <stp/>
        <stp>##V3_BDPV12</stp>
        <stp>PEP US Equity</stp>
        <stp>INVENT_TURN</stp>
        <stp>[Zach MARIANI KDP.xlsx]Comps!R12C45</stp>
        <tr r="AS12" s="5"/>
      </tp>
    </main>
    <main first="bofaddin.rtdserver">
      <tp t="s">
        <v>#N/A Requesting Data...1378886394</v>
        <stp/>
        <stp>BQL|4328837883183060606</stp>
        <tr r="F6" s="2"/>
      </tp>
    </main>
    <main first="bofaddin.rtdserver">
      <tp t="s">
        <v>#N/A Requesting Data...3811881479</v>
        <stp/>
        <stp>BQL|7642322803990681510</stp>
        <tr r="AW6" s="2"/>
      </tp>
    </main>
    <main first="bloomberg.rtd">
      <tp>
        <v>87088</v>
        <stp/>
        <stp>##V3_BDPV12</stp>
        <stp>NESN SW Equity</stp>
        <stp>BEST_SALES</stp>
        <stp>[Zach MARIANI KDP.xlsx]Comps!R15C81</stp>
        <stp>BEST_FPERIOD_OVERRIDE=21BC</stp>
        <tr r="CC15" s="5"/>
      </tp>
      <tp>
        <v>2.3199999999999998</v>
        <stp/>
        <stp>##V3_BDPV12</stp>
        <stp>KO Equity</stp>
        <stp>BEST_EPS</stp>
        <stp>[Zach MARIANI KDP.xlsx]Comps!R11C97</stp>
        <stp>BEST_FPERIOD_OVERRIDE=21BC</stp>
        <tr r="CS11" s="5"/>
      </tp>
    </main>
    <main first="bofaddin.rtdserver">
      <tp t="s">
        <v>#N/A Requesting Data...3374215066</v>
        <stp/>
        <stp>BQL|5268372369006804487</stp>
        <tr r="AD113" s="2"/>
      </tp>
    </main>
    <main first="bofaddin.rtdserver">
      <tp t="s">
        <v>#N/A Requesting Data...990033169</v>
        <stp/>
        <stp>BQL|3187280980612321983</stp>
        <tr r="AN114" s="2"/>
      </tp>
    </main>
    <main first="bofaddin.rtdserver">
      <tp t="s">
        <v>#N/A N/A</v>
        <stp/>
        <stp>BDH|3501699110126383095</stp>
        <tr r="AG368" s="2"/>
      </tp>
    </main>
    <main first="bloomberg.rtd">
      <tp>
        <v>94424</v>
        <stp/>
        <stp>##V3_BDPV12</stp>
        <stp>NESN SW Equity</stp>
        <stp>BEST_SALES</stp>
        <stp>[Zach MARIANI KDP.xlsx]Comps!R15C83</stp>
        <stp>BEST_FPERIOD_OVERRIDE=22BC</stp>
        <tr r="CE15" s="5"/>
      </tp>
      <tp>
        <v>2.48</v>
        <stp/>
        <stp>##V3_BDPV12</stp>
        <stp>KO Equity</stp>
        <stp>BEST_EPS</stp>
        <stp>[Zach MARIANI KDP.xlsx]Comps!R11C99</stp>
        <stp>BEST_FPERIOD_OVERRIDE=22BC</stp>
        <tr r="CU11" s="5"/>
      </tp>
      <tp>
        <v>23.303322939581797</v>
        <stp/>
        <stp>##V3_BDPV12</stp>
        <stp>NESN SW Equity</stp>
        <stp>INTERVAL_AVG</stp>
        <stp>[Zach MARIANI KDP.xlsx]Comps!R15C77</stp>
        <stp>MARKET_DATA_OVERRIDE=BEST_PE_RATIO</stp>
        <stp xml:space="preserve">BEST_FPERIOD_OVERRIDE=1TY </stp>
        <stp xml:space="preserve">CALC_INTERVAL=5Y </stp>
        <tr r="BY15" s="5"/>
      </tp>
    </main>
    <main first="bofaddin.rtdserver">
      <tp t="s">
        <v>#N/A Requesting Data...3954920120</v>
        <stp/>
        <stp>BQL|1298960848829170636</stp>
        <tr r="J6" s="2"/>
      </tp>
      <tp t="s">
        <v>#N/A Requesting Data...915208780</v>
        <stp/>
        <stp>BQL|7925134273433520111</stp>
        <tr r="W165" s="2"/>
      </tp>
    </main>
    <main first="bofaddin.rtdserver">
      <tp t="s">
        <v>#N/A Requesting Data...816285919</v>
        <stp/>
        <stp>BQL|7643347574567534785</stp>
        <tr r="M165" s="2"/>
      </tp>
    </main>
    <main first="bofaddin.rtdserver">
      <tp t="s">
        <v>#N/A Requesting Data...790792941</v>
        <stp/>
        <stp>BQL|1351003826477116719</stp>
        <tr r="AI113" s="2"/>
      </tp>
      <tp t="s">
        <v>#N/A Requesting Data...3458742376</v>
        <stp/>
        <stp>BQL|5107348126631790679</stp>
        <tr r="AG114" s="2"/>
      </tp>
      <tp t="s">
        <v>#N/A Requesting Data...3466158047</v>
        <stp/>
        <stp>BQL|1944128498483415940</stp>
        <tr r="AB165" s="2"/>
      </tp>
    </main>
    <main first="bofaddin.rtdserver">
      <tp t="s">
        <v>#N/A N/A</v>
        <stp/>
        <stp>BDH|4996212166015128668</stp>
        <tr r="X368" s="2"/>
      </tp>
      <tp t="s">
        <v>#N/A N/A</v>
        <stp/>
        <stp>BDH|8416065718379184322</stp>
        <tr r="AM368" s="2"/>
      </tp>
    </main>
    <main first="bloomberg.rtd">
      <tp>
        <v>95392.917000000001</v>
        <stp/>
        <stp>##V3_BDPV12</stp>
        <stp>NESN SW Equity</stp>
        <stp>BEST_SALES</stp>
        <stp>[Zach MARIANI KDP.xlsx]Comps!R15C85</stp>
        <stp>BEST_FPERIOD_OVERRIDE=23BC</stp>
        <tr r="CG15" s="5"/>
      </tp>
      <tp>
        <v>162.59</v>
        <stp/>
        <stp>##V3_BDPV12</stp>
        <stp>SJM Equity</stp>
        <stp>INTERVAL_HIGH</stp>
        <stp>[Zach MARIANI KDP.xlsx]Comps!R13C53</stp>
        <stp>CALC_INTERVAL=52W</stp>
        <stp>END_DATE_OVERRIDE</stp>
        <stp>20230921</stp>
        <tr r="BA13" s="5"/>
      </tp>
      <tp>
        <v>4.6191505278031757</v>
        <stp/>
        <stp>##V3_BDPV12</stp>
        <stp>SJM US Equity</stp>
        <stp>INVENT_TURN</stp>
        <stp>[Zach MARIANI KDP.xlsx]Comps!R13C45</stp>
        <tr r="AS13" s="5"/>
      </tp>
      <tp>
        <v>32913.800000000003</v>
        <stp/>
        <stp>##V3_BDPV12</stp>
        <stp>SBUX Equity</stp>
        <stp>BEST_SALES</stp>
        <stp>[Zach MARIANI KDP.xlsx]Comps!R14C83</stp>
        <stp>BEST_FPERIOD_OVERRIDE=22BC</stp>
        <tr r="CE14" s="5"/>
      </tp>
      <tp>
        <v>16.821077370413573</v>
        <stp/>
        <stp>##V3_BDPV12</stp>
        <stp>NESN SW Equity</stp>
        <stp>INTERVAL_AVG</stp>
        <stp>[Zach MARIANI KDP.xlsx]Comps!R15C67</stp>
        <stp>MARKET_DATA_OVERRIDE=BEST_CUR_EV_TO_EBITDA</stp>
        <stp xml:space="preserve">BEST_FPERIOD_OVERRIDE=1TY </stp>
        <stp xml:space="preserve">CALC_INTERVAL=1Y </stp>
        <tr r="BO15" s="5"/>
      </tp>
      <tp>
        <v>36944.883999999998</v>
        <stp/>
        <stp>##V3_BDPV12</stp>
        <stp>SBUX Equity</stp>
        <stp>BEST_SALES</stp>
        <stp>[Zach MARIANI KDP.xlsx]Comps!R14C85</stp>
        <stp>BEST_FPERIOD_OVERRIDE=23BC</stp>
        <tr r="CG14" s="5"/>
      </tp>
      <tp>
        <v>3.95</v>
        <stp/>
        <stp>##V3_BDPV12</stp>
        <stp>BV815699 Corp</stp>
        <stp>COUPON</stp>
        <stp>[Zach MARIANI KDP.xlsx]Debt!R9C11</stp>
        <tr r="K9" s="7"/>
      </tp>
      <tp>
        <v>23170.300000000003</v>
        <stp/>
        <stp>##V3_BDPV12</stp>
        <stp>SBUX Equity</stp>
        <stp>BEST_SALES</stp>
        <stp>[Zach MARIANI KDP.xlsx]Comps!R14C79</stp>
        <stp>BEST_FPERIOD_OVERRIDE=20BC</stp>
        <tr r="CA14" s="5"/>
      </tp>
      <tp>
        <v>2.637</v>
        <stp/>
        <stp>##V3_BDPV12</stp>
        <stp>KO Equity</stp>
        <stp>BEST_EPS</stp>
        <stp>[Zach MARIANI KDP.xlsx]Comps!R11C101</stp>
        <stp>BEST_FPERIOD_OVERRIDE=23BC</stp>
        <tr r="CW11" s="5"/>
      </tp>
      <tp>
        <v>16103</v>
        <stp/>
        <stp>##V3_BDPV12</stp>
        <stp>NESN SW Equity</stp>
        <stp>IS_ADJ_EBIT_OP_INC_AS_REPORTED</stp>
        <stp>[Zach MARIANI KDP.xlsx]Comps!R15C117</stp>
        <stp>EQY_FUND_YEAR=-0FY</stp>
        <tr r="DM15" s="5"/>
      </tp>
      <tp>
        <v>-1</v>
        <stp/>
        <stp>##V3_BDPV12</stp>
        <stp>KDP Equity</stp>
        <stp>MINORITY_NONCONTROLLING_INTEREST</stp>
        <stp>[Zach MARIANI KDP.xlsx]Comps!R7C60</stp>
        <stp>FUND_PER=Q</stp>
        <tr r="BH7" s="5"/>
      </tp>
      <tp>
        <v>15119</v>
        <stp/>
        <stp>##V3_BDPV12</stp>
        <stp>NESN SW Equity</stp>
        <stp>IS_ADJ_EBIT_OP_INC_AS_REPORTED</stp>
        <stp>[Zach MARIANI KDP.xlsx]Comps!R15C113</stp>
        <stp>EQY_FUND_YEAR=2021</stp>
        <tr r="DI15" s="5"/>
      </tp>
      <tp>
        <v>14903</v>
        <stp/>
        <stp>##V3_BDPV12</stp>
        <stp>NESN SW Equity</stp>
        <stp>IS_ADJ_EBIT_OP_INC_AS_REPORTED</stp>
        <stp>[Zach MARIANI KDP.xlsx]Comps!R15C111</stp>
        <stp>EQY_FUND_YEAR=2020</stp>
        <tr r="DG15" s="5"/>
      </tp>
      <tp>
        <v>16103</v>
        <stp/>
        <stp>##V3_BDPV12</stp>
        <stp>NESN SW Equity</stp>
        <stp>IS_ADJ_EBIT_OP_INC_AS_REPORTED</stp>
        <stp>[Zach MARIANI KDP.xlsx]Comps!R15C115</stp>
        <stp>EQY_FUND_YEAR=2022</stp>
        <tr r="DK15" s="5"/>
      </tp>
      <tp>
        <v>30361.599999999999</v>
        <stp/>
        <stp>##V3_BDPV12</stp>
        <stp>SBUX Equity</stp>
        <stp>BEST_SALES</stp>
        <stp>[Zach MARIANI KDP.xlsx]Comps!R14C81</stp>
        <stp>BEST_FPERIOD_OVERRIDE=21BC</stp>
        <tr r="CC14" s="5"/>
      </tp>
      <tp>
        <v>17.899665325830934</v>
        <stp/>
        <stp>##V3_BDPV12</stp>
        <stp>NESN SW Equity</stp>
        <stp>INTERVAL_AVG</stp>
        <stp>[Zach MARIANI KDP.xlsx]Comps!R15C69</stp>
        <stp>MARKET_DATA_OVERRIDE=BEST_CUR_EV_TO_EBITDA</stp>
        <stp xml:space="preserve">BEST_FPERIOD_OVERRIDE=1TY </stp>
        <stp xml:space="preserve">CALC_INTERVAL=2Y </stp>
        <tr r="BQ15" s="5"/>
      </tp>
      <tp>
        <v>7.4830000000000005</v>
        <stp/>
        <stp>##V3_BDPV12</stp>
        <stp>PEP Equity</stp>
        <stp>BEST_EPS</stp>
        <stp>[Zach MARIANI KDP.xlsx]Comps!R12C101</stp>
        <stp>BEST_FPERIOD_OVERRIDE=23BC</stp>
        <tr r="CW12" s="5"/>
      </tp>
      <tp>
        <v>2668.141384</v>
        <stp/>
        <stp>##V3_BDPV12</stp>
        <stp>NESN SW Equity</stp>
        <stp>BS_SH_OUT</stp>
        <stp>[Zach MARIANI KDP.xlsx]Comps!R15C56</stp>
        <tr r="BD15" s="5"/>
      </tp>
      <tp>
        <v>17324.635999999999</v>
        <stp/>
        <stp>##V3_BDPV12</stp>
        <stp>PEP Equity</stp>
        <stp>BEST_EBITDA</stp>
        <stp>[Zach MARIANI KDP.xlsx]Comps!R12C65</stp>
        <stp>BEST_FPERIOD_OVERRIDE=1TY</stp>
        <tr r="BM12" s="5"/>
      </tp>
      <tp>
        <v>3.6550000000000002</v>
        <stp/>
        <stp>##V3_BDPV12</stp>
        <stp>SBUX Equity</stp>
        <stp>BEST_EPS</stp>
        <stp>[Zach MARIANI KDP.xlsx]Comps!R14C101</stp>
        <stp>BEST_FPERIOD_OVERRIDE=23BC</stp>
        <tr r="CW14" s="5"/>
      </tp>
      <tp>
        <v>0.98</v>
        <stp/>
        <stp>##V3_BDPV12</stp>
        <stp>SBUX Equity</stp>
        <stp>BEST_EPS</stp>
        <stp>[Zach MARIANI KDP.xlsx]Comps!R14C95</stp>
        <stp>BEST_FPERIOD_OVERRIDE=20BC</stp>
        <tr r="CQ14" s="5"/>
      </tp>
      <tp>
        <v>6.26</v>
        <stp/>
        <stp>##V3_BDPV12</stp>
        <stp>PEP Equity</stp>
        <stp>BEST_EPS</stp>
        <stp>[Zach MARIANI KDP.xlsx]Comps!R12C97</stp>
        <stp>BEST_FPERIOD_OVERRIDE=21BC</stp>
        <tr r="CS12" s="5"/>
      </tp>
      <tp>
        <v>9.7466666666666661</v>
        <stp/>
        <stp>##V3_BDPV12</stp>
        <stp>SJM Equity</stp>
        <stp>BEST_EPS</stp>
        <stp>[Zach MARIANI KDP.xlsx]Comps!R13C95</stp>
        <stp>BEST_FPERIOD_OVERRIDE=20BC</stp>
        <tr r="CQ13" s="5"/>
      </tp>
      <tp>
        <v>17.855216581481169</v>
        <stp/>
        <stp>##V3_BDPV12</stp>
        <stp>NESN SW Equity</stp>
        <stp>INTERVAL_AVG</stp>
        <stp>[Zach MARIANI KDP.xlsx]Comps!R15C71</stp>
        <stp>MARKET_DATA_OVERRIDE=BEST_CUR_EV_TO_EBITDA</stp>
        <stp xml:space="preserve">BEST_FPERIOD_OVERRIDE=1TY </stp>
        <stp xml:space="preserve">CALC_INTERVAL=5Y </stp>
        <tr r="BS15" s="5"/>
      </tp>
      <tp>
        <v>1428.5</v>
        <stp/>
        <stp>##V3_BDPV12</stp>
        <stp xml:space="preserve">KDP US Equity </stp>
        <stp>IS_SH_FOR_DILUTED_EPS</stp>
        <stp>[Zach MARIANI KDP.xlsx]Cover!R4C7</stp>
        <tr r="G4" s="1"/>
      </tp>
      <tp>
        <v>3.3499999999999996</v>
        <stp/>
        <stp>##V3_BDPV12</stp>
        <stp>SBUX Equity</stp>
        <stp>BEST_EPS</stp>
        <stp>[Zach MARIANI KDP.xlsx]Comps!R14C97</stp>
        <stp>BEST_FPERIOD_OVERRIDE=21BC</stp>
        <tr r="CS14" s="5"/>
      </tp>
      <tp>
        <v>5.52</v>
        <stp/>
        <stp>##V3_BDPV12</stp>
        <stp>PEP Equity</stp>
        <stp>BEST_EPS</stp>
        <stp>[Zach MARIANI KDP.xlsx]Comps!R12C95</stp>
        <stp>BEST_FPERIOD_OVERRIDE=20BC</stp>
        <tr r="CQ12" s="5"/>
      </tp>
      <tp>
        <v>8.59</v>
        <stp/>
        <stp>##V3_BDPV12</stp>
        <stp>SJM Equity</stp>
        <stp>BEST_EPS</stp>
        <stp>[Zach MARIANI KDP.xlsx]Comps!R13C97</stp>
        <stp>BEST_FPERIOD_OVERRIDE=21BC</stp>
        <tr r="CS13" s="5"/>
      </tp>
      <tp>
        <v>-1.2689116642264491</v>
        <stp/>
        <stp>##V3_BDPV12</stp>
        <stp>KC1 Comdty</stp>
        <stp>INTERVAL_PERCENT_CHANGE</stp>
        <stp>[Zach MARIANI KDP.xlsx]Tower!R238C20</stp>
        <stp>START_DATE_OVERRIDE</stp>
        <stp>20180930</stp>
        <stp>END_DATE_OVERRIDE</stp>
        <stp>20190930</stp>
        <tr r="T238" s="2"/>
      </tp>
      <tp>
        <v>9.6885813148788902</v>
        <stp/>
        <stp>##V3_BDPV12</stp>
        <stp>KC1 Comdty</stp>
        <stp>INTERVAL_PERCENT_CHANGE</stp>
        <stp>[Zach MARIANI KDP.xlsx]Tower!R238C25</stp>
        <stp>START_DATE_OVERRIDE</stp>
        <stp>20190930</stp>
        <stp>END_DATE_OVERRIDE</stp>
        <stp>20200930</stp>
        <tr r="Y238" s="2"/>
      </tp>
      <tp>
        <v>-19.992190550566193</v>
        <stp/>
        <stp>##V3_BDPV12</stp>
        <stp>KC1 Comdty</stp>
        <stp>INTERVAL_PERCENT_CHANGE</stp>
        <stp>[Zach MARIANI KDP.xlsx]Tower!R238C15</stp>
        <stp>START_DATE_OVERRIDE</stp>
        <stp>20170930</stp>
        <stp>END_DATE_OVERRIDE</stp>
        <stp>20180930</stp>
        <tr r="O238" s="2"/>
      </tp>
      <tp>
        <v>14.201030927835056</v>
        <stp/>
        <stp>##V3_BDPV12</stp>
        <stp>KC1 Comdty</stp>
        <stp>INTERVAL_PERCENT_CHANGE</stp>
        <stp>[Zach MARIANI KDP.xlsx]Tower!R238C35</stp>
        <stp>START_DATE_OVERRIDE</stp>
        <stp>20210930</stp>
        <stp>END_DATE_OVERRIDE</stp>
        <stp>20220930</stp>
        <tr r="AI238" s="2"/>
      </tp>
      <tp>
        <v>74.853537629562865</v>
        <stp/>
        <stp>##V3_BDPV12</stp>
        <stp>KC1 Comdty</stp>
        <stp>INTERVAL_PERCENT_CHANGE</stp>
        <stp>[Zach MARIANI KDP.xlsx]Tower!R238C30</stp>
        <stp>START_DATE_OVERRIDE</stp>
        <stp>20200930</stp>
        <stp>END_DATE_OVERRIDE</stp>
        <stp>20210930</stp>
        <tr r="AD238" s="2"/>
      </tp>
      <tp>
        <v>-30.106074996738187</v>
        <stp/>
        <stp>##V3_BDPV12</stp>
        <stp>KC1 Comdty</stp>
        <stp>INTERVAL_PERCENT_CHANGE</stp>
        <stp>[Zach MARIANI KDP.xlsx]Tower!R238C40</stp>
        <stp>START_DATE_OVERRIDE</stp>
        <stp>20220930</stp>
        <stp>END_DATE_OVERRIDE</stp>
        <stp>20230930</stp>
        <tr r="AN238" s="2"/>
      </tp>
      <tp>
        <v>2.99</v>
        <stp/>
        <stp>##V3_BDPV12</stp>
        <stp>SBUX Equity</stp>
        <stp>BEST_EPS</stp>
        <stp>[Zach MARIANI KDP.xlsx]Comps!R14C99</stp>
        <stp>BEST_FPERIOD_OVERRIDE=22BC</stp>
        <tr r="CU14" s="5"/>
      </tp>
      <tp>
        <v>8.5499999999999989</v>
        <stp/>
        <stp>##V3_BDPV12</stp>
        <stp>SJM Equity</stp>
        <stp>BEST_EPS</stp>
        <stp>[Zach MARIANI KDP.xlsx]Comps!R13C99</stp>
        <stp>BEST_FPERIOD_OVERRIDE=22BC</stp>
        <tr r="CU13" s="5"/>
      </tp>
      <tp>
        <v>9.7230000000000008</v>
        <stp/>
        <stp>##V3_BDPV12</stp>
        <stp>SJM Equity</stp>
        <stp>BEST_EPS</stp>
        <stp>[Zach MARIANI KDP.xlsx]Comps!R13C101</stp>
        <stp>BEST_FPERIOD_OVERRIDE=23BC</stp>
        <tr r="CW13" s="5"/>
      </tp>
      <tp t="s">
        <v>BBB</v>
        <stp/>
        <stp>##V3_BDPV12</stp>
        <stp>BV815699 Corp</stp>
        <stp>RTG_SP</stp>
        <stp>[Zach MARIANI KDP.xlsx]Debt!R9C13</stp>
        <tr r="M9" s="7"/>
      </tp>
      <tp>
        <v>6.79</v>
        <stp/>
        <stp>##V3_BDPV12</stp>
        <stp>PEP Equity</stp>
        <stp>BEST_EPS</stp>
        <stp>[Zach MARIANI KDP.xlsx]Comps!R12C99</stp>
        <stp>BEST_FPERIOD_OVERRIDE=22BC</stp>
        <tr r="CU12" s="5"/>
      </tp>
      <tp>
        <v>39.549999999999997</v>
        <stp/>
        <stp>##V3_BDPV12</stp>
        <stp>KDP Equity</stp>
        <stp>INTERVAL_HIGH</stp>
        <stp>[Zach MARIANI KDP.xlsx]Comps!R7C53</stp>
        <stp>CALC_INTERVAL=52W</stp>
        <stp>END_DATE_OVERRIDE</stp>
        <stp>20230921</stp>
        <tr r="BA7" s="5"/>
      </tp>
      <tp>
        <v>107.92</v>
        <stp/>
        <stp>##V3_BDPV12</stp>
        <stp>NESN SW Equity</stp>
        <stp>PX_LAST</stp>
        <stp>[Zach MARIANI KDP.xlsx]Comps!R15C5</stp>
        <tr r="E15" s="5"/>
      </tp>
      <tp>
        <v>46.59554439912143</v>
        <stp/>
        <stp>##V3_BDPV12</stp>
        <stp>KC1 Comdty</stp>
        <stp>INTERVAL_PERCENT_CHANGE</stp>
        <stp>[Zach MARIANI KDP.xlsx]Tower!R238C34</stp>
        <stp>START_DATE_OVERRIDE</stp>
        <stp>20210630</stp>
        <stp>END_DATE_OVERRIDE</stp>
        <stp>20220630</stp>
        <tr r="AH238" s="2"/>
      </tp>
      <tp>
        <v>-31.078767123287669</v>
        <stp/>
        <stp>##V3_BDPV12</stp>
        <stp>KC1 Comdty</stp>
        <stp>INTERVAL_PERCENT_CHANGE</stp>
        <stp>[Zach MARIANI KDP.xlsx]Tower!R238C39</stp>
        <stp>START_DATE_OVERRIDE</stp>
        <stp>20220630</stp>
        <stp>END_DATE_OVERRIDE</stp>
        <stp>20230630</stp>
        <tr r="AM238" s="2"/>
      </tp>
      <tp>
        <v>-7.5750577367205567</v>
        <stp/>
        <stp>##V3_BDPV12</stp>
        <stp>KC1 Comdty</stp>
        <stp>INTERVAL_PERCENT_CHANGE</stp>
        <stp>[Zach MARIANI KDP.xlsx]Tower!R238C24</stp>
        <stp>START_DATE_OVERRIDE</stp>
        <stp>20190630</stp>
        <stp>END_DATE_OVERRIDE</stp>
        <stp>20200630</stp>
        <tr r="X238" s="2"/>
      </tp>
      <tp>
        <v>-2.9147982062780269</v>
        <stp/>
        <stp>##V3_BDPV12</stp>
        <stp>KC1 Comdty</stp>
        <stp>INTERVAL_PERCENT_CHANGE</stp>
        <stp>[Zach MARIANI KDP.xlsx]Tower!R238C19</stp>
        <stp>START_DATE_OVERRIDE</stp>
        <stp>20180630</stp>
        <stp>END_DATE_OVERRIDE</stp>
        <stp>20190630</stp>
        <tr r="S238" s="2"/>
      </tp>
      <tp>
        <v>-10.116888351471179</v>
        <stp/>
        <stp>##V3_BDPV12</stp>
        <stp>KC1 Comdty</stp>
        <stp>INTERVAL_PERCENT_CHANGE</stp>
        <stp>[Zach MARIANI KDP.xlsx]Tower!R238C14</stp>
        <stp>START_DATE_OVERRIDE</stp>
        <stp>20170630</stp>
        <stp>END_DATE_OVERRIDE</stp>
        <stp>20180630</stp>
        <tr r="N238" s="2"/>
      </tp>
      <tp>
        <v>59.270364817591201</v>
        <stp/>
        <stp>##V3_BDPV12</stp>
        <stp>KC1 Comdty</stp>
        <stp>INTERVAL_PERCENT_CHANGE</stp>
        <stp>[Zach MARIANI KDP.xlsx]Tower!R238C29</stp>
        <stp>START_DATE_OVERRIDE</stp>
        <stp>20200630</stp>
        <stp>END_DATE_OVERRIDE</stp>
        <stp>20210630</stp>
        <tr r="AC238" s="2"/>
      </tp>
      <tp>
        <v>12.490934245976845</v>
        <stp/>
        <stp>##V3_BDPV12</stp>
        <stp>SBUX US Equity</stp>
        <stp>INVENT_TURN</stp>
        <stp>[Zach MARIANI KDP.xlsx]Comps!R14C45</stp>
        <tr r="AS14" s="5"/>
      </tp>
      <tp>
        <v>4.05</v>
        <stp/>
        <stp>##V3_BDPV12</stp>
        <stp>BV815700 Corp</stp>
        <stp>COUPON</stp>
        <stp>[Zach MARIANI KDP.xlsx]Debt!R8C11</stp>
        <tr r="K8" s="7"/>
      </tp>
      <tp t="s">
        <v>BBB</v>
        <stp/>
        <stp>##V3_BDPV12</stp>
        <stp>BO339157 Corp</stp>
        <stp>RTG_SP</stp>
        <stp>[Zach MARIANI KDP.xlsx]Debt!R7C13</stp>
        <tr r="M7" s="7"/>
      </tp>
      <tp>
        <v>1730.7329999999999</v>
        <stp/>
        <stp>##V3_BDPV12</stp>
        <stp>SJM Equity</stp>
        <stp>BEST_EBITDA</stp>
        <stp>[Zach MARIANI KDP.xlsx]Comps!R13C65</stp>
        <stp>BEST_FPERIOD_OVERRIDE=1TY</stp>
        <tr r="BM13" s="5"/>
      </tp>
      <tp t="s">
        <v>2/12/2015</v>
        <stp/>
        <stp>##V3_BDPV12</stp>
        <stp xml:space="preserve">KDP US Equity </stp>
        <stp>ANNOUNCEMENT_DT</stp>
        <stp>[Zach MARIANI KDP.xlsx]Tower!R7C5</stp>
        <stp>FUND_PER=Q4</stp>
        <stp>EQY_FUND_YEAR=2014</stp>
        <tr r="E7" s="2"/>
      </tp>
      <tp t="s">
        <v>2/17/2016</v>
        <stp/>
        <stp>##V3_BDPV12</stp>
        <stp xml:space="preserve">KDP US Equity </stp>
        <stp>ANNOUNCEMENT_DT</stp>
        <stp>[Zach MARIANI KDP.xlsx]Tower!R7C6</stp>
        <stp>FUND_PER=Q4</stp>
        <stp>EQY_FUND_YEAR=2015</stp>
        <tr r="F7" s="2"/>
      </tp>
      <tp t="s">
        <v>2/14/2017</v>
        <stp/>
        <stp>##V3_BDPV12</stp>
        <stp xml:space="preserve">KDP US Equity </stp>
        <stp>ANNOUNCEMENT_DT</stp>
        <stp>[Zach MARIANI KDP.xlsx]Tower!R7C7</stp>
        <stp>FUND_PER=Q4</stp>
        <stp>EQY_FUND_YEAR=2016</stp>
        <tr r="G7" s="2"/>
      </tp>
      <tp>
        <v>4400.9170000000004</v>
        <stp/>
        <stp>##V3_BDPV12</stp>
        <stp>KDP Equity</stp>
        <stp>BEST_EBITDA</stp>
        <stp>[Zach MARIANI KDP.xlsx]Comps!R7C65</stp>
        <stp>BEST_FPERIOD_OVERRIDE=1TY</stp>
        <tr r="BM7" s="5"/>
      </tp>
      <tp>
        <v>0.75</v>
        <stp/>
        <stp>##V3_BDPV12</stp>
        <stp>BO339157 Corp</stp>
        <stp>COUPON</stp>
        <stp>[Zach MARIANI KDP.xlsx]Debt!R7C11</stp>
        <tr r="K7" s="7"/>
      </tp>
      <tp>
        <v>114.56</v>
        <stp/>
        <stp>##V3_BDPV12</stp>
        <stp>SBUX Equity</stp>
        <stp>INTERVAL_HIGH</stp>
        <stp>[Zach MARIANI KDP.xlsx]Comps!R14C53</stp>
        <stp>CALC_INTERVAL=52W</stp>
        <stp>END_DATE_OVERRIDE</stp>
        <stp>20230921</stp>
        <tr r="BA14" s="5"/>
      </tp>
      <tp t="s">
        <v>BBB</v>
        <stp/>
        <stp>##V3_BDPV12</stp>
        <stp>BV815700 Corp</stp>
        <stp>RTG_SP</stp>
        <stp>[Zach MARIANI KDP.xlsx]Debt!R8C13</stp>
        <tr r="M8" s="7"/>
      </tp>
      <tp>
        <v>16</v>
        <stp/>
        <stp>##V3_BDPV12</stp>
        <stp>KO Equity</stp>
        <stp>ORGANIC_GROWTH</stp>
        <stp>[Zach MARIANI KDP.xlsx]Comps!R11C107</stp>
        <stp>EQY_FUND_YEAR=2022</stp>
        <tr r="DC11" s="5"/>
      </tp>
      <tp>
        <v>16</v>
        <stp/>
        <stp>##V3_BDPV12</stp>
        <stp>KO Equity</stp>
        <stp>ORGANIC_GROWTH</stp>
        <stp>[Zach MARIANI KDP.xlsx]Comps!R11C105</stp>
        <stp>EQY_FUND_YEAR=2021</stp>
        <tr r="DA11" s="5"/>
      </tp>
      <tp>
        <v>-9</v>
        <stp/>
        <stp>##V3_BDPV12</stp>
        <stp>KO Equity</stp>
        <stp>ORGANIC_GROWTH</stp>
        <stp>[Zach MARIANI KDP.xlsx]Comps!R11C103</stp>
        <stp>EQY_FUND_YEAR=2020</stp>
        <tr r="CY11" s="5"/>
      </tp>
      <tp>
        <v>-26.006191950464391</v>
        <stp/>
        <stp>##V3_BDPV12</stp>
        <stp>KC1 Comdty</stp>
        <stp>INTERVAL_PERCENT_CHANGE</stp>
        <stp>[Zach MARIANI KDP.xlsx]Tower!R238C36</stp>
        <stp>START_DATE_OVERRIDE</stp>
        <stp>20211231</stp>
        <stp>END_DATE_OVERRIDE</stp>
        <stp>20221231</stp>
        <tr r="AJ238" s="2"/>
      </tp>
      <tp>
        <v>-20.016927634363103</v>
        <stp/>
        <stp>##V3_BDPV12</stp>
        <stp>KC1 Comdty</stp>
        <stp>INTERVAL_PERCENT_CHANGE</stp>
        <stp>[Zach MARIANI KDP.xlsx]Tower!R238C18</stp>
        <stp>START_DATE_OVERRIDE</stp>
        <stp>20180331</stp>
        <stp>END_DATE_OVERRIDE</stp>
        <stp>20190331</stp>
        <tr r="R238" s="2"/>
      </tp>
      <tp>
        <v>26.507936507936503</v>
        <stp/>
        <stp>##V3_BDPV12</stp>
        <stp>KC1 Comdty</stp>
        <stp>INTERVAL_PERCENT_CHANGE</stp>
        <stp>[Zach MARIANI KDP.xlsx]Tower!R238C23</stp>
        <stp>START_DATE_OVERRIDE</stp>
        <stp>20190331</stp>
        <stp>END_DATE_OVERRIDE</stp>
        <stp>20200331</stp>
        <tr r="W238" s="2"/>
      </tp>
      <tp>
        <v>76.296296296296291</v>
        <stp/>
        <stp>##V3_BDPV12</stp>
        <stp>KC1 Comdty</stp>
        <stp>INTERVAL_PERCENT_CHANGE</stp>
        <stp>[Zach MARIANI KDP.xlsx]Tower!R238C31</stp>
        <stp>START_DATE_OVERRIDE</stp>
        <stp>20201231</stp>
        <stp>END_DATE_OVERRIDE</stp>
        <stp>20211231</stp>
        <tr r="AE238" s="2"/>
      </tp>
      <tp>
        <v>3.3040568799665437</v>
        <stp/>
        <stp>##V3_BDPV12</stp>
        <stp>KC1 Comdty</stp>
        <stp>INTERVAL_PERCENT_CHANGE</stp>
        <stp>[Zach MARIANI KDP.xlsx]Tower!R238C28</stp>
        <stp>START_DATE_OVERRIDE</stp>
        <stp>20200331</stp>
        <stp>END_DATE_OVERRIDE</stp>
        <stp>20210331</stp>
        <tr r="AB238" s="2"/>
      </tp>
      <tp>
        <v>-15.183058147882273</v>
        <stp/>
        <stp>##V3_BDPV12</stp>
        <stp>KC1 Comdty</stp>
        <stp>INTERVAL_PERCENT_CHANGE</stp>
        <stp>[Zach MARIANI KDP.xlsx]Tower!R238C13</stp>
        <stp>START_DATE_OVERRIDE</stp>
        <stp>20170331</stp>
        <stp>END_DATE_OVERRIDE</stp>
        <stp>20180331</stp>
        <tr r="M238" s="2"/>
      </tp>
      <tp>
        <v>33.590000000000003</v>
        <stp/>
        <stp>##V3_BDPV12</stp>
        <stp>KDP Equity</stp>
        <stp>PX_LAST</stp>
        <stp>[Zach MARIANI KDP.xlsx]Comps!R7C5</stp>
        <tr r="E7" s="5"/>
      </tp>
      <tp>
        <v>-1.1179645335389274</v>
        <stp/>
        <stp>##V3_BDPV12</stp>
        <stp>KC1 Comdty</stp>
        <stp>INTERVAL_PERCENT_CHANGE</stp>
        <stp>[Zach MARIANI KDP.xlsx]Tower!R238C26</stp>
        <stp>START_DATE_OVERRIDE</stp>
        <stp>20191231</stp>
        <stp>END_DATE_OVERRIDE</stp>
        <stp>20201231</stp>
        <tr r="Z238" s="2"/>
      </tp>
      <tp>
        <v>83.319838056680169</v>
        <stp/>
        <stp>##V3_BDPV12</stp>
        <stp>KC1 Comdty</stp>
        <stp>INTERVAL_PERCENT_CHANGE</stp>
        <stp>[Zach MARIANI KDP.xlsx]Tower!R238C33</stp>
        <stp>START_DATE_OVERRIDE</stp>
        <stp>20210331</stp>
        <stp>END_DATE_OVERRIDE</stp>
        <stp>20220331</stp>
        <tr r="AG238" s="2"/>
      </tp>
      <tp>
        <v>-19.294770206022193</v>
        <stp/>
        <stp>##V3_BDPV12</stp>
        <stp>KC1 Comdty</stp>
        <stp>INTERVAL_PERCENT_CHANGE</stp>
        <stp>[Zach MARIANI KDP.xlsx]Tower!R238C16</stp>
        <stp>START_DATE_OVERRIDE</stp>
        <stp>20171231</stp>
        <stp>END_DATE_OVERRIDE</stp>
        <stp>20181231</stp>
        <tr r="P238" s="2"/>
      </tp>
      <tp>
        <v>-24.690812720848058</v>
        <stp/>
        <stp>##V3_BDPV12</stp>
        <stp>KC1 Comdty</stp>
        <stp>INTERVAL_PERCENT_CHANGE</stp>
        <stp>[Zach MARIANI KDP.xlsx]Tower!R238C38</stp>
        <stp>START_DATE_OVERRIDE</stp>
        <stp>20220331</stp>
        <stp>END_DATE_OVERRIDE</stp>
        <stp>20230331</stp>
        <tr r="AL238" s="2"/>
      </tp>
      <tp>
        <v>27.344133529700539</v>
        <stp/>
        <stp>##V3_BDPV12</stp>
        <stp>KC1 Comdty</stp>
        <stp>INTERVAL_PERCENT_CHANGE</stp>
        <stp>[Zach MARIANI KDP.xlsx]Tower!R238C21</stp>
        <stp>START_DATE_OVERRIDE</stp>
        <stp>20181231</stp>
        <stp>END_DATE_OVERRIDE</stp>
        <stp>20191231</stp>
        <tr r="U238" s="2"/>
      </tp>
      <tp>
        <v>-7.4417269308269267</v>
        <stp/>
        <stp>##V3_BDPV12</stp>
        <stp>KC1 Comdty</stp>
        <stp>INTERVAL_PERCENT_CHANGE</stp>
        <stp>[Zach MARIANI KDP.xlsx]Tower!R238C41</stp>
        <stp>START_DATE_OVERRIDE</stp>
        <stp>20221231</stp>
        <stp>END_DATE_OVERRIDE</stp>
        <stp>20231231</stp>
        <tr r="AO238" s="2"/>
      </tp>
      <tp>
        <v>-7.4417269308269267</v>
        <stp/>
        <stp>##V3_BDPV12</stp>
        <stp>KC1 Comdty</stp>
        <stp>INTERVAL_PERCENT_CHANGE</stp>
        <stp>[Zach MARIANI KDP.xlsx]Tower!R238C42</stp>
        <stp>START_DATE_OVERRIDE</stp>
        <stp>20221231</stp>
        <stp>END_DATE_OVERRIDE</stp>
        <stp>20231231</stp>
        <tr r="AP238" s="2"/>
      </tp>
      <tp>
        <v>1.7627999999999999</v>
        <stp/>
        <stp>##V3_BDPV12</stp>
        <stp>FDIUFDA Index</stp>
        <stp>INTERVAL_PERCENT_CHANGE</stp>
        <stp>[Zach MARIANI KDP.xlsx]Tower!R240C41</stp>
        <stp>START_DATE_OVERRIDE</stp>
        <stp>20221231</stp>
        <stp>END_DATE_OVERRIDE</stp>
        <stp>20231231</stp>
        <tr r="AO240" s="2"/>
      </tp>
      <tp>
        <v>1.7627999999999999</v>
        <stp/>
        <stp>##V3_BDPV12</stp>
        <stp>FDIUFDA Index</stp>
        <stp>INTERVAL_PERCENT_CHANGE</stp>
        <stp>[Zach MARIANI KDP.xlsx]Tower!R254C41</stp>
        <stp>START_DATE_OVERRIDE</stp>
        <stp>20221231</stp>
        <stp>END_DATE_OVERRIDE</stp>
        <stp>20231231</stp>
        <tr r="AO254" s="2"/>
      </tp>
      <tp>
        <v>1.7627999999999999</v>
        <stp/>
        <stp>##V3_BDPV12</stp>
        <stp>FDIUFDA Index</stp>
        <stp>INTERVAL_PERCENT_CHANGE</stp>
        <stp>[Zach MARIANI KDP.xlsx]Tower!R254C42</stp>
        <stp>START_DATE_OVERRIDE</stp>
        <stp>20221231</stp>
        <stp>END_DATE_OVERRIDE</stp>
        <stp>20231231</stp>
        <tr r="AP254" s="2"/>
      </tp>
      <tp>
        <v>1.7627999999999999</v>
        <stp/>
        <stp>##V3_BDPV12</stp>
        <stp>FDIUFDA Index</stp>
        <stp>INTERVAL_PERCENT_CHANGE</stp>
        <stp>[Zach MARIANI KDP.xlsx]Tower!R240C42</stp>
        <stp>START_DATE_OVERRIDE</stp>
        <stp>20221231</stp>
        <stp>END_DATE_OVERRIDE</stp>
        <stp>20231231</stp>
        <tr r="AP240" s="2"/>
      </tp>
      <tp>
        <v>1.3698999999999999</v>
        <stp/>
        <stp>##V3_BDPV12</stp>
        <stp>FDIUFDA Index</stp>
        <stp>INTERVAL_PERCENT_CHANGE</stp>
        <stp>[Zach MARIANI KDP.xlsx]Tower!R254C21</stp>
        <stp>START_DATE_OVERRIDE</stp>
        <stp>20181231</stp>
        <stp>END_DATE_OVERRIDE</stp>
        <stp>20191231</stp>
        <tr r="U254" s="2"/>
      </tp>
      <tp>
        <v>1.3698999999999999</v>
        <stp/>
        <stp>##V3_BDPV12</stp>
        <stp>FDIUFDA Index</stp>
        <stp>INTERVAL_PERCENT_CHANGE</stp>
        <stp>[Zach MARIANI KDP.xlsx]Tower!R240C21</stp>
        <stp>START_DATE_OVERRIDE</stp>
        <stp>20181231</stp>
        <stp>END_DATE_OVERRIDE</stp>
        <stp>20191231</stp>
        <tr r="U240" s="2"/>
      </tp>
      <tp>
        <v>2.9438</v>
        <stp/>
        <stp>##V3_BDPV12</stp>
        <stp>FDIUFDA Index</stp>
        <stp>INTERVAL_PERCENT_CHANGE</stp>
        <stp>[Zach MARIANI KDP.xlsx]Tower!R240C13</stp>
        <stp>START_DATE_OVERRIDE</stp>
        <stp>20170331</stp>
        <stp>END_DATE_OVERRIDE</stp>
        <stp>20180331</stp>
        <tr r="M240" s="2"/>
      </tp>
      <tp>
        <v>4.149</v>
        <stp/>
        <stp>##V3_BDPV12</stp>
        <stp>FDIUFDA Index</stp>
        <stp>INTERVAL_PERCENT_CHANGE</stp>
        <stp>[Zach MARIANI KDP.xlsx]Tower!R254C28</stp>
        <stp>START_DATE_OVERRIDE</stp>
        <stp>20200331</stp>
        <stp>END_DATE_OVERRIDE</stp>
        <stp>20210331</stp>
        <tr r="AB254" s="2"/>
      </tp>
      <tp>
        <v>2.9438</v>
        <stp/>
        <stp>##V3_BDPV12</stp>
        <stp>FDIUFDA Index</stp>
        <stp>INTERVAL_PERCENT_CHANGE</stp>
        <stp>[Zach MARIANI KDP.xlsx]Tower!R254C13</stp>
        <stp>START_DATE_OVERRIDE</stp>
        <stp>20170331</stp>
        <stp>END_DATE_OVERRIDE</stp>
        <stp>20180331</stp>
        <tr r="M254" s="2"/>
      </tp>
      <tp>
        <v>4.149</v>
        <stp/>
        <stp>##V3_BDPV12</stp>
        <stp>FDIUFDA Index</stp>
        <stp>INTERVAL_PERCENT_CHANGE</stp>
        <stp>[Zach MARIANI KDP.xlsx]Tower!R240C28</stp>
        <stp>START_DATE_OVERRIDE</stp>
        <stp>20200331</stp>
        <stp>END_DATE_OVERRIDE</stp>
        <stp>20210331</stp>
        <tr r="AB240" s="2"/>
      </tp>
      <tp>
        <v>6.4227999999999996</v>
        <stp/>
        <stp>##V3_BDPV12</stp>
        <stp>FDIUFDA Index</stp>
        <stp>INTERVAL_PERCENT_CHANGE</stp>
        <stp>[Zach MARIANI KDP.xlsx]Tower!R240C36</stp>
        <stp>START_DATE_OVERRIDE</stp>
        <stp>20211231</stp>
        <stp>END_DATE_OVERRIDE</stp>
        <stp>20221231</stp>
        <tr r="AJ240" s="2"/>
      </tp>
      <tp>
        <v>6.4227999999999996</v>
        <stp/>
        <stp>##V3_BDPV12</stp>
        <stp>FDIUFDA Index</stp>
        <stp>INTERVAL_PERCENT_CHANGE</stp>
        <stp>[Zach MARIANI KDP.xlsx]Tower!R254C36</stp>
        <stp>START_DATE_OVERRIDE</stp>
        <stp>20211231</stp>
        <stp>END_DATE_OVERRIDE</stp>
        <stp>20221231</stp>
        <tr r="AJ254" s="2"/>
      </tp>
      <tp>
        <v>1.9931000000000001</v>
        <stp/>
        <stp>##V3_BDPV12</stp>
        <stp>FDIUFDA Index</stp>
        <stp>INTERVAL_PERCENT_CHANGE</stp>
        <stp>[Zach MARIANI KDP.xlsx]Tower!R240C18</stp>
        <stp>START_DATE_OVERRIDE</stp>
        <stp>20180331</stp>
        <stp>END_DATE_OVERRIDE</stp>
        <stp>20190331</stp>
        <tr r="R240" s="2"/>
      </tp>
      <tp>
        <v>1.9931000000000001</v>
        <stp/>
        <stp>##V3_BDPV12</stp>
        <stp>FDIUFDA Index</stp>
        <stp>INTERVAL_PERCENT_CHANGE</stp>
        <stp>[Zach MARIANI KDP.xlsx]Tower!R254C18</stp>
        <stp>START_DATE_OVERRIDE</stp>
        <stp>20180331</stp>
        <stp>END_DATE_OVERRIDE</stp>
        <stp>20190331</stp>
        <tr r="R254" s="2"/>
      </tp>
      <tp>
        <v>10.003399999999999</v>
        <stp/>
        <stp>##V3_BDPV12</stp>
        <stp>FDIUFDA Index</stp>
        <stp>INTERVAL_PERCENT_CHANGE</stp>
        <stp>[Zach MARIANI KDP.xlsx]Tower!R240C31</stp>
        <stp>START_DATE_OVERRIDE</stp>
        <stp>20201231</stp>
        <stp>END_DATE_OVERRIDE</stp>
        <stp>20211231</stp>
        <tr r="AE240" s="2"/>
      </tp>
      <tp>
        <v>0.33979999999999999</v>
        <stp/>
        <stp>##V3_BDPV12</stp>
        <stp>FDIUFDA Index</stp>
        <stp>INTERVAL_PERCENT_CHANGE</stp>
        <stp>[Zach MARIANI KDP.xlsx]Tower!R240C23</stp>
        <stp>START_DATE_OVERRIDE</stp>
        <stp>20190331</stp>
        <stp>END_DATE_OVERRIDE</stp>
        <stp>20200331</stp>
        <tr r="W240" s="2"/>
      </tp>
      <tp>
        <v>10.003399999999999</v>
        <stp/>
        <stp>##V3_BDPV12</stp>
        <stp>FDIUFDA Index</stp>
        <stp>INTERVAL_PERCENT_CHANGE</stp>
        <stp>[Zach MARIANI KDP.xlsx]Tower!R254C31</stp>
        <stp>START_DATE_OVERRIDE</stp>
        <stp>20201231</stp>
        <stp>END_DATE_OVERRIDE</stp>
        <stp>20211231</stp>
        <tr r="AE254" s="2"/>
      </tp>
      <tp>
        <v>0.33979999999999999</v>
        <stp/>
        <stp>##V3_BDPV12</stp>
        <stp>FDIUFDA Index</stp>
        <stp>INTERVAL_PERCENT_CHANGE</stp>
        <stp>[Zach MARIANI KDP.xlsx]Tower!R254C23</stp>
        <stp>START_DATE_OVERRIDE</stp>
        <stp>20190331</stp>
        <stp>END_DATE_OVERRIDE</stp>
        <stp>20200331</stp>
        <tr r="W254" s="2"/>
      </tp>
      <tp>
        <v>2.6362000000000001</v>
        <stp/>
        <stp>##V3_BDPV12</stp>
        <stp>FDIUFDA Index</stp>
        <stp>INTERVAL_PERCENT_CHANGE</stp>
        <stp>[Zach MARIANI KDP.xlsx]Tower!R254C16</stp>
        <stp>START_DATE_OVERRIDE</stp>
        <stp>20171231</stp>
        <stp>END_DATE_OVERRIDE</stp>
        <stp>20181231</stp>
        <tr r="P254" s="2"/>
      </tp>
      <tp>
        <v>2.6362000000000001</v>
        <stp/>
        <stp>##V3_BDPV12</stp>
        <stp>FDIUFDA Index</stp>
        <stp>INTERVAL_PERCENT_CHANGE</stp>
        <stp>[Zach MARIANI KDP.xlsx]Tower!R240C16</stp>
        <stp>START_DATE_OVERRIDE</stp>
        <stp>20171231</stp>
        <stp>END_DATE_OVERRIDE</stp>
        <stp>20181231</stp>
        <tr r="P240" s="2"/>
      </tp>
      <tp>
        <v>2.6604999999999999</v>
        <stp/>
        <stp>##V3_BDPV12</stp>
        <stp>FDIUFDA Index</stp>
        <stp>INTERVAL_PERCENT_CHANGE</stp>
        <stp>[Zach MARIANI KDP.xlsx]Tower!R254C38</stp>
        <stp>START_DATE_OVERRIDE</stp>
        <stp>20220331</stp>
        <stp>END_DATE_OVERRIDE</stp>
        <stp>20230331</stp>
        <tr r="AL254" s="2"/>
      </tp>
      <tp>
        <v>2.6604999999999999</v>
        <stp/>
        <stp>##V3_BDPV12</stp>
        <stp>FDIUFDA Index</stp>
        <stp>INTERVAL_PERCENT_CHANGE</stp>
        <stp>[Zach MARIANI KDP.xlsx]Tower!R240C38</stp>
        <stp>START_DATE_OVERRIDE</stp>
        <stp>20220331</stp>
        <stp>END_DATE_OVERRIDE</stp>
        <stp>20230331</stp>
        <tr r="AL240" s="2"/>
      </tp>
      <tp>
        <v>0.84460000000000002</v>
        <stp/>
        <stp>##V3_BDPV12</stp>
        <stp>FDIUFDA Index</stp>
        <stp>INTERVAL_PERCENT_CHANGE</stp>
        <stp>[Zach MARIANI KDP.xlsx]Tower!R254C26</stp>
        <stp>START_DATE_OVERRIDE</stp>
        <stp>20191231</stp>
        <stp>END_DATE_OVERRIDE</stp>
        <stp>20201231</stp>
        <tr r="Z254" s="2"/>
      </tp>
      <tp>
        <v>0.84460000000000002</v>
        <stp/>
        <stp>##V3_BDPV12</stp>
        <stp>FDIUFDA Index</stp>
        <stp>INTERVAL_PERCENT_CHANGE</stp>
        <stp>[Zach MARIANI KDP.xlsx]Tower!R240C26</stp>
        <stp>START_DATE_OVERRIDE</stp>
        <stp>20191231</stp>
        <stp>END_DATE_OVERRIDE</stp>
        <stp>20201231</stp>
        <tr r="Z240" s="2"/>
      </tp>
      <tp>
        <v>11.6593</v>
        <stp/>
        <stp>##V3_BDPV12</stp>
        <stp>FDIUFDA Index</stp>
        <stp>INTERVAL_PERCENT_CHANGE</stp>
        <stp>[Zach MARIANI KDP.xlsx]Tower!R254C33</stp>
        <stp>START_DATE_OVERRIDE</stp>
        <stp>20210331</stp>
        <stp>END_DATE_OVERRIDE</stp>
        <stp>20220331</stp>
        <tr r="AG254" s="2"/>
      </tp>
      <tp>
        <v>11.6593</v>
        <stp/>
        <stp>##V3_BDPV12</stp>
        <stp>FDIUFDA Index</stp>
        <stp>INTERVAL_PERCENT_CHANGE</stp>
        <stp>[Zach MARIANI KDP.xlsx]Tower!R240C33</stp>
        <stp>START_DATE_OVERRIDE</stp>
        <stp>20210331</stp>
        <stp>END_DATE_OVERRIDE</stp>
        <stp>20220331</stp>
        <tr r="AG240" s="2"/>
      </tp>
      <tp t="s">
        <v>BBB</v>
        <stp/>
        <stp>##V3_BDPV12</stp>
        <stp>AL578753 Corp</stp>
        <stp>RTG_SP</stp>
        <stp>[Zach MARIANI KDP.xlsx]Debt!R22C13</stp>
        <tr r="M22" s="7"/>
      </tp>
      <tp t="s">
        <v>BBB</v>
        <stp/>
        <stp>##V3_BDPV12</stp>
        <stp>AL578155 Corp</stp>
        <stp>RTG_SP</stp>
        <stp>[Zach MARIANI KDP.xlsx]Debt!R19C13</stp>
        <tr r="M19" s="7"/>
      </tp>
      <tp t="s">
        <v>BBB</v>
        <stp/>
        <stp>##V3_BDPV12</stp>
        <stp>AL578101 Corp</stp>
        <stp>RTG_SP</stp>
        <stp>[Zach MARIANI KDP.xlsx]Debt!R11C13</stp>
        <tr r="M11" s="7"/>
      </tp>
    </main>
    <main first="bloomberg.rtd">
      <tp t="s">
        <v>4/22/2022</v>
        <stp/>
        <stp>##V3_BDPV12</stp>
        <stp>BV815699 Corp</stp>
        <stp>ISSUE_DT</stp>
        <stp>[Zach MARIANI KDP.xlsx]Debt!R9C6</stp>
        <tr r="F9" s="7"/>
      </tp>
    </main>
    <main first="bloomberg.rtd">
      <tp>
        <v>8.76</v>
        <stp/>
        <stp>##V3_BDPV12</stp>
        <stp>SJM Equity</stp>
        <stp>IS_ADJUSTED_EPS_AS_REPORTED</stp>
        <stp>[Zach MARIANI KDP.xlsx]Comps!R13C119</stp>
        <stp>EQY_FUND_YEAR=2020</stp>
        <tr r="DO13" s="5"/>
      </tp>
      <tp>
        <v>8.8800000000000008</v>
        <stp/>
        <stp>##V3_BDPV12</stp>
        <stp>SJM Equity</stp>
        <stp>IS_ADJUSTED_EPS_AS_REPORTED</stp>
        <stp>[Zach MARIANI KDP.xlsx]Comps!R13C123</stp>
        <stp>EQY_FUND_YEAR=2022</stp>
        <tr r="DS13" s="5"/>
      </tp>
      <tp>
        <v>9.1199999999999992</v>
        <stp/>
        <stp>##V3_BDPV12</stp>
        <stp>SJM Equity</stp>
        <stp>IS_ADJUSTED_EPS_AS_REPORTED</stp>
        <stp>[Zach MARIANI KDP.xlsx]Comps!R13C121</stp>
        <stp>EQY_FUND_YEAR=2021</stp>
        <tr r="DQ13" s="5"/>
      </tp>
      <tp>
        <v>6.26</v>
        <stp/>
        <stp>##V3_BDPV12</stp>
        <stp>PEP Equity</stp>
        <stp>IS_ADJUSTED_EPS_AS_REPORTED</stp>
        <stp>[Zach MARIANI KDP.xlsx]Comps!R12C121</stp>
        <stp>EQY_FUND_YEAR=2021</stp>
        <tr r="DQ12" s="5"/>
      </tp>
      <tp>
        <v>6.79</v>
        <stp/>
        <stp>##V3_BDPV12</stp>
        <stp>PEP Equity</stp>
        <stp>IS_ADJUSTED_EPS_AS_REPORTED</stp>
        <stp>[Zach MARIANI KDP.xlsx]Comps!R12C123</stp>
        <stp>EQY_FUND_YEAR=2022</stp>
        <tr r="DS12" s="5"/>
      </tp>
      <tp>
        <v>5.52</v>
        <stp/>
        <stp>##V3_BDPV12</stp>
        <stp>PEP Equity</stp>
        <stp>IS_ADJUSTED_EPS_AS_REPORTED</stp>
        <stp>[Zach MARIANI KDP.xlsx]Comps!R12C119</stp>
        <stp>EQY_FUND_YEAR=2020</stp>
        <tr r="DO12" s="5"/>
      </tp>
    </main>
    <main first="bofaddin.rtdserver">
      <tp t="s">
        <v>#N/A Requesting Data...1632538221</v>
        <stp/>
        <stp>BQL|826325372544273466</stp>
        <tr r="AW164" s="2"/>
      </tp>
    </main>
    <main first="bloomberg.rtd">
      <tp t="s">
        <v>4/22/2022</v>
        <stp/>
        <stp>##V3_BDPV12</stp>
        <stp>BV815700 Corp</stp>
        <stp>ISSUE_DT</stp>
        <stp>[Zach MARIANI KDP.xlsx]Debt!R8C6</stp>
        <tr r="F8" s="7"/>
      </tp>
    </main>
    <main first="bloomberg.rtd">
      <tp>
        <v>8.92</v>
        <stp/>
        <stp>##V3_BDPV12</stp>
        <stp>SJM Equity</stp>
        <stp>IS_ADJUSTED_EPS_AS_REPORTED</stp>
        <stp>[Zach MARIANI KDP.xlsx]Comps!R13C125</stp>
        <stp>EQY_FUND_YEAR=-0FY</stp>
        <tr r="DU13" s="5"/>
      </tp>
      <tp>
        <v>33.590000000000003</v>
        <stp/>
        <stp>##V3_BDPV12</stp>
        <stp xml:space="preserve">KDP US Equity </stp>
        <stp>PX_last</stp>
        <stp>[Zach MARIANI KDP.xlsx]Cover!R2C7</stp>
        <tr r="G2" s="1"/>
      </tp>
      <tp>
        <v>6.79</v>
        <stp/>
        <stp>##V3_BDPV12</stp>
        <stp>PEP Equity</stp>
        <stp>IS_ADJUSTED_EPS_AS_REPORTED</stp>
        <stp>[Zach MARIANI KDP.xlsx]Comps!R12C125</stp>
        <stp>EQY_FUND_YEAR=-0FY</stp>
        <tr r="DU12" s="5"/>
      </tp>
      <tp>
        <v>8.3000000000000007</v>
        <stp/>
        <stp>##V3_BDPV12</stp>
        <stp>NESN SW Equity</stp>
        <stp>ORGANIC_GROWTH</stp>
        <stp>[Zach MARIANI KDP.xlsx]Comps!R15C109</stp>
        <stp>EQY_FUND_RELATIVE_PERIOD=-0FY</stp>
        <tr r="DE15" s="5"/>
      </tp>
      <tp t="s">
        <v>#N/A N/A</v>
        <stp/>
        <stp>##V3_BDPV12</stp>
        <stp>BL389364 Corp</stp>
        <stp>RTG_SP</stp>
        <stp>[Zach MARIANI KDP.xlsx]Debt!R31C13</stp>
        <tr r="M31" s="7"/>
      </tp>
      <tp t="s">
        <v>BBB</v>
        <stp/>
        <stp>##V3_BDPV12</stp>
        <stp>BO339159 Corp</stp>
        <stp>RTG_SP</stp>
        <stp>[Zach MARIANI KDP.xlsx]Debt!R23C13</stp>
        <tr r="M23" s="7"/>
      </tp>
      <tp t="s">
        <v>BBB</v>
        <stp/>
        <stp>##V3_BDPV12</stp>
        <stp>BO339158 Corp</stp>
        <stp>RTG_SP</stp>
        <stp>[Zach MARIANI KDP.xlsx]Debt!R21C13</stp>
        <tr r="M21" s="7"/>
      </tp>
      <tp>
        <v>4.5</v>
        <stp/>
        <stp>##V3_BDPV12</stp>
        <stp>QJ508726 Corp</stp>
        <stp>COUPON</stp>
        <stp>[Zach MARIANI KDP.xlsx]Debt!R18C11</stp>
        <tr r="K18" s="7"/>
      </tp>
      <tp>
        <v>3.4</v>
        <stp/>
        <stp>##V3_BDPV12</stp>
        <stp>QJ508221 Corp</stp>
        <stp>COUPON</stp>
        <stp>[Zach MARIANI KDP.xlsx]Debt!R15C11</stp>
        <tr r="K15" s="7"/>
      </tp>
    </main>
    <main first="bofaddin.rtdserver">
      <tp t="s">
        <v>#N/A Requesting Data...4117267248</v>
        <stp/>
        <stp>BQL|625053866786342741</stp>
        <tr r="V6" s="2"/>
      </tp>
    </main>
    <main first="bloomberg.rtd">
      <tp t="s">
        <v>3/15/2021</v>
        <stp/>
        <stp>##V3_BDPV12</stp>
        <stp>BO339157 Corp</stp>
        <stp>ISSUE_DT</stp>
        <stp>[Zach MARIANI KDP.xlsx]Debt!R7C6</stp>
        <tr r="F7" s="7"/>
      </tp>
      <tp>
        <v>-23.217600000000001</v>
        <stp/>
        <stp>##V3_BDPV12</stp>
        <stp>PUSAPRPY Index</stp>
        <stp>INTERVAL_PERCENT_CHANGE</stp>
        <stp>[Zach MARIANI KDP.xlsx]Tower!R239C24</stp>
        <stp>START_DATE_OVERRIDE</stp>
        <stp>20190630</stp>
        <stp>END_DATE_OVERRIDE</stp>
        <stp>20200630</stp>
        <tr r="X239" s="2"/>
      </tp>
      <tp>
        <v>-29.8718</v>
        <stp/>
        <stp>##V3_BDPV12</stp>
        <stp>PUSAPRPY Index</stp>
        <stp>INTERVAL_PERCENT_CHANGE</stp>
        <stp>[Zach MARIANI KDP.xlsx]Tower!R252C19</stp>
        <stp>START_DATE_OVERRIDE</stp>
        <stp>20180630</stp>
        <stp>END_DATE_OVERRIDE</stp>
        <stp>20190630</stp>
        <tr r="S252" s="2"/>
      </tp>
      <tp>
        <v>-29.8718</v>
        <stp/>
        <stp>##V3_BDPV12</stp>
        <stp>PUSAPRPY Index</stp>
        <stp>INTERVAL_PERCENT_CHANGE</stp>
        <stp>[Zach MARIANI KDP.xlsx]Tower!R239C19</stp>
        <stp>START_DATE_OVERRIDE</stp>
        <stp>20180630</stp>
        <stp>END_DATE_OVERRIDE</stp>
        <stp>20190630</stp>
        <tr r="S239" s="2"/>
      </tp>
      <tp>
        <v>-23.217600000000001</v>
        <stp/>
        <stp>##V3_BDPV12</stp>
        <stp>PUSAPRPY Index</stp>
        <stp>INTERVAL_PERCENT_CHANGE</stp>
        <stp>[Zach MARIANI KDP.xlsx]Tower!R252C24</stp>
        <stp>START_DATE_OVERRIDE</stp>
        <stp>20190630</stp>
        <stp>END_DATE_OVERRIDE</stp>
        <stp>20200630</stp>
        <tr r="X252" s="2"/>
      </tp>
      <tp>
        <v>38.053100000000001</v>
        <stp/>
        <stp>##V3_BDPV12</stp>
        <stp>PUSAPRPY Index</stp>
        <stp>INTERVAL_PERCENT_CHANGE</stp>
        <stp>[Zach MARIANI KDP.xlsx]Tower!R239C14</stp>
        <stp>START_DATE_OVERRIDE</stp>
        <stp>20170630</stp>
        <stp>END_DATE_OVERRIDE</stp>
        <stp>20180630</stp>
        <tr r="N239" s="2"/>
      </tp>
      <tp>
        <v>184.52379999999999</v>
        <stp/>
        <stp>##V3_BDPV12</stp>
        <stp>PUSAPRPY Index</stp>
        <stp>INTERVAL_PERCENT_CHANGE</stp>
        <stp>[Zach MARIANI KDP.xlsx]Tower!R252C29</stp>
        <stp>START_DATE_OVERRIDE</stp>
        <stp>20200630</stp>
        <stp>END_DATE_OVERRIDE</stp>
        <stp>20210630</stp>
        <tr r="AC252" s="2"/>
      </tp>
      <tp>
        <v>38.053100000000001</v>
        <stp/>
        <stp>##V3_BDPV12</stp>
        <stp>PUSAPRPY Index</stp>
        <stp>INTERVAL_PERCENT_CHANGE</stp>
        <stp>[Zach MARIANI KDP.xlsx]Tower!R252C14</stp>
        <stp>START_DATE_OVERRIDE</stp>
        <stp>20170630</stp>
        <stp>END_DATE_OVERRIDE</stp>
        <stp>20180630</stp>
        <tr r="N252" s="2"/>
      </tp>
      <tp>
        <v>184.52379999999999</v>
        <stp/>
        <stp>##V3_BDPV12</stp>
        <stp>PUSAPRPY Index</stp>
        <stp>INTERVAL_PERCENT_CHANGE</stp>
        <stp>[Zach MARIANI KDP.xlsx]Tower!R239C29</stp>
        <stp>START_DATE_OVERRIDE</stp>
        <stp>20200630</stp>
        <stp>END_DATE_OVERRIDE</stp>
        <stp>20210630</stp>
        <tr r="AC239" s="2"/>
      </tp>
      <tp>
        <v>-31.171500000000002</v>
        <stp/>
        <stp>##V3_BDPV12</stp>
        <stp>PUSAPRPY Index</stp>
        <stp>INTERVAL_PERCENT_CHANGE</stp>
        <stp>[Zach MARIANI KDP.xlsx]Tower!R239C34</stp>
        <stp>START_DATE_OVERRIDE</stp>
        <stp>20210630</stp>
        <stp>END_DATE_OVERRIDE</stp>
        <stp>20220630</stp>
        <tr r="AH239" s="2"/>
      </tp>
      <tp>
        <v>-31.171500000000002</v>
        <stp/>
        <stp>##V3_BDPV12</stp>
        <stp>PUSAPRPY Index</stp>
        <stp>INTERVAL_PERCENT_CHANGE</stp>
        <stp>[Zach MARIANI KDP.xlsx]Tower!R252C34</stp>
        <stp>START_DATE_OVERRIDE</stp>
        <stp>20210630</stp>
        <stp>END_DATE_OVERRIDE</stp>
        <stp>20220630</stp>
        <tr r="AH252" s="2"/>
      </tp>
      <tp>
        <v>-40.4255</v>
        <stp/>
        <stp>##V3_BDPV12</stp>
        <stp>PUSAPRPY Index</stp>
        <stp>INTERVAL_PERCENT_CHANGE</stp>
        <stp>[Zach MARIANI KDP.xlsx]Tower!R252C39</stp>
        <stp>START_DATE_OVERRIDE</stp>
        <stp>20220630</stp>
        <stp>END_DATE_OVERRIDE</stp>
        <stp>20230630</stp>
        <tr r="AM252" s="2"/>
      </tp>
      <tp>
        <v>-40.4255</v>
        <stp/>
        <stp>##V3_BDPV12</stp>
        <stp>PUSAPRPY Index</stp>
        <stp>INTERVAL_PERCENT_CHANGE</stp>
        <stp>[Zach MARIANI KDP.xlsx]Tower!R239C39</stp>
        <stp>START_DATE_OVERRIDE</stp>
        <stp>20220630</stp>
        <stp>END_DATE_OVERRIDE</stp>
        <stp>20230630</stp>
        <tr r="AM239" s="2"/>
      </tp>
      <tp>
        <v>4.9850000000000003</v>
        <stp/>
        <stp>##V3_BDPV12</stp>
        <stp>ZS462329 Corp</stp>
        <stp>COUPON</stp>
        <stp>[Zach MARIANI KDP.xlsx]Debt!R17C11</stp>
        <tr r="K17" s="7"/>
      </tp>
      <tp>
        <v>4.5970000000000004</v>
        <stp/>
        <stp>##V3_BDPV12</stp>
        <stp>ZS462236 Corp</stp>
        <stp>COUPON</stp>
        <stp>[Zach MARIANI KDP.xlsx]Debt!R10C11</stp>
        <tr r="K10" s="7"/>
      </tp>
    </main>
    <main first="bloomberg.rtd">
      <tp>
        <v>694</v>
        <stp/>
        <stp>##V3_BDPV12</stp>
        <stp>NESN SW Equity</stp>
        <stp>MINORITY_NONCONTROLLING_INTEREST</stp>
        <stp>[Zach MARIANI KDP.xlsx]Comps!R15C60</stp>
        <stp>FUND_PER=Q</stp>
        <tr r="BH15" s="5"/>
      </tp>
    </main>
    <main first="bofaddin.rtdserver">
      <tp t="s">
        <v>#N/A Requesting Data...3981619866</v>
        <stp/>
        <stp>BQL|756195003291906154</stp>
        <tr r="AY164" s="2"/>
      </tp>
    </main>
    <main first="bloomberg.rtd">
      <tp>
        <v>8.3799999999999999E-2</v>
        <stp/>
        <stp>##V3_BDPV12</stp>
        <stp>FDIUFDA Index</stp>
        <stp>INTERVAL_PERCENT_CHANGE</stp>
        <stp>[Zach MARIANI KDP.xlsx]Tower!R254C39</stp>
        <stp>START_DATE_OVERRIDE</stp>
        <stp>20220630</stp>
        <stp>END_DATE_OVERRIDE</stp>
        <stp>20230630</stp>
        <tr r="AM254" s="2"/>
      </tp>
      <tp>
        <v>8.3799999999999999E-2</v>
        <stp/>
        <stp>##V3_BDPV12</stp>
        <stp>FDIUFDA Index</stp>
        <stp>INTERVAL_PERCENT_CHANGE</stp>
        <stp>[Zach MARIANI KDP.xlsx]Tower!R240C39</stp>
        <stp>START_DATE_OVERRIDE</stp>
        <stp>20220630</stp>
        <stp>END_DATE_OVERRIDE</stp>
        <stp>20230630</stp>
        <tr r="AM240" s="2"/>
      </tp>
      <tp>
        <v>11.231400000000001</v>
        <stp/>
        <stp>##V3_BDPV12</stp>
        <stp>FDIUFDA Index</stp>
        <stp>INTERVAL_PERCENT_CHANGE</stp>
        <stp>[Zach MARIANI KDP.xlsx]Tower!R254C34</stp>
        <stp>START_DATE_OVERRIDE</stp>
        <stp>20210630</stp>
        <stp>END_DATE_OVERRIDE</stp>
        <stp>20220630</stp>
        <tr r="AH254" s="2"/>
      </tp>
      <tp>
        <v>11.231400000000001</v>
        <stp/>
        <stp>##V3_BDPV12</stp>
        <stp>FDIUFDA Index</stp>
        <stp>INTERVAL_PERCENT_CHANGE</stp>
        <stp>[Zach MARIANI KDP.xlsx]Tower!R240C34</stp>
        <stp>START_DATE_OVERRIDE</stp>
        <stp>20210630</stp>
        <stp>END_DATE_OVERRIDE</stp>
        <stp>20220630</stp>
        <tr r="AH240" s="2"/>
      </tp>
      <tp>
        <v>3.2772000000000001</v>
        <stp/>
        <stp>##V3_BDPV12</stp>
        <stp>FDIUFDA Index</stp>
        <stp>INTERVAL_PERCENT_CHANGE</stp>
        <stp>[Zach MARIANI KDP.xlsx]Tower!R240C14</stp>
        <stp>START_DATE_OVERRIDE</stp>
        <stp>20170630</stp>
        <stp>END_DATE_OVERRIDE</stp>
        <stp>20180630</stp>
        <tr r="N240" s="2"/>
      </tp>
      <tp>
        <v>3.2772000000000001</v>
        <stp/>
        <stp>##V3_BDPV12</stp>
        <stp>FDIUFDA Index</stp>
        <stp>INTERVAL_PERCENT_CHANGE</stp>
        <stp>[Zach MARIANI KDP.xlsx]Tower!R254C14</stp>
        <stp>START_DATE_OVERRIDE</stp>
        <stp>20170630</stp>
        <stp>END_DATE_OVERRIDE</stp>
        <stp>20180630</stp>
        <tr r="N254" s="2"/>
      </tp>
      <tp>
        <v>7.5616000000000003</v>
        <stp/>
        <stp>##V3_BDPV12</stp>
        <stp>FDIUFDA Index</stp>
        <stp>INTERVAL_PERCENT_CHANGE</stp>
        <stp>[Zach MARIANI KDP.xlsx]Tower!R254C29</stp>
        <stp>START_DATE_OVERRIDE</stp>
        <stp>20200630</stp>
        <stp>END_DATE_OVERRIDE</stp>
        <stp>20210630</stp>
        <tr r="AC254" s="2"/>
      </tp>
      <tp>
        <v>7.5616000000000003</v>
        <stp/>
        <stp>##V3_BDPV12</stp>
        <stp>FDIUFDA Index</stp>
        <stp>INTERVAL_PERCENT_CHANGE</stp>
        <stp>[Zach MARIANI KDP.xlsx]Tower!R240C29</stp>
        <stp>START_DATE_OVERRIDE</stp>
        <stp>20200630</stp>
        <stp>END_DATE_OVERRIDE</stp>
        <stp>20210630</stp>
        <tr r="AC240" s="2"/>
      </tp>
      <tp>
        <v>-0.67510000000000003</v>
        <stp/>
        <stp>##V3_BDPV12</stp>
        <stp>FDIUFDA Index</stp>
        <stp>INTERVAL_PERCENT_CHANGE</stp>
        <stp>[Zach MARIANI KDP.xlsx]Tower!R240C24</stp>
        <stp>START_DATE_OVERRIDE</stp>
        <stp>20190630</stp>
        <stp>END_DATE_OVERRIDE</stp>
        <stp>20200630</stp>
        <tr r="X240" s="2"/>
      </tp>
      <tp>
        <v>-0.67510000000000003</v>
        <stp/>
        <stp>##V3_BDPV12</stp>
        <stp>FDIUFDA Index</stp>
        <stp>INTERVAL_PERCENT_CHANGE</stp>
        <stp>[Zach MARIANI KDP.xlsx]Tower!R254C24</stp>
        <stp>START_DATE_OVERRIDE</stp>
        <stp>20190630</stp>
        <stp>END_DATE_OVERRIDE</stp>
        <stp>20200630</stp>
        <tr r="X254" s="2"/>
      </tp>
      <tp>
        <v>1.6294999999999999</v>
        <stp/>
        <stp>##V3_BDPV12</stp>
        <stp>FDIUFDA Index</stp>
        <stp>INTERVAL_PERCENT_CHANGE</stp>
        <stp>[Zach MARIANI KDP.xlsx]Tower!R240C19</stp>
        <stp>START_DATE_OVERRIDE</stp>
        <stp>20180630</stp>
        <stp>END_DATE_OVERRIDE</stp>
        <stp>20190630</stp>
        <tr r="S240" s="2"/>
      </tp>
      <tp>
        <v>1.6294999999999999</v>
        <stp/>
        <stp>##V3_BDPV12</stp>
        <stp>FDIUFDA Index</stp>
        <stp>INTERVAL_PERCENT_CHANGE</stp>
        <stp>[Zach MARIANI KDP.xlsx]Tower!R254C19</stp>
        <stp>START_DATE_OVERRIDE</stp>
        <stp>20180630</stp>
        <stp>END_DATE_OVERRIDE</stp>
        <stp>20190630</stp>
        <tr r="S254" s="2"/>
      </tp>
      <tp>
        <v>4.4169999999999998</v>
        <stp/>
        <stp>##V3_BDPV12</stp>
        <stp>ZS464608 Corp</stp>
        <stp>COUPON</stp>
        <stp>[Zach MARIANI KDP.xlsx]Debt!R16C11</stp>
        <tr r="K16" s="7"/>
      </tp>
      <tp>
        <v>5.085</v>
        <stp/>
        <stp>##V3_BDPV12</stp>
        <stp>ZS464615 Corp</stp>
        <stp>COUPON</stp>
        <stp>[Zach MARIANI KDP.xlsx]Debt!R24C11</stp>
        <tr r="K24" s="7"/>
      </tp>
    </main>
    <main first="bloomberg.rtd">
      <tp>
        <v>0</v>
        <stp/>
        <stp>##V3_BDPV12</stp>
        <stp>SJM Equity</stp>
        <stp>BS_PFD_EQY</stp>
        <stp>[Zach MARIANI KDP.xlsx]Comps!R13C60</stp>
        <stp>FUND_PER=Q</stp>
        <tr r="BH13" s="5"/>
      </tp>
      <tp>
        <v>4361</v>
        <stp/>
        <stp>##V3_BDPV12</stp>
        <stp>NESN SW Equity</stp>
        <stp>CASH_AND_MARKETABLE_SECURITIES</stp>
        <stp>[Zach MARIANI KDP.xlsx]Comps!R15C62</stp>
        <stp>FUND_PER=Q</stp>
        <tr r="BJ15" s="5"/>
      </tp>
      <tp>
        <v>3.2</v>
        <stp/>
        <stp>##V3_BDPV12</stp>
        <stp>SBUX Equity</stp>
        <stp>IS_ADJUSTED_EPS_AS_REPORTED</stp>
        <stp>[Zach MARIANI KDP.xlsx]Comps!R14C121</stp>
        <stp>EQY_FUND_YEAR=2021</stp>
        <tr r="DQ14" s="5"/>
      </tp>
      <tp>
        <v>2.96</v>
        <stp/>
        <stp>##V3_BDPV12</stp>
        <stp>SBUX Equity</stp>
        <stp>IS_ADJUSTED_EPS_AS_REPORTED</stp>
        <stp>[Zach MARIANI KDP.xlsx]Comps!R14C123</stp>
        <stp>EQY_FUND_YEAR=2022</stp>
        <tr r="DS14" s="5"/>
      </tp>
      <tp>
        <v>1.17</v>
        <stp/>
        <stp>##V3_BDPV12</stp>
        <stp>SBUX Equity</stp>
        <stp>IS_ADJUSTED_EPS_AS_REPORTED</stp>
        <stp>[Zach MARIANI KDP.xlsx]Comps!R14C119</stp>
        <stp>EQY_FUND_YEAR=2020</stp>
        <tr r="DO14" s="5"/>
      </tp>
      <tp>
        <v>-19.966999999999999</v>
        <stp/>
        <stp>##V3_BDPV12</stp>
        <stp>PUSAPRPY Index</stp>
        <stp>INTERVAL_PERCENT_CHANGE</stp>
        <stp>[Zach MARIANI KDP.xlsx]Tower!R252C21</stp>
        <stp>START_DATE_OVERRIDE</stp>
        <stp>20181231</stp>
        <stp>END_DATE_OVERRIDE</stp>
        <stp>20191231</stp>
        <tr r="U252" s="2"/>
      </tp>
      <tp>
        <v>-19.966999999999999</v>
        <stp/>
        <stp>##V3_BDPV12</stp>
        <stp>PUSAPRPY Index</stp>
        <stp>INTERVAL_PERCENT_CHANGE</stp>
        <stp>[Zach MARIANI KDP.xlsx]Tower!R239C21</stp>
        <stp>START_DATE_OVERRIDE</stp>
        <stp>20181231</stp>
        <stp>END_DATE_OVERRIDE</stp>
        <stp>20191231</stp>
        <tr r="U239" s="2"/>
      </tp>
      <tp>
        <v>-0.24510000000000001</v>
        <stp/>
        <stp>##V3_BDPV12</stp>
        <stp>PUSAPRPY Index</stp>
        <stp>INTERVAL_PERCENT_CHANGE</stp>
        <stp>[Zach MARIANI KDP.xlsx]Tower!R252C33</stp>
        <stp>START_DATE_OVERRIDE</stp>
        <stp>20210331</stp>
        <stp>END_DATE_OVERRIDE</stp>
        <stp>20220331</stp>
        <tr r="AG252" s="2"/>
      </tp>
      <tp>
        <v>51.546399999999998</v>
        <stp/>
        <stp>##V3_BDPV12</stp>
        <stp>PUSAPRPY Index</stp>
        <stp>INTERVAL_PERCENT_CHANGE</stp>
        <stp>[Zach MARIANI KDP.xlsx]Tower!R239C26</stp>
        <stp>START_DATE_OVERRIDE</stp>
        <stp>20191231</stp>
        <stp>END_DATE_OVERRIDE</stp>
        <stp>20201231</stp>
        <tr r="Z239" s="2"/>
      </tp>
      <tp>
        <v>51.546399999999998</v>
        <stp/>
        <stp>##V3_BDPV12</stp>
        <stp>PUSAPRPY Index</stp>
        <stp>INTERVAL_PERCENT_CHANGE</stp>
        <stp>[Zach MARIANI KDP.xlsx]Tower!R252C26</stp>
        <stp>START_DATE_OVERRIDE</stp>
        <stp>20191231</stp>
        <stp>END_DATE_OVERRIDE</stp>
        <stp>20201231</stp>
        <tr r="Z252" s="2"/>
      </tp>
      <tp>
        <v>-0.24510000000000001</v>
        <stp/>
        <stp>##V3_BDPV12</stp>
        <stp>PUSAPRPY Index</stp>
        <stp>INTERVAL_PERCENT_CHANGE</stp>
        <stp>[Zach MARIANI KDP.xlsx]Tower!R239C33</stp>
        <stp>START_DATE_OVERRIDE</stp>
        <stp>20210331</stp>
        <stp>END_DATE_OVERRIDE</stp>
        <stp>20220331</stp>
        <tr r="AG239" s="2"/>
      </tp>
      <tp>
        <v>-13.1805</v>
        <stp/>
        <stp>##V3_BDPV12</stp>
        <stp>PUSAPRPY Index</stp>
        <stp>INTERVAL_PERCENT_CHANGE</stp>
        <stp>[Zach MARIANI KDP.xlsx]Tower!R239C16</stp>
        <stp>START_DATE_OVERRIDE</stp>
        <stp>20171231</stp>
        <stp>END_DATE_OVERRIDE</stp>
        <stp>20181231</stp>
        <tr r="P239" s="2"/>
      </tp>
      <tp>
        <v>-29.238299999999999</v>
        <stp/>
        <stp>##V3_BDPV12</stp>
        <stp>PUSAPRPY Index</stp>
        <stp>INTERVAL_PERCENT_CHANGE</stp>
        <stp>[Zach MARIANI KDP.xlsx]Tower!R252C38</stp>
        <stp>START_DATE_OVERRIDE</stp>
        <stp>20220331</stp>
        <stp>END_DATE_OVERRIDE</stp>
        <stp>20230331</stp>
        <tr r="AL252" s="2"/>
      </tp>
      <tp>
        <v>-29.238299999999999</v>
        <stp/>
        <stp>##V3_BDPV12</stp>
        <stp>PUSAPRPY Index</stp>
        <stp>INTERVAL_PERCENT_CHANGE</stp>
        <stp>[Zach MARIANI KDP.xlsx]Tower!R239C38</stp>
        <stp>START_DATE_OVERRIDE</stp>
        <stp>20220331</stp>
        <stp>END_DATE_OVERRIDE</stp>
        <stp>20230331</stp>
        <tr r="AL239" s="2"/>
      </tp>
      <tp>
        <v>-13.1805</v>
        <stp/>
        <stp>##V3_BDPV12</stp>
        <stp>PUSAPRPY Index</stp>
        <stp>INTERVAL_PERCENT_CHANGE</stp>
        <stp>[Zach MARIANI KDP.xlsx]Tower!R252C16</stp>
        <stp>START_DATE_OVERRIDE</stp>
        <stp>20171231</stp>
        <stp>END_DATE_OVERRIDE</stp>
        <stp>20181231</stp>
        <tr r="P252" s="2"/>
      </tp>
      <tp>
        <v>-23.148099999999999</v>
        <stp/>
        <stp>##V3_BDPV12</stp>
        <stp>PUSAPRPY Index</stp>
        <stp>INTERVAL_PERCENT_CHANGE</stp>
        <stp>[Zach MARIANI KDP.xlsx]Tower!R252C23</stp>
        <stp>START_DATE_OVERRIDE</stp>
        <stp>20190331</stp>
        <stp>END_DATE_OVERRIDE</stp>
        <stp>20200331</stp>
        <tr r="W252" s="2"/>
      </tp>
      <tp>
        <v>23.129300000000001</v>
        <stp/>
        <stp>##V3_BDPV12</stp>
        <stp>PUSAPRPY Index</stp>
        <stp>INTERVAL_PERCENT_CHANGE</stp>
        <stp>[Zach MARIANI KDP.xlsx]Tower!R252C31</stp>
        <stp>START_DATE_OVERRIDE</stp>
        <stp>20201231</stp>
        <stp>END_DATE_OVERRIDE</stp>
        <stp>20211231</stp>
        <tr r="AE252" s="2"/>
      </tp>
      <tp>
        <v>-48.287300000000002</v>
        <stp/>
        <stp>##V3_BDPV12</stp>
        <stp>PUSAPRPY Index</stp>
        <stp>INTERVAL_PERCENT_CHANGE</stp>
        <stp>[Zach MARIANI KDP.xlsx]Tower!R239C36</stp>
        <stp>START_DATE_OVERRIDE</stp>
        <stp>20211231</stp>
        <stp>END_DATE_OVERRIDE</stp>
        <stp>20221231</stp>
        <tr r="AJ239" s="2"/>
      </tp>
      <tp>
        <v>-16.923100000000002</v>
        <stp/>
        <stp>##V3_BDPV12</stp>
        <stp>PUSAPRPY Index</stp>
        <stp>INTERVAL_PERCENT_CHANGE</stp>
        <stp>[Zach MARIANI KDP.xlsx]Tower!R252C18</stp>
        <stp>START_DATE_OVERRIDE</stp>
        <stp>20180331</stp>
        <stp>END_DATE_OVERRIDE</stp>
        <stp>20190331</stp>
        <tr r="R252" s="2"/>
      </tp>
      <tp>
        <v>-16.923100000000002</v>
        <stp/>
        <stp>##V3_BDPV12</stp>
        <stp>PUSAPRPY Index</stp>
        <stp>INTERVAL_PERCENT_CHANGE</stp>
        <stp>[Zach MARIANI KDP.xlsx]Tower!R239C18</stp>
        <stp>START_DATE_OVERRIDE</stp>
        <stp>20180331</stp>
        <stp>END_DATE_OVERRIDE</stp>
        <stp>20190331</stp>
        <tr r="R239" s="2"/>
      </tp>
      <tp>
        <v>-48.287300000000002</v>
        <stp/>
        <stp>##V3_BDPV12</stp>
        <stp>PUSAPRPY Index</stp>
        <stp>INTERVAL_PERCENT_CHANGE</stp>
        <stp>[Zach MARIANI KDP.xlsx]Tower!R252C36</stp>
        <stp>START_DATE_OVERRIDE</stp>
        <stp>20211231</stp>
        <stp>END_DATE_OVERRIDE</stp>
        <stp>20221231</stp>
        <tr r="AJ252" s="2"/>
      </tp>
      <tp>
        <v>23.129300000000001</v>
        <stp/>
        <stp>##V3_BDPV12</stp>
        <stp>PUSAPRPY Index</stp>
        <stp>INTERVAL_PERCENT_CHANGE</stp>
        <stp>[Zach MARIANI KDP.xlsx]Tower!R239C31</stp>
        <stp>START_DATE_OVERRIDE</stp>
        <stp>20201231</stp>
        <stp>END_DATE_OVERRIDE</stp>
        <stp>20211231</stp>
        <tr r="AE239" s="2"/>
      </tp>
      <tp>
        <v>-23.148099999999999</v>
        <stp/>
        <stp>##V3_BDPV12</stp>
        <stp>PUSAPRPY Index</stp>
        <stp>INTERVAL_PERCENT_CHANGE</stp>
        <stp>[Zach MARIANI KDP.xlsx]Tower!R239C23</stp>
        <stp>START_DATE_OVERRIDE</stp>
        <stp>20190331</stp>
        <stp>END_DATE_OVERRIDE</stp>
        <stp>20200331</stp>
        <tr r="W239" s="2"/>
      </tp>
      <tp>
        <v>-7.1429</v>
        <stp/>
        <stp>##V3_BDPV12</stp>
        <stp>PUSAPRPY Index</stp>
        <stp>INTERVAL_PERCENT_CHANGE</stp>
        <stp>[Zach MARIANI KDP.xlsx]Tower!R252C13</stp>
        <stp>START_DATE_OVERRIDE</stp>
        <stp>20170331</stp>
        <stp>END_DATE_OVERRIDE</stp>
        <stp>20180331</stp>
        <tr r="M252" s="2"/>
      </tp>
      <tp>
        <v>145.78309999999999</v>
        <stp/>
        <stp>##V3_BDPV12</stp>
        <stp>PUSAPRPY Index</stp>
        <stp>INTERVAL_PERCENT_CHANGE</stp>
        <stp>[Zach MARIANI KDP.xlsx]Tower!R252C28</stp>
        <stp>START_DATE_OVERRIDE</stp>
        <stp>20200331</stp>
        <stp>END_DATE_OVERRIDE</stp>
        <stp>20210331</stp>
        <tr r="AB252" s="2"/>
      </tp>
      <tp>
        <v>-7.1429</v>
        <stp/>
        <stp>##V3_BDPV12</stp>
        <stp>PUSAPRPY Index</stp>
        <stp>INTERVAL_PERCENT_CHANGE</stp>
        <stp>[Zach MARIANI KDP.xlsx]Tower!R239C13</stp>
        <stp>START_DATE_OVERRIDE</stp>
        <stp>20170331</stp>
        <stp>END_DATE_OVERRIDE</stp>
        <stp>20180331</stp>
        <tr r="M239" s="2"/>
      </tp>
      <tp>
        <v>145.78309999999999</v>
        <stp/>
        <stp>##V3_BDPV12</stp>
        <stp>PUSAPRPY Index</stp>
        <stp>INTERVAL_PERCENT_CHANGE</stp>
        <stp>[Zach MARIANI KDP.xlsx]Tower!R239C28</stp>
        <stp>START_DATE_OVERRIDE</stp>
        <stp>20200331</stp>
        <stp>END_DATE_OVERRIDE</stp>
        <stp>20210331</stp>
        <tr r="AB239" s="2"/>
      </tp>
      <tp>
        <v>4.7008999999999999</v>
        <stp/>
        <stp>##V3_BDPV12</stp>
        <stp>PUSAPRPY Index</stp>
        <stp>INTERVAL_PERCENT_CHANGE</stp>
        <stp>[Zach MARIANI KDP.xlsx]Tower!R252C42</stp>
        <stp>START_DATE_OVERRIDE</stp>
        <stp>20221231</stp>
        <stp>END_DATE_OVERRIDE</stp>
        <stp>20231231</stp>
        <tr r="AP252" s="2"/>
      </tp>
      <tp>
        <v>4.7008999999999999</v>
        <stp/>
        <stp>##V3_BDPV12</stp>
        <stp>PUSAPRPY Index</stp>
        <stp>INTERVAL_PERCENT_CHANGE</stp>
        <stp>[Zach MARIANI KDP.xlsx]Tower!R252C41</stp>
        <stp>START_DATE_OVERRIDE</stp>
        <stp>20221231</stp>
        <stp>END_DATE_OVERRIDE</stp>
        <stp>20231231</stp>
        <tr r="AO252" s="2"/>
      </tp>
      <tp>
        <v>4.7008999999999999</v>
        <stp/>
        <stp>##V3_BDPV12</stp>
        <stp>PUSAPRPY Index</stp>
        <stp>INTERVAL_PERCENT_CHANGE</stp>
        <stp>[Zach MARIANI KDP.xlsx]Tower!R239C41</stp>
        <stp>START_DATE_OVERRIDE</stp>
        <stp>20221231</stp>
        <stp>END_DATE_OVERRIDE</stp>
        <stp>20231231</stp>
        <tr r="AO239" s="2"/>
      </tp>
      <tp>
        <v>4.7008999999999999</v>
        <stp/>
        <stp>##V3_BDPV12</stp>
        <stp>PUSAPRPY Index</stp>
        <stp>INTERVAL_PERCENT_CHANGE</stp>
        <stp>[Zach MARIANI KDP.xlsx]Tower!R239C42</stp>
        <stp>START_DATE_OVERRIDE</stp>
        <stp>20221231</stp>
        <stp>END_DATE_OVERRIDE</stp>
        <stp>20231231</stp>
        <tr r="AP239" s="2"/>
      </tp>
    </main>
    <main first="bofaddin.rtdserver">
      <tp t="s">
        <v>#N/A Requesting Data...3975832988</v>
        <stp/>
        <stp>BQL|344549887669020720</stp>
        <tr r="C22" s="11"/>
      </tp>
    </main>
    <main first="bloomberg.rtd">
      <tp>
        <v>850000000</v>
        <stp/>
        <stp>##V3_BDPV12</stp>
        <stp>BV815700 Corp</stp>
        <stp>AMT_OUTSTANDING</stp>
        <stp>[Zach MARIANI KDP.xlsx]Debt!R8C9</stp>
        <tr r="I8" s="7"/>
      </tp>
      <tp>
        <v>2.96</v>
        <stp/>
        <stp>##V3_BDPV12</stp>
        <stp>SBUX Equity</stp>
        <stp>IS_ADJUSTED_EPS_AS_REPORTED</stp>
        <stp>[Zach MARIANI KDP.xlsx]Comps!R14C125</stp>
        <stp>EQY_FUND_YEAR=-0FY</stp>
        <tr r="DU14" s="5"/>
      </tp>
    </main>
    <main first="bloomberg.rtd">
      <tp>
        <v>0</v>
        <stp/>
        <stp>##V3_BDPV12</stp>
        <stp>PEP Equity</stp>
        <stp>BS_PFD_EQY</stp>
        <stp>[Zach MARIANI KDP.xlsx]Comps!R12C60</stp>
        <stp>FUND_PER=Q</stp>
        <tr r="BH12" s="5"/>
      </tp>
      <tp>
        <v>11306</v>
        <stp/>
        <stp>##V3_BDPV12</stp>
        <stp>KO Equity</stp>
        <stp>BEST_EBITDA</stp>
        <stp>[Zach MARIANI KDP.xlsx]Comps!R11C87</stp>
        <stp>BEST_FPERIOD_OVERRIDE=20BC</stp>
        <tr r="CI11" s="5"/>
      </tp>
      <tp>
        <v>11.212977350068545</v>
        <stp/>
        <stp>##V3_BDPV12</stp>
        <stp>SJM Equity</stp>
        <stp>INTERVAL_AVG</stp>
        <stp>[Zach MARIANI KDP.xlsx]Comps!R13C71</stp>
        <stp>MARKET_DATA_OVERRIDE=BEST_CUR_EV_TO_EBITDA</stp>
        <stp xml:space="preserve">BEST_FPERIOD_OVERRIDE=1TY </stp>
        <stp xml:space="preserve">CALC_INTERVAL=5Y </stp>
        <tr r="BS13" s="5"/>
      </tp>
      <tp>
        <v>2.5499999999999998</v>
        <stp/>
        <stp>##V3_BDPV12</stp>
        <stp>QZ493040 Corp</stp>
        <stp>COUPON</stp>
        <stp>[Zach MARIANI KDP.xlsx]Debt!R20C11</stp>
        <tr r="K20" s="7"/>
      </tp>
      <tp>
        <v>20.14749139006322</v>
        <stp/>
        <stp>##V3_BDPV12</stp>
        <stp>KO Equity</stp>
        <stp>INTERVAL_AVG</stp>
        <stp>[Zach MARIANI KDP.xlsx]Comps!R11C67</stp>
        <stp>MARKET_DATA_OVERRIDE=BEST_CUR_EV_TO_EBITDA</stp>
        <stp xml:space="preserve">BEST_FPERIOD_OVERRIDE=1TY </stp>
        <stp xml:space="preserve">CALC_INTERVAL=1Y </stp>
        <tr r="BO11" s="5"/>
      </tp>
    </main>
    <main first="bloomberg.rtd">
      <tp>
        <v>12561</v>
        <stp/>
        <stp>##V3_BDPV12</stp>
        <stp>KO Equity</stp>
        <stp>BEST_EBITDA</stp>
        <stp>[Zach MARIANI KDP.xlsx]Comps!R11C89</stp>
        <stp>BEST_FPERIOD_OVERRIDE=21BC</stp>
        <tr r="CK11" s="5"/>
      </tp>
    </main>
    <main first="bofaddin.rtdserver">
      <tp t="s">
        <v>#N/A Requesting Data...2218374510</v>
        <stp/>
        <stp>BQL|920478197553569262</stp>
        <tr r="AH6" s="2"/>
      </tp>
      <tp t="s">
        <v>#N/A Requesting Data...3971894692</v>
        <stp/>
        <stp>BQL|207135043310248964</stp>
        <tr r="AQ165" s="2"/>
      </tp>
      <tp t="s">
        <v>#N/A Requesting Data...4235330419</v>
        <stp/>
        <stp>BQL|647331437054313806</stp>
        <tr r="AP113" s="2"/>
        <tr r="AU113" s="2"/>
        <tr r="AZ113" s="2"/>
      </tp>
    </main>
    <main first="bloomberg.rtd">
      <tp>
        <v>14186</v>
        <stp/>
        <stp>##V3_BDPV12</stp>
        <stp>KDP Equity</stp>
        <stp>SHORT_AND_LONG_TERM_DEBT</stp>
        <stp>[Zach MARIANI KDP.xlsx]Comps!R7C58</stp>
        <stp>FUND_PER=Q</stp>
        <tr r="BF7" s="5"/>
      </tp>
      <tp>
        <v>1.5550000000000002</v>
        <stp/>
        <stp>##V3_BDPV12</stp>
        <stp>FDIUFDA Index</stp>
        <stp>INTERVAL_PERCENT_CHANGE</stp>
        <stp>[Zach MARIANI KDP.xlsx]Tower!R240C40</stp>
        <stp>START_DATE_OVERRIDE</stp>
        <stp>20220930</stp>
        <stp>END_DATE_OVERRIDE</stp>
        <stp>20230930</stp>
        <tr r="AN240" s="2"/>
      </tp>
      <tp>
        <v>1.5550000000000002</v>
        <stp/>
        <stp>##V3_BDPV12</stp>
        <stp>FDIUFDA Index</stp>
        <stp>INTERVAL_PERCENT_CHANGE</stp>
        <stp>[Zach MARIANI KDP.xlsx]Tower!R254C40</stp>
        <stp>START_DATE_OVERRIDE</stp>
        <stp>20220930</stp>
        <stp>END_DATE_OVERRIDE</stp>
        <stp>20230930</stp>
        <tr r="AN254" s="2"/>
      </tp>
      <tp>
        <v>2.7313000000000001</v>
        <stp/>
        <stp>##V3_BDPV12</stp>
        <stp>FDIUFDA Index</stp>
        <stp>INTERVAL_PERCENT_CHANGE</stp>
        <stp>[Zach MARIANI KDP.xlsx]Tower!R254C15</stp>
        <stp>START_DATE_OVERRIDE</stp>
        <stp>20170930</stp>
        <stp>END_DATE_OVERRIDE</stp>
        <stp>20180930</stp>
        <tr r="O254" s="2"/>
      </tp>
      <tp>
        <v>2.7313000000000001</v>
        <stp/>
        <stp>##V3_BDPV12</stp>
        <stp>FDIUFDA Index</stp>
        <stp>INTERVAL_PERCENT_CHANGE</stp>
        <stp>[Zach MARIANI KDP.xlsx]Tower!R240C15</stp>
        <stp>START_DATE_OVERRIDE</stp>
        <stp>20170930</stp>
        <stp>END_DATE_OVERRIDE</stp>
        <stp>20180930</stp>
        <tr r="O240" s="2"/>
      </tp>
      <tp>
        <v>0.33810000000000001</v>
        <stp/>
        <stp>##V3_BDPV12</stp>
        <stp>FDIUFDA Index</stp>
        <stp>INTERVAL_PERCENT_CHANGE</stp>
        <stp>[Zach MARIANI KDP.xlsx]Tower!R254C25</stp>
        <stp>START_DATE_OVERRIDE</stp>
        <stp>20190930</stp>
        <stp>END_DATE_OVERRIDE</stp>
        <stp>20200930</stp>
        <tr r="Y254" s="2"/>
      </tp>
      <tp>
        <v>0.33810000000000001</v>
        <stp/>
        <stp>##V3_BDPV12</stp>
        <stp>FDIUFDA Index</stp>
        <stp>INTERVAL_PERCENT_CHANGE</stp>
        <stp>[Zach MARIANI KDP.xlsx]Tower!R240C25</stp>
        <stp>START_DATE_OVERRIDE</stp>
        <stp>20190930</stp>
        <stp>END_DATE_OVERRIDE</stp>
        <stp>20200930</stp>
        <tr r="Y240" s="2"/>
      </tp>
      <tp>
        <v>8.4807000000000006</v>
        <stp/>
        <stp>##V3_BDPV12</stp>
        <stp>FDIUFDA Index</stp>
        <stp>INTERVAL_PERCENT_CHANGE</stp>
        <stp>[Zach MARIANI KDP.xlsx]Tower!R240C35</stp>
        <stp>START_DATE_OVERRIDE</stp>
        <stp>20210930</stp>
        <stp>END_DATE_OVERRIDE</stp>
        <stp>20220930</stp>
        <tr r="AI240" s="2"/>
      </tp>
      <tp>
        <v>8.4807000000000006</v>
        <stp/>
        <stp>##V3_BDPV12</stp>
        <stp>FDIUFDA Index</stp>
        <stp>INTERVAL_PERCENT_CHANGE</stp>
        <stp>[Zach MARIANI KDP.xlsx]Tower!R254C35</stp>
        <stp>START_DATE_OVERRIDE</stp>
        <stp>20210930</stp>
        <stp>END_DATE_OVERRIDE</stp>
        <stp>20220930</stp>
        <tr r="AI254" s="2"/>
      </tp>
      <tp>
        <v>8.7751000000000001</v>
        <stp/>
        <stp>##V3_BDPV12</stp>
        <stp>FDIUFDA Index</stp>
        <stp>INTERVAL_PERCENT_CHANGE</stp>
        <stp>[Zach MARIANI KDP.xlsx]Tower!R240C30</stp>
        <stp>START_DATE_OVERRIDE</stp>
        <stp>20200930</stp>
        <stp>END_DATE_OVERRIDE</stp>
        <stp>20210930</stp>
        <tr r="AD240" s="2"/>
      </tp>
      <tp>
        <v>8.7751000000000001</v>
        <stp/>
        <stp>##V3_BDPV12</stp>
        <stp>FDIUFDA Index</stp>
        <stp>INTERVAL_PERCENT_CHANGE</stp>
        <stp>[Zach MARIANI KDP.xlsx]Tower!R254C30</stp>
        <stp>START_DATE_OVERRIDE</stp>
        <stp>20200930</stp>
        <stp>END_DATE_OVERRIDE</stp>
        <stp>20210930</stp>
        <tr r="AD254" s="2"/>
      </tp>
      <tp>
        <v>1.458</v>
        <stp/>
        <stp>##V3_BDPV12</stp>
        <stp>FDIUFDA Index</stp>
        <stp>INTERVAL_PERCENT_CHANGE</stp>
        <stp>[Zach MARIANI KDP.xlsx]Tower!R254C20</stp>
        <stp>START_DATE_OVERRIDE</stp>
        <stp>20180930</stp>
        <stp>END_DATE_OVERRIDE</stp>
        <stp>20190930</stp>
        <tr r="T254" s="2"/>
      </tp>
      <tp>
        <v>1.458</v>
        <stp/>
        <stp>##V3_BDPV12</stp>
        <stp>FDIUFDA Index</stp>
        <stp>INTERVAL_PERCENT_CHANGE</stp>
        <stp>[Zach MARIANI KDP.xlsx]Tower!R240C20</stp>
        <stp>START_DATE_OVERRIDE</stp>
        <stp>20180930</stp>
        <stp>END_DATE_OVERRIDE</stp>
        <stp>20190930</stp>
        <tr r="T240" s="2"/>
      </tp>
      <tp>
        <v>16.300248181343164</v>
        <stp/>
        <stp>##V3_BDPV12</stp>
        <stp>PEP Equity</stp>
        <stp>INTERVAL_AVG</stp>
        <stp>[Zach MARIANI KDP.xlsx]Comps!R12C71</stp>
        <stp>MARKET_DATA_OVERRIDE=BEST_CUR_EV_TO_EBITDA</stp>
        <stp xml:space="preserve">BEST_FPERIOD_OVERRIDE=1TY </stp>
        <stp xml:space="preserve">CALC_INTERVAL=5Y </stp>
        <tr r="BS12" s="5"/>
      </tp>
      <tp t="s">
        <v>BBB</v>
        <stp/>
        <stp>##V3_BDPV12</stp>
        <stp>BH631196 Corp</stp>
        <stp>RTG_SP</stp>
        <stp>[Zach MARIANI KDP.xlsx]Debt!R13C13</stp>
        <tr r="M13" s="7"/>
      </tp>
      <tp t="s">
        <v>BBB</v>
        <stp/>
        <stp>##V3_BDPV12</stp>
        <stp>BH631195 Corp</stp>
        <stp>RTG_SP</stp>
        <stp>[Zach MARIANI KDP.xlsx]Debt!R14C13</stp>
        <tr r="M14" s="7"/>
      </tp>
      <tp>
        <v>20.80337596274234</v>
        <stp/>
        <stp>##V3_BDPV12</stp>
        <stp>KO Equity</stp>
        <stp>INTERVAL_AVG</stp>
        <stp>[Zach MARIANI KDP.xlsx]Comps!R11C69</stp>
        <stp>MARKET_DATA_OVERRIDE=BEST_CUR_EV_TO_EBITDA</stp>
        <stp xml:space="preserve">BEST_FPERIOD_OVERRIDE=1TY </stp>
        <stp xml:space="preserve">CALC_INTERVAL=2Y </stp>
        <tr r="BQ11" s="5"/>
      </tp>
      <tp>
        <v>13605</v>
        <stp/>
        <stp>##V3_BDPV12</stp>
        <stp>KO Equity</stp>
        <stp>BEST_EBITDA</stp>
        <stp>[Zach MARIANI KDP.xlsx]Comps!R11C91</stp>
        <stp>BEST_FPERIOD_OVERRIDE=22BC</stp>
        <tr r="CM11" s="5"/>
      </tp>
      <tp>
        <v>4.944</v>
        <stp/>
        <stp>##V3_BDPV12</stp>
        <stp>NESN SW Equity</stp>
        <stp>BEST_EPS</stp>
        <stp>[Zach MARIANI KDP.xlsx]Comps!R15C101</stp>
        <stp>BEST_FPERIOD_OVERRIDE=23BC</stp>
        <tr r="CW15" s="5"/>
      </tp>
      <tp>
        <v>18.111926310235244</v>
        <stp/>
        <stp>##V3_BDPV12</stp>
        <stp>SBUX Equity</stp>
        <stp>INTERVAL_AVG</stp>
        <stp>[Zach MARIANI KDP.xlsx]Comps!R14C71</stp>
        <stp>MARKET_DATA_OVERRIDE=BEST_CUR_EV_TO_EBITDA</stp>
        <stp xml:space="preserve">BEST_FPERIOD_OVERRIDE=1TY </stp>
        <stp xml:space="preserve">CALC_INTERVAL=5Y </stp>
        <tr r="BS14" s="5"/>
      </tp>
      <tp>
        <v>5.0680000000000005</v>
        <stp/>
        <stp>##V3_BDPV12</stp>
        <stp>NESN SW Equity</stp>
        <stp>BEST_EPS</stp>
        <stp>[Zach MARIANI KDP.xlsx]Comps!R15C64</stp>
        <stp>BEST_FPERIOD_OVERRIDE=1TY</stp>
        <tr r="BL15" s="5"/>
      </tp>
      <tp>
        <v>59605</v>
        <stp/>
        <stp>##V3_BDPV12</stp>
        <stp>NESN SW Equity</stp>
        <stp>SHORT_AND_LONG_TERM_DEBT</stp>
        <stp>[Zach MARIANI KDP.xlsx]Comps!R15C58</stp>
        <stp>FUND_PER=Q</stp>
        <tr r="BF15" s="5"/>
      </tp>
    </main>
    <main first="bloomberg.rtd">
      <tp>
        <v>14499.813</v>
        <stp/>
        <stp>##V3_BDPV12</stp>
        <stp>KO Equity</stp>
        <stp>BEST_EBITDA</stp>
        <stp>[Zach MARIANI KDP.xlsx]Comps!R11C93</stp>
        <stp>BEST_FPERIOD_OVERRIDE=23BC</stp>
        <tr r="CO11" s="5"/>
      </tp>
    </main>
    <main first="bloomberg.rtd">
      <tp>
        <v>-47.877600000000001</v>
        <stp/>
        <stp>##V3_BDPV12</stp>
        <stp>PUSAPRPY Index</stp>
        <stp>INTERVAL_PERCENT_CHANGE</stp>
        <stp>[Zach MARIANI KDP.xlsx]Tower!R239C35</stp>
        <stp>START_DATE_OVERRIDE</stp>
        <stp>20210930</stp>
        <stp>END_DATE_OVERRIDE</stp>
        <stp>20220930</stp>
        <tr r="AI239" s="2"/>
      </tp>
      <tp>
        <v>145.87379999999999</v>
        <stp/>
        <stp>##V3_BDPV12</stp>
        <stp>PUSAPRPY Index</stp>
        <stp>INTERVAL_PERCENT_CHANGE</stp>
        <stp>[Zach MARIANI KDP.xlsx]Tower!R252C30</stp>
        <stp>START_DATE_OVERRIDE</stp>
        <stp>20200930</stp>
        <stp>END_DATE_OVERRIDE</stp>
        <stp>20210930</stp>
        <tr r="AD252" s="2"/>
      </tp>
      <tp>
        <v>145.87379999999999</v>
        <stp/>
        <stp>##V3_BDPV12</stp>
        <stp>PUSAPRPY Index</stp>
        <stp>INTERVAL_PERCENT_CHANGE</stp>
        <stp>[Zach MARIANI KDP.xlsx]Tower!R239C30</stp>
        <stp>START_DATE_OVERRIDE</stp>
        <stp>20200930</stp>
        <stp>END_DATE_OVERRIDE</stp>
        <stp>20210930</stp>
        <tr r="AD239" s="2"/>
      </tp>
      <tp>
        <v>-47.877600000000001</v>
        <stp/>
        <stp>##V3_BDPV12</stp>
        <stp>PUSAPRPY Index</stp>
        <stp>INTERVAL_PERCENT_CHANGE</stp>
        <stp>[Zach MARIANI KDP.xlsx]Tower!R252C35</stp>
        <stp>START_DATE_OVERRIDE</stp>
        <stp>20210930</stp>
        <stp>END_DATE_OVERRIDE</stp>
        <stp>20220930</stp>
        <tr r="AI252" s="2"/>
      </tp>
      <tp>
        <v>-8.0357000000000003</v>
        <stp/>
        <stp>##V3_BDPV12</stp>
        <stp>PUSAPRPY Index</stp>
        <stp>INTERVAL_PERCENT_CHANGE</stp>
        <stp>[Zach MARIANI KDP.xlsx]Tower!R239C25</stp>
        <stp>START_DATE_OVERRIDE</stp>
        <stp>20190930</stp>
        <stp>END_DATE_OVERRIDE</stp>
        <stp>20200930</stp>
        <tr r="Y239" s="2"/>
      </tp>
      <tp>
        <v>-8.0357000000000003</v>
        <stp/>
        <stp>##V3_BDPV12</stp>
        <stp>PUSAPRPY Index</stp>
        <stp>INTERVAL_PERCENT_CHANGE</stp>
        <stp>[Zach MARIANI KDP.xlsx]Tower!R252C25</stp>
        <stp>START_DATE_OVERRIDE</stp>
        <stp>20190930</stp>
        <stp>END_DATE_OVERRIDE</stp>
        <stp>20200930</stp>
        <tr r="Y252" s="2"/>
      </tp>
      <tp>
        <v>20.795100000000001</v>
        <stp/>
        <stp>##V3_BDPV12</stp>
        <stp>PUSAPRPY Index</stp>
        <stp>INTERVAL_PERCENT_CHANGE</stp>
        <stp>[Zach MARIANI KDP.xlsx]Tower!R239C15</stp>
        <stp>START_DATE_OVERRIDE</stp>
        <stp>20170930</stp>
        <stp>END_DATE_OVERRIDE</stp>
        <stp>20180930</stp>
        <tr r="O239" s="2"/>
      </tp>
      <tp>
        <v>20.795100000000001</v>
        <stp/>
        <stp>##V3_BDPV12</stp>
        <stp>PUSAPRPY Index</stp>
        <stp>INTERVAL_PERCENT_CHANGE</stp>
        <stp>[Zach MARIANI KDP.xlsx]Tower!R252C15</stp>
        <stp>START_DATE_OVERRIDE</stp>
        <stp>20170930</stp>
        <stp>END_DATE_OVERRIDE</stp>
        <stp>20180930</stp>
        <tr r="O252" s="2"/>
      </tp>
      <tp>
        <v>-29.113900000000001</v>
        <stp/>
        <stp>##V3_BDPV12</stp>
        <stp>PUSAPRPY Index</stp>
        <stp>INTERVAL_PERCENT_CHANGE</stp>
        <stp>[Zach MARIANI KDP.xlsx]Tower!R252C20</stp>
        <stp>START_DATE_OVERRIDE</stp>
        <stp>20180930</stp>
        <stp>END_DATE_OVERRIDE</stp>
        <stp>20190930</stp>
        <tr r="T252" s="2"/>
      </tp>
      <tp>
        <v>-29.113900000000001</v>
        <stp/>
        <stp>##V3_BDPV12</stp>
        <stp>PUSAPRPY Index</stp>
        <stp>INTERVAL_PERCENT_CHANGE</stp>
        <stp>[Zach MARIANI KDP.xlsx]Tower!R239C20</stp>
        <stp>START_DATE_OVERRIDE</stp>
        <stp>20180930</stp>
        <stp>END_DATE_OVERRIDE</stp>
        <stp>20190930</stp>
        <tr r="T239" s="2"/>
      </tp>
      <tp>
        <v>-25.7576</v>
        <stp/>
        <stp>##V3_BDPV12</stp>
        <stp>PUSAPRPY Index</stp>
        <stp>INTERVAL_PERCENT_CHANGE</stp>
        <stp>[Zach MARIANI KDP.xlsx]Tower!R252C40</stp>
        <stp>START_DATE_OVERRIDE</stp>
        <stp>20220930</stp>
        <stp>END_DATE_OVERRIDE</stp>
        <stp>20230930</stp>
        <tr r="AN252" s="2"/>
      </tp>
      <tp>
        <v>-25.7576</v>
        <stp/>
        <stp>##V3_BDPV12</stp>
        <stp>PUSAPRPY Index</stp>
        <stp>INTERVAL_PERCENT_CHANGE</stp>
        <stp>[Zach MARIANI KDP.xlsx]Tower!R239C40</stp>
        <stp>START_DATE_OVERRIDE</stp>
        <stp>20220930</stp>
        <stp>END_DATE_OVERRIDE</stp>
        <stp>20230930</stp>
        <tr r="AN239" s="2"/>
      </tp>
    </main>
    <main first="bloomberg.rtd">
      <tp>
        <v>1150000000</v>
        <stp/>
        <stp>##V3_BDPV12</stp>
        <stp>BO339157 Corp</stp>
        <stp>AMT_OUTSTANDING</stp>
        <stp>[Zach MARIANI KDP.xlsx]Debt!R7C9</stp>
        <tr r="I7" s="7"/>
      </tp>
      <tp>
        <v>2670</v>
        <stp/>
        <stp>##V3_BDPV12</stp>
        <stp>NESN SW Equity</stp>
        <stp>EQY_SH_OUT</stp>
        <stp>[Zach MARIANI KDP.xlsx]Comps!R15C55</stp>
        <tr r="BC15" s="5"/>
      </tp>
      <tp>
        <v>11.69225755887584</v>
        <stp/>
        <stp>##V3_BDPV12</stp>
        <stp>SJM Equity</stp>
        <stp>INTERVAL_AVG</stp>
        <stp>[Zach MARIANI KDP.xlsx]Comps!R13C67</stp>
        <stp>MARKET_DATA_OVERRIDE=BEST_CUR_EV_TO_EBITDA</stp>
        <stp xml:space="preserve">BEST_FPERIOD_OVERRIDE=1TY </stp>
        <stp xml:space="preserve">CALC_INTERVAL=1Y </stp>
        <tr r="BO13" s="5"/>
      </tp>
      <tp>
        <v>17.2930092499167</v>
        <stp/>
        <stp>##V3_BDPV12</stp>
        <stp>PEP Equity</stp>
        <stp>INTERVAL_AVG</stp>
        <stp>[Zach MARIANI KDP.xlsx]Comps!R12C69</stp>
        <stp>MARKET_DATA_OVERRIDE=BEST_CUR_EV_TO_EBITDA</stp>
        <stp xml:space="preserve">BEST_FPERIOD_OVERRIDE=1TY </stp>
        <stp xml:space="preserve">CALC_INTERVAL=2Y </stp>
        <tr r="BQ12" s="5"/>
      </tp>
      <tp t="s">
        <v>BBB</v>
        <stp/>
        <stp>##V3_BDPV12</stp>
        <stp>AS645505 Corp</stp>
        <stp>RTG_SP</stp>
        <stp>[Zach MARIANI KDP.xlsx]Debt!R25C13</stp>
        <tr r="M25" s="7"/>
      </tp>
      <tp>
        <v>20.846307629777098</v>
        <stp/>
        <stp>##V3_BDPV12</stp>
        <stp>KO Equity</stp>
        <stp>INTERVAL_AVG</stp>
        <stp>[Zach MARIANI KDP.xlsx]Comps!R11C71</stp>
        <stp>MARKET_DATA_OVERRIDE=BEST_CUR_EV_TO_EBITDA</stp>
        <stp xml:space="preserve">BEST_FPERIOD_OVERRIDE=1TY </stp>
        <stp xml:space="preserve">CALC_INTERVAL=5Y </stp>
        <tr r="BS11" s="5"/>
      </tp>
    </main>
    <main first="bloomberg.rtd">
      <tp>
        <v>17.006728804508754</v>
        <stp/>
        <stp>##V3_BDPV12</stp>
        <stp>SBUX Equity</stp>
        <stp>INTERVAL_AVG</stp>
        <stp>[Zach MARIANI KDP.xlsx]Comps!R14C69</stp>
        <stp>MARKET_DATA_OVERRIDE=BEST_CUR_EV_TO_EBITDA</stp>
        <stp xml:space="preserve">BEST_FPERIOD_OVERRIDE=1TY </stp>
        <stp xml:space="preserve">CALC_INTERVAL=2Y </stp>
        <tr r="BQ14" s="5"/>
      </tp>
      <tp>
        <v>11.565585552987644</v>
        <stp/>
        <stp>##V3_BDPV12</stp>
        <stp>SJM Equity</stp>
        <stp>INTERVAL_AVG</stp>
        <stp>[Zach MARIANI KDP.xlsx]Comps!R13C69</stp>
        <stp>MARKET_DATA_OVERRIDE=BEST_CUR_EV_TO_EBITDA</stp>
        <stp xml:space="preserve">BEST_FPERIOD_OVERRIDE=1TY </stp>
        <stp xml:space="preserve">CALC_INTERVAL=2Y </stp>
        <tr r="BQ13" s="5"/>
      </tp>
      <tp>
        <v>17.211122228312728</v>
        <stp/>
        <stp>##V3_BDPV12</stp>
        <stp>PEP Equity</stp>
        <stp>INTERVAL_AVG</stp>
        <stp>[Zach MARIANI KDP.xlsx]Comps!R12C67</stp>
        <stp>MARKET_DATA_OVERRIDE=BEST_CUR_EV_TO_EBITDA</stp>
        <stp xml:space="preserve">BEST_FPERIOD_OVERRIDE=1TY </stp>
        <stp xml:space="preserve">CALC_INTERVAL=1Y </stp>
        <tr r="BO12" s="5"/>
      </tp>
      <tp t="s">
        <v>BBB</v>
        <stp/>
        <stp>##V3_BDPV12</stp>
        <stp>BV815715 Corp</stp>
        <stp>RTG_SP</stp>
        <stp>[Zach MARIANI KDP.xlsx]Debt!R12C13</stp>
        <tr r="M12" s="7"/>
      </tp>
    </main>
    <main first="bloomberg.rtd">
      <tp>
        <v>1000000000</v>
        <stp/>
        <stp>##V3_BDPV12</stp>
        <stp>BV815699 Corp</stp>
        <stp>AMT_OUTSTANDING</stp>
        <stp>[Zach MARIANI KDP.xlsx]Debt!R9C9</stp>
        <tr r="I9" s="7"/>
      </tp>
      <tp>
        <v>17.076695122768797</v>
        <stp/>
        <stp>##V3_BDPV12</stp>
        <stp>SBUX Equity</stp>
        <stp>INTERVAL_AVG</stp>
        <stp>[Zach MARIANI KDP.xlsx]Comps!R14C67</stp>
        <stp>MARKET_DATA_OVERRIDE=BEST_CUR_EV_TO_EBITDA</stp>
        <stp xml:space="preserve">BEST_FPERIOD_OVERRIDE=1TY </stp>
        <stp xml:space="preserve">CALC_INTERVAL=1Y </stp>
        <tr r="BO14" s="5"/>
      </tp>
    </main>
    <main first="bloomberg.rtd">
      <tp>
        <v>23.983452608216023</v>
        <stp/>
        <stp>##V3_BDPV12</stp>
        <stp>KO Equity</stp>
        <stp>INTERVAL_AVG</stp>
        <stp>[Zach MARIANI KDP.xlsx]Comps!R11C75</stp>
        <stp>MARKET_DATA_OVERRIDE=BEST_PE_RATIO</stp>
        <stp xml:space="preserve">BEST_FPERIOD_OVERRIDE=1TY </stp>
        <stp xml:space="preserve">CALC_INTERVAL=2Y </stp>
        <tr r="BW11" s="5"/>
      </tp>
      <tp>
        <v>750000000</v>
        <stp/>
        <stp>##V3_BDPV12</stp>
        <stp>BH631195 Corp</stp>
        <stp>AMT_ISSUED</stp>
        <stp>[Zach MARIANI KDP.xlsx]Debt!R14C8</stp>
        <tr r="H14" s="7"/>
      </tp>
      <tp t="s">
        <v>BBB</v>
        <stp/>
        <stp>##V3_BDPV12</stp>
        <stp>QJ508221 Corp</stp>
        <stp>RTG_SP</stp>
        <stp>[Zach MARIANI KDP.xlsx]Debt!R15C13</stp>
        <tr r="M15" s="7"/>
      </tp>
      <tp t="s">
        <v>BBB</v>
        <stp/>
        <stp>##V3_BDPV12</stp>
        <stp>QJ508726 Corp</stp>
        <stp>RTG_SP</stp>
        <stp>[Zach MARIANI KDP.xlsx]Debt!R18C13</stp>
        <tr r="M18" s="7"/>
      </tp>
      <tp>
        <v>3.35</v>
        <stp/>
        <stp>##V3_BDPV12</stp>
        <stp>BO339159 Corp</stp>
        <stp>COUPON</stp>
        <stp>[Zach MARIANI KDP.xlsx]Debt!R23C11</stp>
        <tr r="K23" s="7"/>
      </tp>
      <tp>
        <v>2.25</v>
        <stp/>
        <stp>##V3_BDPV12</stp>
        <stp>BO339158 Corp</stp>
        <stp>COUPON</stp>
        <stp>[Zach MARIANI KDP.xlsx]Debt!R21C11</stp>
        <tr r="K21" s="7"/>
      </tp>
      <tp>
        <v>6.5447199999999999</v>
        <stp/>
        <stp>##V3_BDPV12</stp>
        <stp>BL389364 Corp</stp>
        <stp>COUPON</stp>
        <stp>[Zach MARIANI KDP.xlsx]Debt!R31C11</stp>
        <tr r="K31" s="7"/>
      </tp>
      <tp>
        <v>23.613257033214875</v>
        <stp/>
        <stp>##V3_BDPV12</stp>
        <stp>PEP Equity</stp>
        <stp>INTERVAL_AVG</stp>
        <stp>[Zach MARIANI KDP.xlsx]Comps!R12C77</stp>
        <stp>MARKET_DATA_OVERRIDE=BEST_PE_RATIO</stp>
        <stp xml:space="preserve">BEST_FPERIOD_OVERRIDE=1TY </stp>
        <stp xml:space="preserve">CALC_INTERVAL=5Y </stp>
        <tr r="BY12" s="5"/>
      </tp>
      <tp>
        <v>30.124412300548698</v>
        <stp/>
        <stp>##V3_BDPV12</stp>
        <stp>SBUX Equity</stp>
        <stp>INTERVAL_AVG</stp>
        <stp>[Zach MARIANI KDP.xlsx]Comps!R14C77</stp>
        <stp>MARKET_DATA_OVERRIDE=BEST_PE_RATIO</stp>
        <stp xml:space="preserve">BEST_FPERIOD_OVERRIDE=1TY </stp>
        <stp xml:space="preserve">CALC_INTERVAL=5Y </stp>
        <tr r="BY14" s="5"/>
      </tp>
      <tp>
        <v>0.52529999999999999</v>
        <stp/>
        <stp>##V3_BDPV12</stp>
        <stp>PPIDGNFT Index</stp>
        <stp>INTERVAL_PERCENT_CHANGE</stp>
        <stp>[Zach MARIANI KDP.xlsx]Tower!R253C21</stp>
        <stp>START_DATE_OVERRIDE</stp>
        <stp>20181231</stp>
        <stp>END_DATE_OVERRIDE</stp>
        <stp>20191231</stp>
        <tr r="U253" s="2"/>
      </tp>
      <tp>
        <v>6.0560999999999998</v>
        <stp/>
        <stp>##V3_BDPV12</stp>
        <stp>PPIDGNFT Index</stp>
        <stp>INTERVAL_PERCENT_CHANGE</stp>
        <stp>[Zach MARIANI KDP.xlsx]Tower!R253C13</stp>
        <stp>START_DATE_OVERRIDE</stp>
        <stp>20170331</stp>
        <stp>END_DATE_OVERRIDE</stp>
        <stp>20180331</stp>
        <tr r="M253" s="2"/>
      </tp>
      <tp>
        <v>10.845000000000001</v>
        <stp/>
        <stp>##V3_BDPV12</stp>
        <stp>PPIDGNFT Index</stp>
        <stp>INTERVAL_PERCENT_CHANGE</stp>
        <stp>[Zach MARIANI KDP.xlsx]Tower!R253C28</stp>
        <stp>START_DATE_OVERRIDE</stp>
        <stp>20200331</stp>
        <stp>END_DATE_OVERRIDE</stp>
        <stp>20210331</stp>
        <tr r="AB253" s="2"/>
      </tp>
      <tp>
        <v>7.2526000000000002</v>
        <stp/>
        <stp>##V3_BDPV12</stp>
        <stp>PPIDGNFT Index</stp>
        <stp>INTERVAL_PERCENT_CHANGE</stp>
        <stp>[Zach MARIANI KDP.xlsx]Tower!R253C36</stp>
        <stp>START_DATE_OVERRIDE</stp>
        <stp>20211231</stp>
        <stp>END_DATE_OVERRIDE</stp>
        <stp>20221231</stp>
        <tr r="AJ253" s="2"/>
      </tp>
      <tp>
        <v>21.695</v>
        <stp/>
        <stp>##V3_BDPV12</stp>
        <stp>PPIDGNFT Index</stp>
        <stp>INTERVAL_PERCENT_CHANGE</stp>
        <stp>[Zach MARIANI KDP.xlsx]Tower!R253C31</stp>
        <stp>START_DATE_OVERRIDE</stp>
        <stp>20201231</stp>
        <stp>END_DATE_OVERRIDE</stp>
        <stp>20211231</stp>
        <tr r="AE253" s="2"/>
      </tp>
      <tp>
        <v>-0.85750000000000004</v>
        <stp/>
        <stp>##V3_BDPV12</stp>
        <stp>PPIDGNFT Index</stp>
        <stp>INTERVAL_PERCENT_CHANGE</stp>
        <stp>[Zach MARIANI KDP.xlsx]Tower!R253C23</stp>
        <stp>START_DATE_OVERRIDE</stp>
        <stp>20190331</stp>
        <stp>END_DATE_OVERRIDE</stp>
        <stp>20200331</stp>
        <tr r="W253" s="2"/>
      </tp>
      <tp>
        <v>5.5709999999999997</v>
        <stp/>
        <stp>##V3_BDPV12</stp>
        <stp>PPIDGNFT Index</stp>
        <stp>INTERVAL_PERCENT_CHANGE</stp>
        <stp>[Zach MARIANI KDP.xlsx]Tower!R253C18</stp>
        <stp>START_DATE_OVERRIDE</stp>
        <stp>20180331</stp>
        <stp>END_DATE_OVERRIDE</stp>
        <stp>20190331</stp>
        <tr r="R253" s="2"/>
      </tp>
      <tp>
        <v>7.4805999999999999</v>
        <stp/>
        <stp>##V3_BDPV12</stp>
        <stp>PPIDGNFT Index</stp>
        <stp>INTERVAL_PERCENT_CHANGE</stp>
        <stp>[Zach MARIANI KDP.xlsx]Tower!R253C16</stp>
        <stp>START_DATE_OVERRIDE</stp>
        <stp>20171231</stp>
        <stp>END_DATE_OVERRIDE</stp>
        <stp>20181231</stp>
        <tr r="P253" s="2"/>
      </tp>
      <tp>
        <v>-4.4005000000000001</v>
        <stp/>
        <stp>##V3_BDPV12</stp>
        <stp>PPIDGNFT Index</stp>
        <stp>INTERVAL_PERCENT_CHANGE</stp>
        <stp>[Zach MARIANI KDP.xlsx]Tower!R253C38</stp>
        <stp>START_DATE_OVERRIDE</stp>
        <stp>20220331</stp>
        <stp>END_DATE_OVERRIDE</stp>
        <stp>20230331</stp>
        <tr r="AL253" s="2"/>
      </tp>
      <tp>
        <v>3.6577000000000002</v>
        <stp/>
        <stp>##V3_BDPV12</stp>
        <stp>PPIDGNFT Index</stp>
        <stp>INTERVAL_PERCENT_CHANGE</stp>
        <stp>[Zach MARIANI KDP.xlsx]Tower!R253C26</stp>
        <stp>START_DATE_OVERRIDE</stp>
        <stp>20191231</stp>
        <stp>END_DATE_OVERRIDE</stp>
        <stp>20201231</stp>
        <tr r="Z253" s="2"/>
      </tp>
      <tp>
        <v>29.173500000000001</v>
        <stp/>
        <stp>##V3_BDPV12</stp>
        <stp>PPIDGNFT Index</stp>
        <stp>INTERVAL_PERCENT_CHANGE</stp>
        <stp>[Zach MARIANI KDP.xlsx]Tower!R253C33</stp>
        <stp>START_DATE_OVERRIDE</stp>
        <stp>20210331</stp>
        <stp>END_DATE_OVERRIDE</stp>
        <stp>20220331</stp>
        <tr r="AG253" s="2"/>
      </tp>
      <tp>
        <v>-7.4394999999999998</v>
        <stp/>
        <stp>##V3_BDPV12</stp>
        <stp>PPIDGNFT Index</stp>
        <stp>INTERVAL_PERCENT_CHANGE</stp>
        <stp>[Zach MARIANI KDP.xlsx]Tower!R253C42</stp>
        <stp>START_DATE_OVERRIDE</stp>
        <stp>20221231</stp>
        <stp>END_DATE_OVERRIDE</stp>
        <stp>20231231</stp>
        <tr r="AP253" s="2"/>
      </tp>
      <tp>
        <v>-7.4394999999999998</v>
        <stp/>
        <stp>##V3_BDPV12</stp>
        <stp>PPIDGNFT Index</stp>
        <stp>INTERVAL_PERCENT_CHANGE</stp>
        <stp>[Zach MARIANI KDP.xlsx]Tower!R253C41</stp>
        <stp>START_DATE_OVERRIDE</stp>
        <stp>20221231</stp>
        <stp>END_DATE_OVERRIDE</stp>
        <stp>20231231</stp>
        <tr r="AO253" s="2"/>
      </tp>
      <tp t="s">
        <v>BBB</v>
        <stp/>
        <stp>##V3_BDPV12</stp>
        <stp>ZS462236 Corp</stp>
        <stp>RTG_SP</stp>
        <stp>[Zach MARIANI KDP.xlsx]Debt!R10C13</stp>
        <tr r="M10" s="7"/>
      </tp>
      <tp t="s">
        <v>BBB</v>
        <stp/>
        <stp>##V3_BDPV12</stp>
        <stp>ZS462329 Corp</stp>
        <stp>RTG_SP</stp>
        <stp>[Zach MARIANI KDP.xlsx]Debt!R17C13</stp>
        <tr r="M17" s="7"/>
      </tp>
      <tp>
        <v>2000000000</v>
        <stp/>
        <stp>##V3_BDPV12</stp>
        <stp>ZS462236 Corp</stp>
        <stp>AMT_ISSUED</stp>
        <stp>[Zach MARIANI KDP.xlsx]Debt!R10C8</stp>
        <tr r="H10" s="7"/>
      </tp>
      <tp>
        <v>3.13</v>
        <stp/>
        <stp>##V3_BDPV12</stp>
        <stp>AL578101 Corp</stp>
        <stp>COUPON</stp>
        <stp>[Zach MARIANI KDP.xlsx]Debt!R11C11</stp>
        <tr r="K11" s="7"/>
      </tp>
      <tp>
        <v>3.43</v>
        <stp/>
        <stp>##V3_BDPV12</stp>
        <stp>AL578155 Corp</stp>
        <stp>COUPON</stp>
        <stp>[Zach MARIANI KDP.xlsx]Debt!R19C11</stp>
        <tr r="K19" s="7"/>
      </tp>
      <tp>
        <v>4.42</v>
        <stp/>
        <stp>##V3_BDPV12</stp>
        <stp>AL578753 Corp</stp>
        <stp>COUPON</stp>
        <stp>[Zach MARIANI KDP.xlsx]Debt!R22C11</stp>
        <tr r="K22" s="7"/>
      </tp>
      <tp>
        <v>23.41831832899361</v>
        <stp/>
        <stp>##V3_BDPV12</stp>
        <stp>KO Equity</stp>
        <stp>INTERVAL_AVG</stp>
        <stp>[Zach MARIANI KDP.xlsx]Comps!R11C73</stp>
        <stp>MARKET_DATA_OVERRIDE=BEST_PE_RATIO</stp>
        <stp xml:space="preserve">BEST_FPERIOD_OVERRIDE=1TY </stp>
        <stp xml:space="preserve">CALC_INTERVAL=1Y </stp>
        <tr r="BU11" s="5"/>
      </tp>
      <tp>
        <v>14.560406701547526</v>
        <stp/>
        <stp>##V3_BDPV12</stp>
        <stp>SJM Equity</stp>
        <stp>INTERVAL_AVG</stp>
        <stp>[Zach MARIANI KDP.xlsx]Comps!R13C77</stp>
        <stp>MARKET_DATA_OVERRIDE=BEST_PE_RATIO</stp>
        <stp xml:space="preserve">BEST_FPERIOD_OVERRIDE=1TY </stp>
        <stp xml:space="preserve">CALC_INTERVAL=5Y </stp>
        <tr r="BY13" s="5"/>
      </tp>
      <tp>
        <v>-8.8079999999999998</v>
        <stp/>
        <stp>##V3_BDPV12</stp>
        <stp>PPIDGNFT Index</stp>
        <stp>INTERVAL_PERCENT_CHANGE</stp>
        <stp>[Zach MARIANI KDP.xlsx]Tower!R253C39</stp>
        <stp>START_DATE_OVERRIDE</stp>
        <stp>20220630</stp>
        <stp>END_DATE_OVERRIDE</stp>
        <stp>20230630</stp>
        <tr r="AM253" s="2"/>
      </tp>
      <tp>
        <v>24.7425</v>
        <stp/>
        <stp>##V3_BDPV12</stp>
        <stp>PPIDGNFT Index</stp>
        <stp>INTERVAL_PERCENT_CHANGE</stp>
        <stp>[Zach MARIANI KDP.xlsx]Tower!R253C34</stp>
        <stp>START_DATE_OVERRIDE</stp>
        <stp>20210630</stp>
        <stp>END_DATE_OVERRIDE</stp>
        <stp>20220630</stp>
        <tr r="AH253" s="2"/>
      </tp>
      <tp>
        <v>9.2047000000000008</v>
        <stp/>
        <stp>##V3_BDPV12</stp>
        <stp>PPIDGNFT Index</stp>
        <stp>INTERVAL_PERCENT_CHANGE</stp>
        <stp>[Zach MARIANI KDP.xlsx]Tower!R253C14</stp>
        <stp>START_DATE_OVERRIDE</stp>
        <stp>20170630</stp>
        <stp>END_DATE_OVERRIDE</stp>
        <stp>20180630</stp>
        <tr r="N253" s="2"/>
      </tp>
      <tp>
        <v>18.275200000000002</v>
        <stp/>
        <stp>##V3_BDPV12</stp>
        <stp>PPIDGNFT Index</stp>
        <stp>INTERVAL_PERCENT_CHANGE</stp>
        <stp>[Zach MARIANI KDP.xlsx]Tower!R253C29</stp>
        <stp>START_DATE_OVERRIDE</stp>
        <stp>20200630</stp>
        <stp>END_DATE_OVERRIDE</stp>
        <stp>20210630</stp>
        <tr r="AC253" s="2"/>
      </tp>
      <tp>
        <v>-3.9447999999999999</v>
        <stp/>
        <stp>##V3_BDPV12</stp>
        <stp>PPIDGNFT Index</stp>
        <stp>INTERVAL_PERCENT_CHANGE</stp>
        <stp>[Zach MARIANI KDP.xlsx]Tower!R253C24</stp>
        <stp>START_DATE_OVERRIDE</stp>
        <stp>20190630</stp>
        <stp>END_DATE_OVERRIDE</stp>
        <stp>20200630</stp>
        <tr r="X253" s="2"/>
      </tp>
      <tp>
        <v>2.5624000000000002</v>
        <stp/>
        <stp>##V3_BDPV12</stp>
        <stp>PPIDGNFT Index</stp>
        <stp>INTERVAL_PERCENT_CHANGE</stp>
        <stp>[Zach MARIANI KDP.xlsx]Tower!R253C19</stp>
        <stp>START_DATE_OVERRIDE</stp>
        <stp>20180630</stp>
        <stp>END_DATE_OVERRIDE</stp>
        <stp>20190630</stp>
        <tr r="S253" s="2"/>
      </tp>
      <tp>
        <v>400000000</v>
        <stp/>
        <stp>##V3_BDPV12</stp>
        <stp>AL578753 Corp</stp>
        <stp>AMT_ISSUED</stp>
        <stp>[Zach MARIANI KDP.xlsx]Debt!R22C8</stp>
        <tr r="H22" s="7"/>
      </tp>
      <tp>
        <v>750000000</v>
        <stp/>
        <stp>##V3_BDPV12</stp>
        <stp>BH631196 Corp</stp>
        <stp>AMT_ISSUED</stp>
        <stp>[Zach MARIANI KDP.xlsx]Debt!R13C8</stp>
        <tr r="H13" s="7"/>
      </tp>
      <tp>
        <v>1150000000</v>
        <stp/>
        <stp>##V3_BDPV12</stp>
        <stp>BV815715 Corp</stp>
        <stp>AMT_ISSUED</stp>
        <stp>[Zach MARIANI KDP.xlsx]Debt!R12C8</stp>
        <tr r="H12" s="7"/>
      </tp>
      <tp>
        <v>15.78026915807207</v>
        <stp/>
        <stp>##V3_BDPV12</stp>
        <stp>SJM Equity</stp>
        <stp>INTERVAL_AVG</stp>
        <stp>[Zach MARIANI KDP.xlsx]Comps!R13C75</stp>
        <stp>MARKET_DATA_OVERRIDE=BEST_PE_RATIO</stp>
        <stp xml:space="preserve">BEST_FPERIOD_OVERRIDE=1TY </stp>
        <stp xml:space="preserve">CALC_INTERVAL=2Y </stp>
        <tr r="BW13" s="5"/>
      </tp>
      <tp>
        <v>24.459760710108096</v>
        <stp/>
        <stp>##V3_BDPV12</stp>
        <stp>PEP Equity</stp>
        <stp>INTERVAL_AVG</stp>
        <stp>[Zach MARIANI KDP.xlsx]Comps!R12C73</stp>
        <stp>MARKET_DATA_OVERRIDE=BEST_PE_RATIO</stp>
        <stp xml:space="preserve">BEST_FPERIOD_OVERRIDE=1TY </stp>
        <stp xml:space="preserve">CALC_INTERVAL=1Y </stp>
        <tr r="BU12" s="5"/>
      </tp>
      <tp>
        <v>27.48508838424484</v>
        <stp/>
        <stp>##V3_BDPV12</stp>
        <stp>SBUX Equity</stp>
        <stp>INTERVAL_AVG</stp>
        <stp>[Zach MARIANI KDP.xlsx]Comps!R14C73</stp>
        <stp>MARKET_DATA_OVERRIDE=BEST_PE_RATIO</stp>
        <stp xml:space="preserve">BEST_FPERIOD_OVERRIDE=1TY </stp>
        <stp xml:space="preserve">CALC_INTERVAL=1Y </stp>
        <tr r="BU14" s="5"/>
      </tp>
      <tp>
        <v>500000000</v>
        <stp/>
        <stp>##V3_BDPV12</stp>
        <stp>AL578101 Corp</stp>
        <stp>AMT_ISSUED</stp>
        <stp>[Zach MARIANI KDP.xlsx]Debt!R11C8</stp>
        <tr r="H11" s="7"/>
      </tp>
      <tp>
        <v>749898000</v>
        <stp/>
        <stp>##V3_BDPV12</stp>
        <stp>ZS464615 Corp</stp>
        <stp>AMT_ISSUED</stp>
        <stp>[Zach MARIANI KDP.xlsx]Debt!R24C8</stp>
        <tr r="H24" s="7"/>
      </tp>
      <tp t="s">
        <v>3/15/2024</v>
        <stp/>
        <stp>##V3_BDPV12</stp>
        <stp>BO339157 Corp</stp>
        <stp>MATURITY</stp>
        <stp>[Zach MARIANI KDP.xlsx]Debt!R7C5</stp>
        <tr r="E7" s="7"/>
      </tp>
      <tp t="s">
        <v>Y</v>
        <stp/>
        <stp>##V3_BDPV12</stp>
        <stp>BO339157 Corp</stp>
        <stp>CALLABLE</stp>
        <stp>[Zach MARIANI KDP.xlsx]Debt!R7C7</stp>
        <tr r="G7" s="7"/>
      </tp>
      <tp>
        <v>1000000000</v>
        <stp/>
        <stp>##V3_BDPV12</stp>
        <stp>AS645505 Corp</stp>
        <stp>AMT_ISSUED</stp>
        <stp>[Zach MARIANI KDP.xlsx]Debt!R25C8</stp>
        <tr r="H25" s="7"/>
      </tp>
      <tp>
        <v>500000000</v>
        <stp/>
        <stp>##V3_BDPV12</stp>
        <stp>QJ508221 Corp</stp>
        <stp>AMT_ISSUED</stp>
        <stp>[Zach MARIANI KDP.xlsx]Debt!R15C8</stp>
        <tr r="H15" s="7"/>
      </tp>
      <tp t="s">
        <v>Y</v>
        <stp/>
        <stp>##V3_BDPV12</stp>
        <stp>BV815700 Corp</stp>
        <stp>CALLABLE</stp>
        <stp>[Zach MARIANI KDP.xlsx]Debt!R8C7</stp>
        <tr r="G8" s="7"/>
      </tp>
      <tp t="s">
        <v>4/15/2032</v>
        <stp/>
        <stp>##V3_BDPV12</stp>
        <stp>BV815700 Corp</stp>
        <stp>MATURITY</stp>
        <stp>[Zach MARIANI KDP.xlsx]Debt!R8C5</stp>
        <tr r="E8" s="7"/>
      </tp>
      <tp>
        <v>23.879935954019828</v>
        <stp/>
        <stp>##V3_BDPV12</stp>
        <stp>KO Equity</stp>
        <stp>INTERVAL_AVG</stp>
        <stp>[Zach MARIANI KDP.xlsx]Comps!R11C77</stp>
        <stp>MARKET_DATA_OVERRIDE=BEST_PE_RATIO</stp>
        <stp xml:space="preserve">BEST_FPERIOD_OVERRIDE=1TY </stp>
        <stp xml:space="preserve">CALC_INTERVAL=5Y </stp>
        <tr r="BY11" s="5"/>
      </tp>
      <tp t="s">
        <v>BBB</v>
        <stp/>
        <stp>##V3_BDPV12</stp>
        <stp>ZS464615 Corp</stp>
        <stp>RTG_SP</stp>
        <stp>[Zach MARIANI KDP.xlsx]Debt!R24C13</stp>
        <tr r="M24" s="7"/>
      </tp>
      <tp t="s">
        <v>BBB</v>
        <stp/>
        <stp>##V3_BDPV12</stp>
        <stp>ZS464608 Corp</stp>
        <stp>RTG_SP</stp>
        <stp>[Zach MARIANI KDP.xlsx]Debt!R16C13</stp>
        <tr r="M16" s="7"/>
      </tp>
      <tp>
        <v>16.11212022931651</v>
        <stp/>
        <stp>##V3_BDPV12</stp>
        <stp>SJM Equity</stp>
        <stp>INTERVAL_AVG</stp>
        <stp>[Zach MARIANI KDP.xlsx]Comps!R13C73</stp>
        <stp>MARKET_DATA_OVERRIDE=BEST_PE_RATIO</stp>
        <stp xml:space="preserve">BEST_FPERIOD_OVERRIDE=1TY </stp>
        <stp xml:space="preserve">CALC_INTERVAL=1Y </stp>
        <tr r="BU13" s="5"/>
      </tp>
      <tp>
        <v>24.714937657663963</v>
        <stp/>
        <stp>##V3_BDPV12</stp>
        <stp>PEP Equity</stp>
        <stp>INTERVAL_AVG</stp>
        <stp>[Zach MARIANI KDP.xlsx]Comps!R12C75</stp>
        <stp>MARKET_DATA_OVERRIDE=BEST_PE_RATIO</stp>
        <stp xml:space="preserve">BEST_FPERIOD_OVERRIDE=1TY </stp>
        <stp xml:space="preserve">CALC_INTERVAL=2Y </stp>
        <tr r="BW12" s="5"/>
      </tp>
      <tp t="s">
        <v>Y</v>
        <stp/>
        <stp>##V3_BDPV12</stp>
        <stp>BV815699 Corp</stp>
        <stp>CALLABLE</stp>
        <stp>[Zach MARIANI KDP.xlsx]Debt!R9C7</stp>
        <tr r="G9" s="7"/>
      </tp>
      <tp t="s">
        <v>4/15/2029</v>
        <stp/>
        <stp>##V3_BDPV12</stp>
        <stp>BV815699 Corp</stp>
        <stp>MATURITY</stp>
        <stp>[Zach MARIANI KDP.xlsx]Debt!R9C5</stp>
        <tr r="E9" s="7"/>
      </tp>
      <tp>
        <v>0</v>
        <stp/>
        <stp>##V3_BDPV12</stp>
        <stp>KO Equity</stp>
        <stp>BS_PFD_EQY</stp>
        <stp>[Zach MARIANI KDP.xlsx]Comps!R11C60</stp>
        <stp>FUND_PER=Q</stp>
        <tr r="BH11" s="5"/>
      </tp>
      <tp>
        <v>27.441905921939526</v>
        <stp/>
        <stp>##V3_BDPV12</stp>
        <stp>SBUX Equity</stp>
        <stp>INTERVAL_AVG</stp>
        <stp>[Zach MARIANI KDP.xlsx]Comps!R14C75</stp>
        <stp>MARKET_DATA_OVERRIDE=BEST_PE_RATIO</stp>
        <stp xml:space="preserve">BEST_FPERIOD_OVERRIDE=1TY </stp>
        <stp xml:space="preserve">CALC_INTERVAL=2Y </stp>
        <tr r="BW14" s="5"/>
      </tp>
      <tp>
        <v>278</v>
        <stp/>
        <stp>##V3_BDPV12</stp>
        <stp>KDP Equity</stp>
        <stp>CASH_AND_MARKETABLE_SECURITIES</stp>
        <stp>[Zach MARIANI KDP.xlsx]Comps!R7C62</stp>
        <stp>FUND_PER=Q</stp>
        <tr r="BJ7" s="5"/>
      </tp>
      <tp>
        <v>20075.761999999999</v>
        <stp/>
        <stp>##V3_BDPV12</stp>
        <stp>NESN SW Equity</stp>
        <stp>BEST_EBITDA</stp>
        <stp>[Zach MARIANI KDP.xlsx]Comps!R15C93</stp>
        <stp>BEST_FPERIOD_OVERRIDE=23BC</stp>
        <tr r="CO15" s="5"/>
      </tp>
      <tp>
        <v>500000000</v>
        <stp/>
        <stp>##V3_BDPV12</stp>
        <stp>BO339158 Corp</stp>
        <stp>AMT_ISSUED</stp>
        <stp>[Zach MARIANI KDP.xlsx]Debt!R21C8</stp>
        <tr r="H21" s="7"/>
      </tp>
      <tp>
        <v>3.2</v>
        <stp/>
        <stp>##V3_BDPV12</stp>
        <stp>BH631195 Corp</stp>
        <stp>COUPON</stp>
        <stp>[Zach MARIANI KDP.xlsx]Debt!R14C11</stp>
        <tr r="K14" s="7"/>
      </tp>
      <tp>
        <v>3.8</v>
        <stp/>
        <stp>##V3_BDPV12</stp>
        <stp>BH631196 Corp</stp>
        <stp>COUPON</stp>
        <stp>[Zach MARIANI KDP.xlsx]Debt!R13C11</stp>
        <tr r="K13" s="7"/>
      </tp>
      <tp>
        <v>3620</v>
        <stp/>
        <stp>##V3_BDPV12</stp>
        <stp>SBUX Equity</stp>
        <stp>CASH_AND_MARKETABLE_SECURITIES</stp>
        <stp>[Zach MARIANI KDP.xlsx]Comps!R14C62</stp>
        <stp>FUND_PER=Q</stp>
        <tr r="BJ14" s="5"/>
      </tp>
      <tp>
        <v>4078</v>
        <stp/>
        <stp>##V3_BDPV12</stp>
        <stp>KDP Equity</stp>
        <stp>BEST_EBITDA</stp>
        <stp>[Zach MARIANI KDP.xlsx]Comps!R7C91</stp>
        <stp>BEST_FPERIOD_OVERRIDE=22BC</stp>
        <tr r="CM7" s="5"/>
      </tp>
      <tp>
        <v>19644</v>
        <stp/>
        <stp>##V3_BDPV12</stp>
        <stp>NESN SW Equity</stp>
        <stp>BEST_EBITDA</stp>
        <stp>[Zach MARIANI KDP.xlsx]Comps!R15C91</stp>
        <stp>BEST_FPERIOD_OVERRIDE=22BC</stp>
        <tr r="CM15" s="5"/>
      </tp>
      <tp>
        <v>498000000</v>
        <stp/>
        <stp>##V3_BDPV12</stp>
        <stp>AL578155 Corp</stp>
        <stp>AMT_ISSUED</stp>
        <stp>[Zach MARIANI KDP.xlsx]Debt!R19C8</stp>
        <tr r="H19" s="7"/>
      </tp>
      <tp>
        <v>4247.375</v>
        <stp/>
        <stp>##V3_BDPV12</stp>
        <stp>KDP Equity</stp>
        <stp>BEST_EBITDA</stp>
        <stp>[Zach MARIANI KDP.xlsx]Comps!R7C93</stp>
        <stp>BEST_FPERIOD_OVERRIDE=23BC</stp>
        <tr r="CO7" s="5"/>
      </tp>
      <tp>
        <v>18559</v>
        <stp/>
        <stp>##V3_BDPV12</stp>
        <stp>NESN SW Equity</stp>
        <stp>BEST_EBITDA</stp>
        <stp>[Zach MARIANI KDP.xlsx]Comps!R15C89</stp>
        <stp>BEST_FPERIOD_OVERRIDE=21BC</stp>
        <tr r="CK15" s="5"/>
      </tp>
      <tp>
        <v>500000000</v>
        <stp/>
        <stp>##V3_BDPV12</stp>
        <stp>ZS462329 Corp</stp>
        <stp>AMT_ISSUED</stp>
        <stp>[Zach MARIANI KDP.xlsx]Debt!R17C8</stp>
        <tr r="H17" s="7"/>
      </tp>
      <tp>
        <v>998300000</v>
        <stp/>
        <stp>##V3_BDPV12</stp>
        <stp>ZS464608 Corp</stp>
        <stp>AMT_ISSUED</stp>
        <stp>[Zach MARIANI KDP.xlsx]Debt!R16C8</stp>
        <tr r="H16" s="7"/>
      </tp>
      <tp>
        <v>4324.3450000000003</v>
        <stp/>
        <stp>##V3_BDPV12</stp>
        <stp>KO Equity</stp>
        <stp>EQY_SH_OUT</stp>
        <stp>[Zach MARIANI KDP.xlsx]Comps!R11C55</stp>
        <tr r="BC11" s="5"/>
      </tp>
      <tp>
        <v>3686</v>
        <stp/>
        <stp>##V3_BDPV12</stp>
        <stp>KDP Equity</stp>
        <stp>BEST_EBITDA</stp>
        <stp>[Zach MARIANI KDP.xlsx]Comps!R7C87</stp>
        <stp>BEST_FPERIOD_OVERRIDE=20BC</stp>
        <tr r="CI7" s="5"/>
      </tp>
      <tp>
        <v>8.4953000000000003</v>
        <stp/>
        <stp>##V3_BDPV12</stp>
        <stp>PPIDGNFT Index</stp>
        <stp>INTERVAL_PERCENT_CHANGE</stp>
        <stp>[Zach MARIANI KDP.xlsx]Tower!R253C15</stp>
        <stp>START_DATE_OVERRIDE</stp>
        <stp>20170930</stp>
        <stp>END_DATE_OVERRIDE</stp>
        <stp>20180930</stp>
        <tr r="O253" s="2"/>
      </tp>
      <tp>
        <v>0.72940000000000005</v>
        <stp/>
        <stp>##V3_BDPV12</stp>
        <stp>PPIDGNFT Index</stp>
        <stp>INTERVAL_PERCENT_CHANGE</stp>
        <stp>[Zach MARIANI KDP.xlsx]Tower!R253C25</stp>
        <stp>START_DATE_OVERRIDE</stp>
        <stp>20190930</stp>
        <stp>END_DATE_OVERRIDE</stp>
        <stp>20200930</stp>
        <tr r="Y253" s="2"/>
      </tp>
      <tp>
        <v>16.8062</v>
        <stp/>
        <stp>##V3_BDPV12</stp>
        <stp>PPIDGNFT Index</stp>
        <stp>INTERVAL_PERCENT_CHANGE</stp>
        <stp>[Zach MARIANI KDP.xlsx]Tower!R253C35</stp>
        <stp>START_DATE_OVERRIDE</stp>
        <stp>20210930</stp>
        <stp>END_DATE_OVERRIDE</stp>
        <stp>20220930</stp>
        <tr r="AI253" s="2"/>
      </tp>
      <tp>
        <v>17.7775</v>
        <stp/>
        <stp>##V3_BDPV12</stp>
        <stp>PPIDGNFT Index</stp>
        <stp>INTERVAL_PERCENT_CHANGE</stp>
        <stp>[Zach MARIANI KDP.xlsx]Tower!R253C30</stp>
        <stp>START_DATE_OVERRIDE</stp>
        <stp>20200930</stp>
        <stp>END_DATE_OVERRIDE</stp>
        <stp>20210930</stp>
        <tr r="AD253" s="2"/>
      </tp>
      <tp>
        <v>6.6400000000000001E-2</v>
        <stp/>
        <stp>##V3_BDPV12</stp>
        <stp>PPIDGNFT Index</stp>
        <stp>INTERVAL_PERCENT_CHANGE</stp>
        <stp>[Zach MARIANI KDP.xlsx]Tower!R253C20</stp>
        <stp>START_DATE_OVERRIDE</stp>
        <stp>20180930</stp>
        <stp>END_DATE_OVERRIDE</stp>
        <stp>20190930</stp>
        <tr r="T253" s="2"/>
      </tp>
      <tp>
        <v>-8.2518999999999991</v>
        <stp/>
        <stp>##V3_BDPV12</stp>
        <stp>PPIDGNFT Index</stp>
        <stp>INTERVAL_PERCENT_CHANGE</stp>
        <stp>[Zach MARIANI KDP.xlsx]Tower!R253C40</stp>
        <stp>START_DATE_OVERRIDE</stp>
        <stp>20220930</stp>
        <stp>END_DATE_OVERRIDE</stp>
        <stp>20230930</stp>
        <tr r="AN253" s="2"/>
      </tp>
      <tp>
        <v>18368</v>
        <stp/>
        <stp>##V3_BDPV12</stp>
        <stp>NESN SW Equity</stp>
        <stp>BEST_EBITDA</stp>
        <stp>[Zach MARIANI KDP.xlsx]Comps!R15C87</stp>
        <stp>BEST_FPERIOD_OVERRIDE=20BC</stp>
        <tr r="CI15" s="5"/>
      </tp>
      <tp>
        <v>2.3199999999999998</v>
        <stp/>
        <stp>##V3_BDPV12</stp>
        <stp>KO Equity</stp>
        <stp>IS_ADJUSTED_EPS_AS_REPORTED</stp>
        <stp>[Zach MARIANI KDP.xlsx]Comps!R11C121</stp>
        <stp>EQY_FUND_YEAR=2021</stp>
        <tr r="DQ11" s="5"/>
      </tp>
      <tp>
        <v>2.48</v>
        <stp/>
        <stp>##V3_BDPV12</stp>
        <stp>KO Equity</stp>
        <stp>IS_ADJUSTED_EPS_AS_REPORTED</stp>
        <stp>[Zach MARIANI KDP.xlsx]Comps!R11C123</stp>
        <stp>EQY_FUND_YEAR=2022</stp>
        <tr r="DS11" s="5"/>
      </tp>
      <tp>
        <v>1.95</v>
        <stp/>
        <stp>##V3_BDPV12</stp>
        <stp>KO Equity</stp>
        <stp>IS_ADJUSTED_EPS_AS_REPORTED</stp>
        <stp>[Zach MARIANI KDP.xlsx]Comps!R11C119</stp>
        <stp>EQY_FUND_YEAR=2020</stp>
        <tr r="DO11" s="5"/>
      </tp>
      <tp t="s">
        <v>BBB</v>
        <stp/>
        <stp>##V3_BDPV12</stp>
        <stp>QZ493040 Corp</stp>
        <stp>RTG_SP</stp>
        <stp>[Zach MARIANI KDP.xlsx]Debt!R20C13</stp>
        <tr r="M20" s="7"/>
      </tp>
      <tp>
        <v>500000000</v>
        <stp/>
        <stp>##V3_BDPV12</stp>
        <stp>BO339159 Corp</stp>
        <stp>AMT_ISSUED</stp>
        <stp>[Zach MARIANI KDP.xlsx]Debt!R23C8</stp>
        <tr r="H23" s="7"/>
      </tp>
      <tp>
        <v>400000000</v>
        <stp/>
        <stp>##V3_BDPV12</stp>
        <stp>QZ493040 Corp</stp>
        <stp>AMT_ISSUED</stp>
        <stp>[Zach MARIANI KDP.xlsx]Debt!R20C8</stp>
        <tr r="H20" s="7"/>
      </tp>
      <tp>
        <v>2.48</v>
        <stp/>
        <stp>##V3_BDPV12</stp>
        <stp>KO Equity</stp>
        <stp>IS_ADJUSTED_EPS_AS_REPORTED</stp>
        <stp>[Zach MARIANI KDP.xlsx]Comps!R11C125</stp>
        <stp>EQY_FUND_YEAR=-0FY</stp>
        <tr r="DU11" s="5"/>
      </tp>
      <tp>
        <v>4129</v>
        <stp/>
        <stp>##V3_BDPV12</stp>
        <stp>KDP Equity</stp>
        <stp>BEST_EBITDA</stp>
        <stp>[Zach MARIANI KDP.xlsx]Comps!R7C89</stp>
        <stp>BEST_FPERIOD_OVERRIDE=21BC</stp>
        <tr r="CK7" s="5"/>
      </tp>
      <tp>
        <v>10.8</v>
        <stp/>
        <stp>##V3_BDPV12</stp>
        <stp>KDP Equity</stp>
        <stp>ORGANIC_GROWTH</stp>
        <stp>[Zach MARIANI KDP.xlsx]Comps!R7C109</stp>
        <stp>EQY_FUND_RELATIVE_PERIOD=-0FY</stp>
        <tr r="DE7" s="5"/>
      </tp>
      <tp>
        <v>4.5</v>
        <stp/>
        <stp>##V3_BDPV12</stp>
        <stp>BV815715 Corp</stp>
        <stp>COUPON</stp>
        <stp>[Zach MARIANI KDP.xlsx]Debt!R12C11</stp>
        <tr r="K12" s="7"/>
      </tp>
      <tp>
        <v>550000000</v>
        <stp/>
        <stp>##V3_BDPV12</stp>
        <stp>QJ508726 Corp</stp>
        <stp>AMT_ISSUED</stp>
        <stp>[Zach MARIANI KDP.xlsx]Debt!R18C8</stp>
        <tr r="H18" s="7"/>
      </tp>
      <tp>
        <v>2.7149999999999999</v>
        <stp/>
        <stp>##V3_BDPV12</stp>
        <stp>KO Equity</stp>
        <stp>BEST_EPS</stp>
        <stp>[Zach MARIANI KDP.xlsx]Comps!R11C64</stp>
        <stp>BEST_FPERIOD_OVERRIDE=1TY</stp>
        <tr r="BL11" s="5"/>
      </tp>
      <tp t="s">
        <v>#N/A Field Not Applicable</v>
        <stp/>
        <stp>##V3_BDPV12</stp>
        <stp>BL389364 Corp</stp>
        <stp>AMT_ISSUED</stp>
        <stp>[Zach MARIANI KDP.xlsx]Debt!R31C8</stp>
        <tr r="H31" s="7"/>
      </tp>
      <tp>
        <v>4.4169999999999998</v>
        <stp/>
        <stp>##V3_BDPV12</stp>
        <stp>AS645505 Corp</stp>
        <stp>COUPON</stp>
        <stp>[Zach MARIANI KDP.xlsx]Debt!R25C11</stp>
        <tr r="K25" s="7"/>
      </tp>
      <tp t="s">
        <v>#N/A N/A</v>
        <stp/>
        <stp>##V3_BDPV12</stp>
        <stp>SBUX Equity</stp>
        <stp>ORGANIC_GROWTH</stp>
        <stp>[Zach MARIANI KDP.xlsx]Comps!R14C109</stp>
        <stp>EQY_FUND_RELATIVE_PERIOD=-0FY</stp>
        <tr r="DE14" s="5"/>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volatileDependencies" Target="volatileDependenci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and</a:t>
            </a:r>
            <a:r>
              <a:rPr lang="en-US" baseline="0"/>
              <a:t> Volume for K-Cups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Figures!$C$5</c:f>
              <c:strCache>
                <c:ptCount val="1"/>
                <c:pt idx="0">
                  <c:v>K-Cup Pods, Revenue</c:v>
                </c:pt>
              </c:strCache>
            </c:strRef>
          </c:tx>
          <c:spPr>
            <a:ln w="28575" cap="rnd">
              <a:solidFill>
                <a:schemeClr val="accent1"/>
              </a:solidFill>
              <a:round/>
            </a:ln>
            <a:effectLst/>
          </c:spPr>
          <c:marker>
            <c:symbol val="none"/>
          </c:marker>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Figures!$F$5:$Y$5</c:f>
              <c:numCache>
                <c:formatCode>#,##0_);\(#,##0\)</c:formatCode>
                <c:ptCount val="20"/>
                <c:pt idx="0">
                  <c:v>674.37125178047756</c:v>
                </c:pt>
                <c:pt idx="1">
                  <c:v>735.83035244708083</c:v>
                </c:pt>
                <c:pt idx="2">
                  <c:v>654.73250197483424</c:v>
                </c:pt>
                <c:pt idx="3">
                  <c:v>644.40942346060444</c:v>
                </c:pt>
                <c:pt idx="4">
                  <c:v>682.05639425091033</c:v>
                </c:pt>
                <c:pt idx="5">
                  <c:v>764.9095588152644</c:v>
                </c:pt>
                <c:pt idx="6">
                  <c:v>658.11438473296869</c:v>
                </c:pt>
                <c:pt idx="7">
                  <c:v>678.90810976708121</c:v>
                </c:pt>
                <c:pt idx="8">
                  <c:v>702.55010750539782</c:v>
                </c:pt>
                <c:pt idx="9">
                  <c:v>834.44679143483393</c:v>
                </c:pt>
                <c:pt idx="10">
                  <c:v>788.34588441330993</c:v>
                </c:pt>
                <c:pt idx="11">
                  <c:v>720.80381471389649</c:v>
                </c:pt>
                <c:pt idx="12">
                  <c:v>735.6675324675324</c:v>
                </c:pt>
                <c:pt idx="13">
                  <c:v>830.15174506828521</c:v>
                </c:pt>
                <c:pt idx="14">
                  <c:v>749</c:v>
                </c:pt>
                <c:pt idx="15">
                  <c:v>798</c:v>
                </c:pt>
                <c:pt idx="16">
                  <c:v>789.15219189412744</c:v>
                </c:pt>
                <c:pt idx="17">
                  <c:v>949.25589225589215</c:v>
                </c:pt>
                <c:pt idx="18">
                  <c:v>771</c:v>
                </c:pt>
                <c:pt idx="19">
                  <c:v>761</c:v>
                </c:pt>
              </c:numCache>
            </c:numRef>
          </c:val>
          <c:smooth val="0"/>
          <c:extLst>
            <c:ext xmlns:c16="http://schemas.microsoft.com/office/drawing/2014/chart" uri="{C3380CC4-5D6E-409C-BE32-E72D297353CC}">
              <c16:uniqueId val="{00000001-CF1C-4E09-8A73-38B9EA77A8F5}"/>
            </c:ext>
          </c:extLst>
        </c:ser>
        <c:ser>
          <c:idx val="2"/>
          <c:order val="1"/>
          <c:tx>
            <c:strRef>
              <c:f>Figures!$C$6</c:f>
              <c:strCache>
                <c:ptCount val="1"/>
                <c:pt idx="0">
                  <c:v>K-Cup Pods, Volume</c:v>
                </c:pt>
              </c:strCache>
            </c:strRef>
          </c:tx>
          <c:spPr>
            <a:ln w="28575" cap="rnd">
              <a:solidFill>
                <a:schemeClr val="accent1">
                  <a:tint val="65000"/>
                </a:schemeClr>
              </a:solidFill>
              <a:round/>
            </a:ln>
            <a:effectLst/>
          </c:spPr>
          <c:marker>
            <c:symbol val="none"/>
          </c:marker>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Figures!$F$6:$Y$6</c:f>
              <c:numCache>
                <c:formatCode>#,##0_);\(#,##0\)</c:formatCode>
                <c:ptCount val="20"/>
                <c:pt idx="0">
                  <c:v>1062.0019713078386</c:v>
                </c:pt>
                <c:pt idx="1">
                  <c:v>1167.9846864239378</c:v>
                </c:pt>
                <c:pt idx="2">
                  <c:v>1064.6056942680232</c:v>
                </c:pt>
                <c:pt idx="3">
                  <c:v>1056.4088909190236</c:v>
                </c:pt>
                <c:pt idx="4">
                  <c:v>1127.3659409105956</c:v>
                </c:pt>
                <c:pt idx="5">
                  <c:v>1274.8492646921075</c:v>
                </c:pt>
                <c:pt idx="6">
                  <c:v>1106.0745961898633</c:v>
                </c:pt>
                <c:pt idx="7">
                  <c:v>1150.6917114696291</c:v>
                </c:pt>
                <c:pt idx="8">
                  <c:v>1200.9403547100819</c:v>
                </c:pt>
                <c:pt idx="9">
                  <c:v>1438.7013645428171</c:v>
                </c:pt>
                <c:pt idx="10">
                  <c:v>1371.0363207188</c:v>
                </c:pt>
                <c:pt idx="11">
                  <c:v>1264.5680959892923</c:v>
                </c:pt>
                <c:pt idx="12">
                  <c:v>1302.0664291460751</c:v>
                </c:pt>
                <c:pt idx="13">
                  <c:v>1482.4138304790806</c:v>
                </c:pt>
                <c:pt idx="14">
                  <c:v>1349.5495495495495</c:v>
                </c:pt>
                <c:pt idx="15">
                  <c:v>1450.9090909090908</c:v>
                </c:pt>
                <c:pt idx="16">
                  <c:v>1447.9856732002338</c:v>
                </c:pt>
                <c:pt idx="17">
                  <c:v>1757.8812819553557</c:v>
                </c:pt>
                <c:pt idx="18">
                  <c:v>1441.1214953271028</c:v>
                </c:pt>
                <c:pt idx="19">
                  <c:v>1435.8490566037735</c:v>
                </c:pt>
              </c:numCache>
            </c:numRef>
          </c:val>
          <c:smooth val="0"/>
          <c:extLst>
            <c:ext xmlns:c16="http://schemas.microsoft.com/office/drawing/2014/chart" uri="{C3380CC4-5D6E-409C-BE32-E72D297353CC}">
              <c16:uniqueId val="{00000002-CF1C-4E09-8A73-38B9EA77A8F5}"/>
            </c:ext>
          </c:extLst>
        </c:ser>
        <c:dLbls>
          <c:showLegendKey val="0"/>
          <c:showVal val="0"/>
          <c:showCatName val="0"/>
          <c:showSerName val="0"/>
          <c:showPercent val="0"/>
          <c:showBubbleSize val="0"/>
        </c:dLbls>
        <c:smooth val="0"/>
        <c:axId val="747167951"/>
        <c:axId val="2135489072"/>
      </c:lineChart>
      <c:catAx>
        <c:axId val="74716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489072"/>
        <c:crosses val="autoZero"/>
        <c:auto val="1"/>
        <c:lblAlgn val="ctr"/>
        <c:lblOffset val="100"/>
        <c:noMultiLvlLbl val="0"/>
      </c:catAx>
      <c:valAx>
        <c:axId val="2135489072"/>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167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Organic North</a:t>
            </a:r>
            <a:r>
              <a:rPr lang="en-US" baseline="0"/>
              <a:t> American Beverage Growth, KDP vs Peers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Figures!$C$8</c:f>
              <c:strCache>
                <c:ptCount val="1"/>
                <c:pt idx="0">
                  <c:v>KDP Organic Bevs</c:v>
                </c:pt>
              </c:strCache>
            </c:strRef>
          </c:tx>
          <c:spPr>
            <a:ln w="28575" cap="rnd">
              <a:solidFill>
                <a:schemeClr val="accent1"/>
              </a:solidFill>
              <a:round/>
            </a:ln>
            <a:effectLst/>
          </c:spPr>
          <c:marker>
            <c:symbol val="none"/>
          </c:marker>
          <c:cat>
            <c:strRef>
              <c:f>Figures!$D$3:$Y$3</c:f>
              <c:strCache>
                <c:ptCount val="22"/>
                <c:pt idx="0">
                  <c:v>Q1-FY2018</c:v>
                </c:pt>
                <c:pt idx="1">
                  <c:v>Q2-FY2018</c:v>
                </c:pt>
                <c:pt idx="2">
                  <c:v>Q3-FY2018</c:v>
                </c:pt>
                <c:pt idx="3">
                  <c:v>Q4-FY2018</c:v>
                </c:pt>
                <c:pt idx="4">
                  <c:v>Q1-FY2019</c:v>
                </c:pt>
                <c:pt idx="5">
                  <c:v>Q2-FY2019</c:v>
                </c:pt>
                <c:pt idx="6">
                  <c:v>Q3-FY2019</c:v>
                </c:pt>
                <c:pt idx="7">
                  <c:v>Q4-FY2019</c:v>
                </c:pt>
                <c:pt idx="8">
                  <c:v>Q1-FY2020</c:v>
                </c:pt>
                <c:pt idx="9">
                  <c:v>Q2-FY2020</c:v>
                </c:pt>
                <c:pt idx="10">
                  <c:v>Q3-FY2020</c:v>
                </c:pt>
                <c:pt idx="11">
                  <c:v>Q4-FY2020</c:v>
                </c:pt>
                <c:pt idx="12">
                  <c:v>Q1-FY2021</c:v>
                </c:pt>
                <c:pt idx="13">
                  <c:v>Q2-FY2021</c:v>
                </c:pt>
                <c:pt idx="14">
                  <c:v>Q3-FY2021</c:v>
                </c:pt>
                <c:pt idx="15">
                  <c:v>Q4-FY2021</c:v>
                </c:pt>
                <c:pt idx="16">
                  <c:v>Q1-FY2022</c:v>
                </c:pt>
                <c:pt idx="17">
                  <c:v>Q2-FY2022</c:v>
                </c:pt>
                <c:pt idx="18">
                  <c:v>Q3-FY2022</c:v>
                </c:pt>
                <c:pt idx="19">
                  <c:v>Q4-FY2022</c:v>
                </c:pt>
                <c:pt idx="20">
                  <c:v>Q1-FY2023</c:v>
                </c:pt>
                <c:pt idx="21">
                  <c:v>Q2-FY2023</c:v>
                </c:pt>
              </c:strCache>
            </c:strRef>
          </c:cat>
          <c:val>
            <c:numRef>
              <c:f>Figures!$D$8:$Y$8</c:f>
              <c:numCache>
                <c:formatCode>0.0%</c:formatCode>
                <c:ptCount val="22"/>
                <c:pt idx="0">
                  <c:v>0</c:v>
                </c:pt>
                <c:pt idx="1">
                  <c:v>0</c:v>
                </c:pt>
                <c:pt idx="2">
                  <c:v>4.2000000000000003E-2</c:v>
                </c:pt>
                <c:pt idx="3">
                  <c:v>4.65E-2</c:v>
                </c:pt>
                <c:pt idx="4">
                  <c:v>3.2500000000000001E-2</c:v>
                </c:pt>
                <c:pt idx="5">
                  <c:v>2.1499999999999998E-2</c:v>
                </c:pt>
                <c:pt idx="6">
                  <c:v>5.9499999999999997E-2</c:v>
                </c:pt>
                <c:pt idx="7">
                  <c:v>5.7500000000000002E-2</c:v>
                </c:pt>
                <c:pt idx="8">
                  <c:v>4.9000000000000002E-2</c:v>
                </c:pt>
                <c:pt idx="9">
                  <c:v>-4.9500000000000002E-2</c:v>
                </c:pt>
                <c:pt idx="10">
                  <c:v>4.2500000000000003E-2</c:v>
                </c:pt>
                <c:pt idx="11">
                  <c:v>1.0500000000000001E-2</c:v>
                </c:pt>
                <c:pt idx="12">
                  <c:v>6.7000000000000004E-2</c:v>
                </c:pt>
                <c:pt idx="13">
                  <c:v>9.6000000000000002E-2</c:v>
                </c:pt>
                <c:pt idx="14">
                  <c:v>7.9000000000000001E-2</c:v>
                </c:pt>
                <c:pt idx="15">
                  <c:v>0.15699999999999997</c:v>
                </c:pt>
                <c:pt idx="16">
                  <c:v>0.128</c:v>
                </c:pt>
                <c:pt idx="17">
                  <c:v>0.153</c:v>
                </c:pt>
                <c:pt idx="18">
                  <c:v>0.14400000000000002</c:v>
                </c:pt>
                <c:pt idx="19">
                  <c:v>0.11499999999999999</c:v>
                </c:pt>
                <c:pt idx="20">
                  <c:v>0.127</c:v>
                </c:pt>
                <c:pt idx="21">
                  <c:v>0.11799999999999999</c:v>
                </c:pt>
              </c:numCache>
            </c:numRef>
          </c:val>
          <c:smooth val="0"/>
          <c:extLst>
            <c:ext xmlns:c16="http://schemas.microsoft.com/office/drawing/2014/chart" uri="{C3380CC4-5D6E-409C-BE32-E72D297353CC}">
              <c16:uniqueId val="{00000000-2730-4E36-8A17-798472CFEF04}"/>
            </c:ext>
          </c:extLst>
        </c:ser>
        <c:ser>
          <c:idx val="1"/>
          <c:order val="1"/>
          <c:tx>
            <c:strRef>
              <c:f>Figures!$C$9</c:f>
              <c:strCache>
                <c:ptCount val="1"/>
                <c:pt idx="0">
                  <c:v>KO Organic Bevs</c:v>
                </c:pt>
              </c:strCache>
            </c:strRef>
          </c:tx>
          <c:spPr>
            <a:ln w="28575" cap="rnd">
              <a:solidFill>
                <a:schemeClr val="accent2"/>
              </a:solidFill>
              <a:round/>
            </a:ln>
            <a:effectLst/>
          </c:spPr>
          <c:marker>
            <c:symbol val="none"/>
          </c:marker>
          <c:cat>
            <c:strRef>
              <c:f>Figures!$D$3:$Y$3</c:f>
              <c:strCache>
                <c:ptCount val="22"/>
                <c:pt idx="0">
                  <c:v>Q1-FY2018</c:v>
                </c:pt>
                <c:pt idx="1">
                  <c:v>Q2-FY2018</c:v>
                </c:pt>
                <c:pt idx="2">
                  <c:v>Q3-FY2018</c:v>
                </c:pt>
                <c:pt idx="3">
                  <c:v>Q4-FY2018</c:v>
                </c:pt>
                <c:pt idx="4">
                  <c:v>Q1-FY2019</c:v>
                </c:pt>
                <c:pt idx="5">
                  <c:v>Q2-FY2019</c:v>
                </c:pt>
                <c:pt idx="6">
                  <c:v>Q3-FY2019</c:v>
                </c:pt>
                <c:pt idx="7">
                  <c:v>Q4-FY2019</c:v>
                </c:pt>
                <c:pt idx="8">
                  <c:v>Q1-FY2020</c:v>
                </c:pt>
                <c:pt idx="9">
                  <c:v>Q2-FY2020</c:v>
                </c:pt>
                <c:pt idx="10">
                  <c:v>Q3-FY2020</c:v>
                </c:pt>
                <c:pt idx="11">
                  <c:v>Q4-FY2020</c:v>
                </c:pt>
                <c:pt idx="12">
                  <c:v>Q1-FY2021</c:v>
                </c:pt>
                <c:pt idx="13">
                  <c:v>Q2-FY2021</c:v>
                </c:pt>
                <c:pt idx="14">
                  <c:v>Q3-FY2021</c:v>
                </c:pt>
                <c:pt idx="15">
                  <c:v>Q4-FY2021</c:v>
                </c:pt>
                <c:pt idx="16">
                  <c:v>Q1-FY2022</c:v>
                </c:pt>
                <c:pt idx="17">
                  <c:v>Q2-FY2022</c:v>
                </c:pt>
                <c:pt idx="18">
                  <c:v>Q3-FY2022</c:v>
                </c:pt>
                <c:pt idx="19">
                  <c:v>Q4-FY2022</c:v>
                </c:pt>
                <c:pt idx="20">
                  <c:v>Q1-FY2023</c:v>
                </c:pt>
                <c:pt idx="21">
                  <c:v>Q2-FY2023</c:v>
                </c:pt>
              </c:strCache>
            </c:strRef>
          </c:cat>
          <c:val>
            <c:numRef>
              <c:f>Figures!$D$9:$Y$9</c:f>
              <c:numCache>
                <c:formatCode>0.0%</c:formatCode>
                <c:ptCount val="22"/>
                <c:pt idx="0">
                  <c:v>9.9086598153846194E-3</c:v>
                </c:pt>
                <c:pt idx="1">
                  <c:v>-1.7406396569230771E-2</c:v>
                </c:pt>
                <c:pt idx="2">
                  <c:v>1.34165906E-2</c:v>
                </c:pt>
                <c:pt idx="3">
                  <c:v>-6.9230769230769207E-3</c:v>
                </c:pt>
                <c:pt idx="4">
                  <c:v>1.0198576707976352E-2</c:v>
                </c:pt>
                <c:pt idx="5">
                  <c:v>2.9804087847572738E-2</c:v>
                </c:pt>
                <c:pt idx="6">
                  <c:v>2.1704069706010822E-2</c:v>
                </c:pt>
                <c:pt idx="7">
                  <c:v>4.8831794715612373E-2</c:v>
                </c:pt>
                <c:pt idx="8">
                  <c:v>4.012580951381526E-2</c:v>
                </c:pt>
                <c:pt idx="9">
                  <c:v>-0.17964690369672712</c:v>
                </c:pt>
                <c:pt idx="10">
                  <c:v>-2.9785489780683065E-2</c:v>
                </c:pt>
                <c:pt idx="11">
                  <c:v>-0.03</c:v>
                </c:pt>
                <c:pt idx="12">
                  <c:v>4.0037593984962407E-2</c:v>
                </c:pt>
                <c:pt idx="13">
                  <c:v>0.27865318720663745</c:v>
                </c:pt>
                <c:pt idx="14">
                  <c:v>0.12134872875115987</c:v>
                </c:pt>
                <c:pt idx="15">
                  <c:v>0.13166666666666665</c:v>
                </c:pt>
                <c:pt idx="16">
                  <c:v>0.14000000000000001</c:v>
                </c:pt>
                <c:pt idx="17">
                  <c:v>0.13074878987756633</c:v>
                </c:pt>
                <c:pt idx="18">
                  <c:v>0.14076017674106206</c:v>
                </c:pt>
                <c:pt idx="19">
                  <c:v>0.1277981670217993</c:v>
                </c:pt>
                <c:pt idx="20">
                  <c:v>8.9947842646807982E-2</c:v>
                </c:pt>
                <c:pt idx="21">
                  <c:v>8.8670254487469569E-2</c:v>
                </c:pt>
              </c:numCache>
            </c:numRef>
          </c:val>
          <c:smooth val="0"/>
          <c:extLst>
            <c:ext xmlns:c16="http://schemas.microsoft.com/office/drawing/2014/chart" uri="{C3380CC4-5D6E-409C-BE32-E72D297353CC}">
              <c16:uniqueId val="{00000001-2730-4E36-8A17-798472CFEF04}"/>
            </c:ext>
          </c:extLst>
        </c:ser>
        <c:ser>
          <c:idx val="2"/>
          <c:order val="2"/>
          <c:tx>
            <c:strRef>
              <c:f>Figures!$C$10</c:f>
              <c:strCache>
                <c:ptCount val="1"/>
                <c:pt idx="0">
                  <c:v>PEP Organic Bevs</c:v>
                </c:pt>
              </c:strCache>
            </c:strRef>
          </c:tx>
          <c:spPr>
            <a:ln w="28575" cap="rnd">
              <a:solidFill>
                <a:schemeClr val="accent3"/>
              </a:solidFill>
              <a:round/>
            </a:ln>
            <a:effectLst/>
          </c:spPr>
          <c:marker>
            <c:symbol val="none"/>
          </c:marker>
          <c:cat>
            <c:strRef>
              <c:f>Figures!$D$3:$Y$3</c:f>
              <c:strCache>
                <c:ptCount val="22"/>
                <c:pt idx="0">
                  <c:v>Q1-FY2018</c:v>
                </c:pt>
                <c:pt idx="1">
                  <c:v>Q2-FY2018</c:v>
                </c:pt>
                <c:pt idx="2">
                  <c:v>Q3-FY2018</c:v>
                </c:pt>
                <c:pt idx="3">
                  <c:v>Q4-FY2018</c:v>
                </c:pt>
                <c:pt idx="4">
                  <c:v>Q1-FY2019</c:v>
                </c:pt>
                <c:pt idx="5">
                  <c:v>Q2-FY2019</c:v>
                </c:pt>
                <c:pt idx="6">
                  <c:v>Q3-FY2019</c:v>
                </c:pt>
                <c:pt idx="7">
                  <c:v>Q4-FY2019</c:v>
                </c:pt>
                <c:pt idx="8">
                  <c:v>Q1-FY2020</c:v>
                </c:pt>
                <c:pt idx="9">
                  <c:v>Q2-FY2020</c:v>
                </c:pt>
                <c:pt idx="10">
                  <c:v>Q3-FY2020</c:v>
                </c:pt>
                <c:pt idx="11">
                  <c:v>Q4-FY2020</c:v>
                </c:pt>
                <c:pt idx="12">
                  <c:v>Q1-FY2021</c:v>
                </c:pt>
                <c:pt idx="13">
                  <c:v>Q2-FY2021</c:v>
                </c:pt>
                <c:pt idx="14">
                  <c:v>Q3-FY2021</c:v>
                </c:pt>
                <c:pt idx="15">
                  <c:v>Q4-FY2021</c:v>
                </c:pt>
                <c:pt idx="16">
                  <c:v>Q1-FY2022</c:v>
                </c:pt>
                <c:pt idx="17">
                  <c:v>Q2-FY2022</c:v>
                </c:pt>
                <c:pt idx="18">
                  <c:v>Q3-FY2022</c:v>
                </c:pt>
                <c:pt idx="19">
                  <c:v>Q4-FY2022</c:v>
                </c:pt>
                <c:pt idx="20">
                  <c:v>Q1-FY2023</c:v>
                </c:pt>
                <c:pt idx="21">
                  <c:v>Q2-FY2023</c:v>
                </c:pt>
              </c:strCache>
            </c:strRef>
          </c:cat>
          <c:val>
            <c:numRef>
              <c:f>Figures!$D$10:$Y$10</c:f>
              <c:numCache>
                <c:formatCode>0.0%</c:formatCode>
                <c:ptCount val="22"/>
                <c:pt idx="0">
                  <c:v>-1.8469012303205131E-2</c:v>
                </c:pt>
                <c:pt idx="1">
                  <c:v>-1.019563144166667E-2</c:v>
                </c:pt>
                <c:pt idx="2">
                  <c:v>2.777131783333333E-2</c:v>
                </c:pt>
                <c:pt idx="3">
                  <c:v>1.9346264531818182E-2</c:v>
                </c:pt>
                <c:pt idx="4">
                  <c:v>2.1773898714102558E-2</c:v>
                </c:pt>
                <c:pt idx="5">
                  <c:v>1.9986761025000004E-2</c:v>
                </c:pt>
                <c:pt idx="6">
                  <c:v>2.3253618693134814E-2</c:v>
                </c:pt>
                <c:pt idx="7">
                  <c:v>3.433639560141024E-2</c:v>
                </c:pt>
                <c:pt idx="8">
                  <c:v>6.4444444444444443E-2</c:v>
                </c:pt>
                <c:pt idx="9">
                  <c:v>-7.637062937062937E-2</c:v>
                </c:pt>
                <c:pt idx="10">
                  <c:v>3.4444444444444437E-2</c:v>
                </c:pt>
                <c:pt idx="11">
                  <c:v>6.0231898728282829E-2</c:v>
                </c:pt>
                <c:pt idx="12">
                  <c:v>1.6005050505050515E-2</c:v>
                </c:pt>
                <c:pt idx="13">
                  <c:v>0.20555555555555557</c:v>
                </c:pt>
                <c:pt idx="14">
                  <c:v>6.9960137633333336E-2</c:v>
                </c:pt>
                <c:pt idx="15">
                  <c:v>0.11969669226666667</c:v>
                </c:pt>
                <c:pt idx="16">
                  <c:v>0.12149862042000001</c:v>
                </c:pt>
                <c:pt idx="17">
                  <c:v>9.01E-2</c:v>
                </c:pt>
                <c:pt idx="18">
                  <c:v>0.12939953423646017</c:v>
                </c:pt>
                <c:pt idx="19">
                  <c:v>0.10745733934166062</c:v>
                </c:pt>
                <c:pt idx="20">
                  <c:v>0.11937554132771765</c:v>
                </c:pt>
                <c:pt idx="21">
                  <c:v>9.9614379084967369E-2</c:v>
                </c:pt>
              </c:numCache>
            </c:numRef>
          </c:val>
          <c:smooth val="0"/>
          <c:extLst>
            <c:ext xmlns:c16="http://schemas.microsoft.com/office/drawing/2014/chart" uri="{C3380CC4-5D6E-409C-BE32-E72D297353CC}">
              <c16:uniqueId val="{00000002-2730-4E36-8A17-798472CFEF04}"/>
            </c:ext>
          </c:extLst>
        </c:ser>
        <c:dLbls>
          <c:showLegendKey val="0"/>
          <c:showVal val="0"/>
          <c:showCatName val="0"/>
          <c:showSerName val="0"/>
          <c:showPercent val="0"/>
          <c:showBubbleSize val="0"/>
        </c:dLbls>
        <c:smooth val="0"/>
        <c:axId val="1690589311"/>
        <c:axId val="571805551"/>
      </c:lineChart>
      <c:catAx>
        <c:axId val="169058931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805551"/>
        <c:crosses val="autoZero"/>
        <c:auto val="1"/>
        <c:lblAlgn val="ctr"/>
        <c:lblOffset val="100"/>
        <c:noMultiLvlLbl val="0"/>
      </c:catAx>
      <c:valAx>
        <c:axId val="57180555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589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KDP</a:t>
            </a:r>
            <a:r>
              <a:rPr lang="en-US" baseline="0"/>
              <a:t> Beverage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Figures!$C$15</c:f>
              <c:strCache>
                <c:ptCount val="1"/>
                <c:pt idx="0">
                  <c:v>Volume growth - US - Refreshment beverages</c:v>
                </c:pt>
              </c:strCache>
            </c:strRef>
          </c:tx>
          <c:spPr>
            <a:solidFill>
              <a:schemeClr val="accent6">
                <a:tint val="65000"/>
              </a:schemeClr>
            </a:solidFill>
            <a:ln>
              <a:noFill/>
            </a:ln>
            <a:effectLst/>
          </c:spPr>
          <c:invertIfNegative val="0"/>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Figures!$F$15:$Y$15</c:f>
              <c:numCache>
                <c:formatCode>0.0%</c:formatCode>
                <c:ptCount val="20"/>
                <c:pt idx="0">
                  <c:v>3.1E-2</c:v>
                </c:pt>
                <c:pt idx="1">
                  <c:v>2.5249999999999998E-2</c:v>
                </c:pt>
                <c:pt idx="2">
                  <c:v>-1.4499999999999999E-2</c:v>
                </c:pt>
                <c:pt idx="3">
                  <c:v>-1.0500000000000001E-2</c:v>
                </c:pt>
                <c:pt idx="4">
                  <c:v>1.3500000000000002E-2</c:v>
                </c:pt>
                <c:pt idx="5">
                  <c:v>4.2000000000000003E-2</c:v>
                </c:pt>
                <c:pt idx="6">
                  <c:v>3.5000000000000003E-2</c:v>
                </c:pt>
                <c:pt idx="7">
                  <c:v>-2.4E-2</c:v>
                </c:pt>
                <c:pt idx="8">
                  <c:v>3.3000000000000002E-2</c:v>
                </c:pt>
                <c:pt idx="9">
                  <c:v>8.0000000000000002E-3</c:v>
                </c:pt>
                <c:pt idx="10">
                  <c:v>5.2999999999999999E-2</c:v>
                </c:pt>
                <c:pt idx="11">
                  <c:v>6.7000000000000004E-2</c:v>
                </c:pt>
                <c:pt idx="12">
                  <c:v>1.1000000000000001E-2</c:v>
                </c:pt>
                <c:pt idx="13">
                  <c:v>8.199999999999999E-2</c:v>
                </c:pt>
                <c:pt idx="14">
                  <c:v>4.5999999999999999E-2</c:v>
                </c:pt>
                <c:pt idx="15">
                  <c:v>2.3E-2</c:v>
                </c:pt>
                <c:pt idx="16">
                  <c:v>1E-3</c:v>
                </c:pt>
                <c:pt idx="17">
                  <c:v>-3.7999999999999999E-2</c:v>
                </c:pt>
                <c:pt idx="18">
                  <c:v>2E-3</c:v>
                </c:pt>
                <c:pt idx="19">
                  <c:v>-2E-3</c:v>
                </c:pt>
              </c:numCache>
            </c:numRef>
          </c:val>
          <c:extLst>
            <c:ext xmlns:c16="http://schemas.microsoft.com/office/drawing/2014/chart" uri="{C3380CC4-5D6E-409C-BE32-E72D297353CC}">
              <c16:uniqueId val="{00000000-0108-43F1-B50C-56C9D36CBE9E}"/>
            </c:ext>
          </c:extLst>
        </c:ser>
        <c:ser>
          <c:idx val="1"/>
          <c:order val="1"/>
          <c:tx>
            <c:strRef>
              <c:f>Figures!$C$16</c:f>
              <c:strCache>
                <c:ptCount val="1"/>
                <c:pt idx="0">
                  <c:v>Price growth - US - Refreshment beverages</c:v>
                </c:pt>
              </c:strCache>
            </c:strRef>
          </c:tx>
          <c:spPr>
            <a:solidFill>
              <a:schemeClr val="accent6"/>
            </a:solidFill>
            <a:ln>
              <a:noFill/>
            </a:ln>
            <a:effectLst/>
          </c:spPr>
          <c:invertIfNegative val="0"/>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Figures!$F$16:$Y$16</c:f>
              <c:numCache>
                <c:formatCode>0.0%</c:formatCode>
                <c:ptCount val="20"/>
                <c:pt idx="0">
                  <c:v>1.1000000000000001E-2</c:v>
                </c:pt>
                <c:pt idx="1">
                  <c:v>2.1250000000000002E-2</c:v>
                </c:pt>
                <c:pt idx="2">
                  <c:v>4.7E-2</c:v>
                </c:pt>
                <c:pt idx="3">
                  <c:v>3.2000000000000001E-2</c:v>
                </c:pt>
                <c:pt idx="4">
                  <c:v>4.5999999999999999E-2</c:v>
                </c:pt>
                <c:pt idx="5">
                  <c:v>1.55E-2</c:v>
                </c:pt>
                <c:pt idx="6">
                  <c:v>1.3999999999999999E-2</c:v>
                </c:pt>
                <c:pt idx="7">
                  <c:v>-2.5499999999999998E-2</c:v>
                </c:pt>
                <c:pt idx="8">
                  <c:v>9.4999999999999998E-3</c:v>
                </c:pt>
                <c:pt idx="9">
                  <c:v>2.5000000000000001E-3</c:v>
                </c:pt>
                <c:pt idx="10">
                  <c:v>1.3999999999999999E-2</c:v>
                </c:pt>
                <c:pt idx="11">
                  <c:v>2.8999999999999998E-2</c:v>
                </c:pt>
                <c:pt idx="12">
                  <c:v>6.8000000000000005E-2</c:v>
                </c:pt>
                <c:pt idx="13">
                  <c:v>7.4999999999999997E-2</c:v>
                </c:pt>
                <c:pt idx="14">
                  <c:v>8.199999999999999E-2</c:v>
                </c:pt>
                <c:pt idx="15">
                  <c:v>0.13</c:v>
                </c:pt>
                <c:pt idx="16">
                  <c:v>0.14300000000000002</c:v>
                </c:pt>
                <c:pt idx="17">
                  <c:v>0.153</c:v>
                </c:pt>
                <c:pt idx="18">
                  <c:v>0.125</c:v>
                </c:pt>
                <c:pt idx="19">
                  <c:v>0.12</c:v>
                </c:pt>
              </c:numCache>
            </c:numRef>
          </c:val>
          <c:extLst>
            <c:ext xmlns:c16="http://schemas.microsoft.com/office/drawing/2014/chart" uri="{C3380CC4-5D6E-409C-BE32-E72D297353CC}">
              <c16:uniqueId val="{00000001-0108-43F1-B50C-56C9D36CBE9E}"/>
            </c:ext>
          </c:extLst>
        </c:ser>
        <c:dLbls>
          <c:showLegendKey val="0"/>
          <c:showVal val="0"/>
          <c:showCatName val="0"/>
          <c:showSerName val="0"/>
          <c:showPercent val="0"/>
          <c:showBubbleSize val="0"/>
        </c:dLbls>
        <c:gapWidth val="150"/>
        <c:overlap val="100"/>
        <c:axId val="1182013775"/>
        <c:axId val="656898064"/>
      </c:barChart>
      <c:lineChart>
        <c:grouping val="standard"/>
        <c:varyColors val="0"/>
        <c:ser>
          <c:idx val="2"/>
          <c:order val="2"/>
          <c:tx>
            <c:strRef>
              <c:f>Figures!$C$17</c:f>
              <c:strCache>
                <c:ptCount val="1"/>
                <c:pt idx="0">
                  <c:v>KDP Organic Bevs</c:v>
                </c:pt>
              </c:strCache>
            </c:strRef>
          </c:tx>
          <c:spPr>
            <a:ln w="28575" cap="rnd">
              <a:solidFill>
                <a:schemeClr val="accent6">
                  <a:shade val="65000"/>
                </a:schemeClr>
              </a:solidFill>
              <a:round/>
            </a:ln>
            <a:effectLst/>
          </c:spPr>
          <c:marker>
            <c:symbol val="none"/>
          </c:marker>
          <c:val>
            <c:numRef>
              <c:f>Figures!$F$17:$Y$17</c:f>
              <c:numCache>
                <c:formatCode>0.0%</c:formatCode>
                <c:ptCount val="20"/>
                <c:pt idx="0">
                  <c:v>4.2000000000000003E-2</c:v>
                </c:pt>
                <c:pt idx="1">
                  <c:v>4.65E-2</c:v>
                </c:pt>
                <c:pt idx="2">
                  <c:v>3.2500000000000001E-2</c:v>
                </c:pt>
                <c:pt idx="3">
                  <c:v>2.1499999999999998E-2</c:v>
                </c:pt>
                <c:pt idx="4">
                  <c:v>5.9499999999999997E-2</c:v>
                </c:pt>
                <c:pt idx="5">
                  <c:v>5.7500000000000002E-2</c:v>
                </c:pt>
                <c:pt idx="6">
                  <c:v>4.9000000000000002E-2</c:v>
                </c:pt>
                <c:pt idx="7">
                  <c:v>-4.9500000000000002E-2</c:v>
                </c:pt>
                <c:pt idx="8">
                  <c:v>4.2500000000000003E-2</c:v>
                </c:pt>
                <c:pt idx="9">
                  <c:v>1.0500000000000001E-2</c:v>
                </c:pt>
                <c:pt idx="10">
                  <c:v>6.7000000000000004E-2</c:v>
                </c:pt>
                <c:pt idx="11">
                  <c:v>9.6000000000000002E-2</c:v>
                </c:pt>
                <c:pt idx="12">
                  <c:v>7.9000000000000001E-2</c:v>
                </c:pt>
                <c:pt idx="13">
                  <c:v>0.15699999999999997</c:v>
                </c:pt>
                <c:pt idx="14">
                  <c:v>0.128</c:v>
                </c:pt>
                <c:pt idx="15">
                  <c:v>0.153</c:v>
                </c:pt>
                <c:pt idx="16">
                  <c:v>0.14400000000000002</c:v>
                </c:pt>
                <c:pt idx="17">
                  <c:v>0.11499999999999999</c:v>
                </c:pt>
                <c:pt idx="18">
                  <c:v>0.127</c:v>
                </c:pt>
                <c:pt idx="19">
                  <c:v>0.11799999999999999</c:v>
                </c:pt>
              </c:numCache>
            </c:numRef>
          </c:val>
          <c:smooth val="0"/>
          <c:extLst>
            <c:ext xmlns:c16="http://schemas.microsoft.com/office/drawing/2014/chart" uri="{C3380CC4-5D6E-409C-BE32-E72D297353CC}">
              <c16:uniqueId val="{00000002-0108-43F1-B50C-56C9D36CBE9E}"/>
            </c:ext>
          </c:extLst>
        </c:ser>
        <c:dLbls>
          <c:showLegendKey val="0"/>
          <c:showVal val="0"/>
          <c:showCatName val="0"/>
          <c:showSerName val="0"/>
          <c:showPercent val="0"/>
          <c:showBubbleSize val="0"/>
        </c:dLbls>
        <c:marker val="1"/>
        <c:smooth val="0"/>
        <c:axId val="1182013775"/>
        <c:axId val="656898064"/>
      </c:lineChart>
      <c:catAx>
        <c:axId val="1182013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98064"/>
        <c:crosses val="autoZero"/>
        <c:auto val="1"/>
        <c:lblAlgn val="ctr"/>
        <c:lblOffset val="100"/>
        <c:noMultiLvlLbl val="0"/>
      </c:catAx>
      <c:valAx>
        <c:axId val="65689806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013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a:t>
            </a:r>
            <a:r>
              <a:rPr lang="en-US" baseline="0"/>
              <a:t> Beverage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Figures!$C$19</c:f>
              <c:strCache>
                <c:ptCount val="1"/>
                <c:pt idx="0">
                  <c:v>Volume growth - North America</c:v>
                </c:pt>
              </c:strCache>
            </c:strRef>
          </c:tx>
          <c:spPr>
            <a:solidFill>
              <a:schemeClr val="accent5">
                <a:tint val="65000"/>
              </a:schemeClr>
            </a:solidFill>
            <a:ln>
              <a:noFill/>
            </a:ln>
            <a:effectLst/>
          </c:spPr>
          <c:invertIfNegative val="0"/>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Figures!$F$19:$Y$19</c:f>
              <c:numCache>
                <c:formatCode>0.0%</c:formatCode>
                <c:ptCount val="20"/>
                <c:pt idx="0">
                  <c:v>1.384615384615385E-2</c:v>
                </c:pt>
                <c:pt idx="1">
                  <c:v>-2.6923076923076921E-2</c:v>
                </c:pt>
                <c:pt idx="2">
                  <c:v>-0.03</c:v>
                </c:pt>
                <c:pt idx="3">
                  <c:v>-1.0092640692640691E-2</c:v>
                </c:pt>
                <c:pt idx="4">
                  <c:v>-8.6666666666666697E-3</c:v>
                </c:pt>
                <c:pt idx="5">
                  <c:v>2.947754240771697E-2</c:v>
                </c:pt>
                <c:pt idx="6">
                  <c:v>0.03</c:v>
                </c:pt>
                <c:pt idx="7">
                  <c:v>-0.17986666666666667</c:v>
                </c:pt>
                <c:pt idx="8">
                  <c:v>-6.9714285714285729E-2</c:v>
                </c:pt>
                <c:pt idx="9">
                  <c:v>-0.06</c:v>
                </c:pt>
                <c:pt idx="10">
                  <c:v>0</c:v>
                </c:pt>
                <c:pt idx="11">
                  <c:v>0.15966666666666668</c:v>
                </c:pt>
                <c:pt idx="12">
                  <c:v>7.1083333333333332E-2</c:v>
                </c:pt>
                <c:pt idx="13">
                  <c:v>4.1666666666666671E-2</c:v>
                </c:pt>
                <c:pt idx="14">
                  <c:v>0.03</c:v>
                </c:pt>
                <c:pt idx="15">
                  <c:v>0.03</c:v>
                </c:pt>
                <c:pt idx="16">
                  <c:v>-0.01</c:v>
                </c:pt>
                <c:pt idx="17">
                  <c:v>7.9106493761666192E-3</c:v>
                </c:pt>
                <c:pt idx="18">
                  <c:v>-0.02</c:v>
                </c:pt>
                <c:pt idx="19">
                  <c:v>-1E-3</c:v>
                </c:pt>
              </c:numCache>
            </c:numRef>
          </c:val>
          <c:extLst>
            <c:ext xmlns:c16="http://schemas.microsoft.com/office/drawing/2014/chart" uri="{C3380CC4-5D6E-409C-BE32-E72D297353CC}">
              <c16:uniqueId val="{00000000-9B81-477C-B81E-105EAFFF0BFA}"/>
            </c:ext>
          </c:extLst>
        </c:ser>
        <c:ser>
          <c:idx val="1"/>
          <c:order val="1"/>
          <c:tx>
            <c:strRef>
              <c:f>Figures!$C$20</c:f>
              <c:strCache>
                <c:ptCount val="1"/>
                <c:pt idx="0">
                  <c:v>Price/mix - North America</c:v>
                </c:pt>
              </c:strCache>
            </c:strRef>
          </c:tx>
          <c:spPr>
            <a:solidFill>
              <a:schemeClr val="accent5"/>
            </a:solidFill>
            <a:ln>
              <a:noFill/>
            </a:ln>
            <a:effectLst/>
          </c:spPr>
          <c:invertIfNegative val="0"/>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Figures!$F$20:$Y$20</c:f>
              <c:numCache>
                <c:formatCode>0.0%</c:formatCode>
                <c:ptCount val="20"/>
                <c:pt idx="0">
                  <c:v>-4.2956324615384996E-4</c:v>
                </c:pt>
                <c:pt idx="1">
                  <c:v>0.02</c:v>
                </c:pt>
                <c:pt idx="2">
                  <c:v>4.0198576707976351E-2</c:v>
                </c:pt>
                <c:pt idx="3">
                  <c:v>3.9896728540213429E-2</c:v>
                </c:pt>
                <c:pt idx="4">
                  <c:v>3.0370736372677492E-2</c:v>
                </c:pt>
                <c:pt idx="5">
                  <c:v>1.9354252307895402E-2</c:v>
                </c:pt>
                <c:pt idx="6">
                  <c:v>1.0125809513815261E-2</c:v>
                </c:pt>
                <c:pt idx="7">
                  <c:v>2.1976296993956001E-4</c:v>
                </c:pt>
                <c:pt idx="8">
                  <c:v>3.9928795933602663E-2</c:v>
                </c:pt>
                <c:pt idx="9">
                  <c:v>0.03</c:v>
                </c:pt>
                <c:pt idx="10">
                  <c:v>4.0037593984962407E-2</c:v>
                </c:pt>
                <c:pt idx="11">
                  <c:v>0.11898652053997077</c:v>
                </c:pt>
                <c:pt idx="12">
                  <c:v>5.0265395417826549E-2</c:v>
                </c:pt>
                <c:pt idx="13">
                  <c:v>0.09</c:v>
                </c:pt>
                <c:pt idx="14">
                  <c:v>0.11</c:v>
                </c:pt>
                <c:pt idx="15">
                  <c:v>0.10074878987756634</c:v>
                </c:pt>
                <c:pt idx="16">
                  <c:v>0.15076017674106207</c:v>
                </c:pt>
                <c:pt idx="17">
                  <c:v>0.11988751764563267</c:v>
                </c:pt>
                <c:pt idx="18">
                  <c:v>0.10994784264680799</c:v>
                </c:pt>
                <c:pt idx="19">
                  <c:v>8.967025448746957E-2</c:v>
                </c:pt>
              </c:numCache>
            </c:numRef>
          </c:val>
          <c:extLst>
            <c:ext xmlns:c16="http://schemas.microsoft.com/office/drawing/2014/chart" uri="{C3380CC4-5D6E-409C-BE32-E72D297353CC}">
              <c16:uniqueId val="{00000001-9B81-477C-B81E-105EAFFF0BFA}"/>
            </c:ext>
          </c:extLst>
        </c:ser>
        <c:dLbls>
          <c:showLegendKey val="0"/>
          <c:showVal val="0"/>
          <c:showCatName val="0"/>
          <c:showSerName val="0"/>
          <c:showPercent val="0"/>
          <c:showBubbleSize val="0"/>
        </c:dLbls>
        <c:gapWidth val="150"/>
        <c:overlap val="100"/>
        <c:axId val="1182013775"/>
        <c:axId val="656898064"/>
      </c:barChart>
      <c:lineChart>
        <c:grouping val="standard"/>
        <c:varyColors val="0"/>
        <c:ser>
          <c:idx val="2"/>
          <c:order val="2"/>
          <c:tx>
            <c:strRef>
              <c:f>Figures!$C$21</c:f>
              <c:strCache>
                <c:ptCount val="1"/>
                <c:pt idx="0">
                  <c:v>KO Organic Bevs</c:v>
                </c:pt>
              </c:strCache>
            </c:strRef>
          </c:tx>
          <c:spPr>
            <a:ln w="28575" cap="rnd">
              <a:solidFill>
                <a:schemeClr val="accent5">
                  <a:shade val="65000"/>
                </a:schemeClr>
              </a:solidFill>
              <a:round/>
            </a:ln>
            <a:effectLst/>
          </c:spPr>
          <c:marker>
            <c:symbol val="none"/>
          </c:marker>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Figures!$F$21:$Y$21</c:f>
              <c:numCache>
                <c:formatCode>0.0%</c:formatCode>
                <c:ptCount val="20"/>
                <c:pt idx="0">
                  <c:v>1.34165906E-2</c:v>
                </c:pt>
                <c:pt idx="1">
                  <c:v>-6.9230769230769207E-3</c:v>
                </c:pt>
                <c:pt idx="2">
                  <c:v>1.0198576707976352E-2</c:v>
                </c:pt>
                <c:pt idx="3">
                  <c:v>2.9804087847572738E-2</c:v>
                </c:pt>
                <c:pt idx="4">
                  <c:v>2.1704069706010822E-2</c:v>
                </c:pt>
                <c:pt idx="5">
                  <c:v>4.8831794715612373E-2</c:v>
                </c:pt>
                <c:pt idx="6">
                  <c:v>4.012580951381526E-2</c:v>
                </c:pt>
                <c:pt idx="7">
                  <c:v>-0.17964690369672712</c:v>
                </c:pt>
                <c:pt idx="8">
                  <c:v>-2.9785489780683065E-2</c:v>
                </c:pt>
                <c:pt idx="9">
                  <c:v>-0.03</c:v>
                </c:pt>
                <c:pt idx="10">
                  <c:v>4.0037593984962407E-2</c:v>
                </c:pt>
                <c:pt idx="11">
                  <c:v>0.27865318720663745</c:v>
                </c:pt>
                <c:pt idx="12">
                  <c:v>0.12134872875115987</c:v>
                </c:pt>
                <c:pt idx="13">
                  <c:v>0.13166666666666665</c:v>
                </c:pt>
                <c:pt idx="14">
                  <c:v>0.14000000000000001</c:v>
                </c:pt>
                <c:pt idx="15">
                  <c:v>0.13074878987756633</c:v>
                </c:pt>
                <c:pt idx="16">
                  <c:v>0.14076017674106206</c:v>
                </c:pt>
                <c:pt idx="17">
                  <c:v>0.1277981670217993</c:v>
                </c:pt>
                <c:pt idx="18">
                  <c:v>8.9947842646807982E-2</c:v>
                </c:pt>
                <c:pt idx="19">
                  <c:v>8.8670254487469569E-2</c:v>
                </c:pt>
              </c:numCache>
            </c:numRef>
          </c:val>
          <c:smooth val="0"/>
          <c:extLst>
            <c:ext xmlns:c16="http://schemas.microsoft.com/office/drawing/2014/chart" uri="{C3380CC4-5D6E-409C-BE32-E72D297353CC}">
              <c16:uniqueId val="{00000002-9B81-477C-B81E-105EAFFF0BFA}"/>
            </c:ext>
          </c:extLst>
        </c:ser>
        <c:dLbls>
          <c:showLegendKey val="0"/>
          <c:showVal val="0"/>
          <c:showCatName val="0"/>
          <c:showSerName val="0"/>
          <c:showPercent val="0"/>
          <c:showBubbleSize val="0"/>
        </c:dLbls>
        <c:marker val="1"/>
        <c:smooth val="0"/>
        <c:axId val="1182013775"/>
        <c:axId val="656898064"/>
      </c:lineChart>
      <c:catAx>
        <c:axId val="1182013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98064"/>
        <c:crosses val="autoZero"/>
        <c:auto val="1"/>
        <c:lblAlgn val="ctr"/>
        <c:lblOffset val="100"/>
        <c:noMultiLvlLbl val="0"/>
      </c:catAx>
      <c:valAx>
        <c:axId val="65689806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013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PEP Beverage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Figures!$C$23</c:f>
              <c:strCache>
                <c:ptCount val="1"/>
                <c:pt idx="0">
                  <c:v>Volume impact - PBNA</c:v>
                </c:pt>
              </c:strCache>
            </c:strRef>
          </c:tx>
          <c:spPr>
            <a:solidFill>
              <a:schemeClr val="dk1">
                <a:tint val="88500"/>
              </a:schemeClr>
            </a:solidFill>
            <a:ln>
              <a:noFill/>
            </a:ln>
            <a:effectLst/>
          </c:spPr>
          <c:invertIfNegative val="0"/>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Figures!$F$23:$Y$23</c:f>
              <c:numCache>
                <c:formatCode>0.0%</c:formatCode>
                <c:ptCount val="20"/>
                <c:pt idx="0">
                  <c:v>0.01</c:v>
                </c:pt>
                <c:pt idx="1">
                  <c:v>-9.9469106499999998E-3</c:v>
                </c:pt>
                <c:pt idx="2">
                  <c:v>-1.9769230769230772E-2</c:v>
                </c:pt>
                <c:pt idx="3">
                  <c:v>-0.02</c:v>
                </c:pt>
                <c:pt idx="4">
                  <c:v>-9.7692307692307696E-3</c:v>
                </c:pt>
                <c:pt idx="5">
                  <c:v>-2.0368675E-4</c:v>
                </c:pt>
                <c:pt idx="6">
                  <c:v>7.0000000000000007E-2</c:v>
                </c:pt>
                <c:pt idx="7">
                  <c:v>-0.10746153846153846</c:v>
                </c:pt>
                <c:pt idx="8">
                  <c:v>-1.4999999999999999E-2</c:v>
                </c:pt>
                <c:pt idx="9">
                  <c:v>9.8820321555555604E-3</c:v>
                </c:pt>
                <c:pt idx="10">
                  <c:v>-4.477272727272727E-2</c:v>
                </c:pt>
                <c:pt idx="11">
                  <c:v>0.16</c:v>
                </c:pt>
                <c:pt idx="12">
                  <c:v>0.03</c:v>
                </c:pt>
                <c:pt idx="13">
                  <c:v>6.135512046666667E-2</c:v>
                </c:pt>
                <c:pt idx="14">
                  <c:v>0.04</c:v>
                </c:pt>
                <c:pt idx="15">
                  <c:v>-1E-3</c:v>
                </c:pt>
                <c:pt idx="16">
                  <c:v>9.7272727272727302E-3</c:v>
                </c:pt>
                <c:pt idx="17">
                  <c:v>-1.1751605536363641E-2</c:v>
                </c:pt>
                <c:pt idx="18">
                  <c:v>-2.8181818181818179E-2</c:v>
                </c:pt>
                <c:pt idx="19">
                  <c:v>-4.1636363636363638E-2</c:v>
                </c:pt>
              </c:numCache>
            </c:numRef>
          </c:val>
          <c:extLst>
            <c:ext xmlns:c16="http://schemas.microsoft.com/office/drawing/2014/chart" uri="{C3380CC4-5D6E-409C-BE32-E72D297353CC}">
              <c16:uniqueId val="{00000000-9174-48D7-893A-00DDC1995082}"/>
            </c:ext>
          </c:extLst>
        </c:ser>
        <c:ser>
          <c:idx val="1"/>
          <c:order val="1"/>
          <c:tx>
            <c:strRef>
              <c:f>Figures!$C$24</c:f>
              <c:strCache>
                <c:ptCount val="1"/>
                <c:pt idx="0">
                  <c:v>Price/mix impact - PBNA</c:v>
                </c:pt>
              </c:strCache>
            </c:strRef>
          </c:tx>
          <c:spPr>
            <a:solidFill>
              <a:schemeClr val="dk1">
                <a:tint val="55000"/>
              </a:schemeClr>
            </a:solidFill>
            <a:ln>
              <a:noFill/>
            </a:ln>
            <a:effectLst/>
          </c:spPr>
          <c:invertIfNegative val="0"/>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Figures!$F$24:$Y$24</c:f>
              <c:numCache>
                <c:formatCode>0.0%</c:formatCode>
                <c:ptCount val="20"/>
                <c:pt idx="0">
                  <c:v>1.7771317833333331E-2</c:v>
                </c:pt>
                <c:pt idx="1">
                  <c:v>2.929317518181818E-2</c:v>
                </c:pt>
                <c:pt idx="2">
                  <c:v>4.154312948333333E-2</c:v>
                </c:pt>
                <c:pt idx="3">
                  <c:v>3.9986761025000005E-2</c:v>
                </c:pt>
                <c:pt idx="4">
                  <c:v>3.3022849462365583E-2</c:v>
                </c:pt>
                <c:pt idx="5">
                  <c:v>3.4540082351410241E-2</c:v>
                </c:pt>
                <c:pt idx="6">
                  <c:v>-5.5555555555555601E-3</c:v>
                </c:pt>
                <c:pt idx="7">
                  <c:v>3.1090909090909089E-2</c:v>
                </c:pt>
                <c:pt idx="8">
                  <c:v>4.9444444444444437E-2</c:v>
                </c:pt>
                <c:pt idx="9">
                  <c:v>5.0349866572727268E-2</c:v>
                </c:pt>
                <c:pt idx="10">
                  <c:v>6.0777777777777785E-2</c:v>
                </c:pt>
                <c:pt idx="11">
                  <c:v>4.5555555555555564E-2</c:v>
                </c:pt>
                <c:pt idx="12">
                  <c:v>3.996013763333333E-2</c:v>
                </c:pt>
                <c:pt idx="13">
                  <c:v>5.8341571799999999E-2</c:v>
                </c:pt>
                <c:pt idx="14">
                  <c:v>8.1498620420000001E-2</c:v>
                </c:pt>
                <c:pt idx="15">
                  <c:v>9.11E-2</c:v>
                </c:pt>
                <c:pt idx="16">
                  <c:v>0.11967226150918744</c:v>
                </c:pt>
                <c:pt idx="17">
                  <c:v>0.11920894487802426</c:v>
                </c:pt>
                <c:pt idx="18">
                  <c:v>0.14755735950953583</c:v>
                </c:pt>
                <c:pt idx="19">
                  <c:v>0.14125074272133101</c:v>
                </c:pt>
              </c:numCache>
            </c:numRef>
          </c:val>
          <c:extLst>
            <c:ext xmlns:c16="http://schemas.microsoft.com/office/drawing/2014/chart" uri="{C3380CC4-5D6E-409C-BE32-E72D297353CC}">
              <c16:uniqueId val="{00000001-9174-48D7-893A-00DDC1995082}"/>
            </c:ext>
          </c:extLst>
        </c:ser>
        <c:dLbls>
          <c:showLegendKey val="0"/>
          <c:showVal val="0"/>
          <c:showCatName val="0"/>
          <c:showSerName val="0"/>
          <c:showPercent val="0"/>
          <c:showBubbleSize val="0"/>
        </c:dLbls>
        <c:gapWidth val="150"/>
        <c:overlap val="100"/>
        <c:axId val="1182013775"/>
        <c:axId val="656898064"/>
      </c:barChart>
      <c:lineChart>
        <c:grouping val="standard"/>
        <c:varyColors val="0"/>
        <c:ser>
          <c:idx val="2"/>
          <c:order val="2"/>
          <c:tx>
            <c:strRef>
              <c:f>Figures!$C$25</c:f>
              <c:strCache>
                <c:ptCount val="1"/>
                <c:pt idx="0">
                  <c:v>PEP Organic Bevs</c:v>
                </c:pt>
              </c:strCache>
            </c:strRef>
          </c:tx>
          <c:spPr>
            <a:ln w="28575" cap="rnd">
              <a:solidFill>
                <a:schemeClr val="dk1">
                  <a:tint val="75000"/>
                </a:schemeClr>
              </a:solidFill>
              <a:round/>
            </a:ln>
            <a:effectLst/>
          </c:spPr>
          <c:marker>
            <c:symbol val="none"/>
          </c:marker>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Figures!$F$25:$Y$25</c:f>
              <c:numCache>
                <c:formatCode>0.0%</c:formatCode>
                <c:ptCount val="20"/>
                <c:pt idx="0">
                  <c:v>2.777131783333333E-2</c:v>
                </c:pt>
                <c:pt idx="1">
                  <c:v>1.9346264531818182E-2</c:v>
                </c:pt>
                <c:pt idx="2">
                  <c:v>2.1773898714102558E-2</c:v>
                </c:pt>
                <c:pt idx="3">
                  <c:v>1.9986761025000004E-2</c:v>
                </c:pt>
                <c:pt idx="4">
                  <c:v>2.3253618693134814E-2</c:v>
                </c:pt>
                <c:pt idx="5">
                  <c:v>3.433639560141024E-2</c:v>
                </c:pt>
                <c:pt idx="6">
                  <c:v>6.4444444444444443E-2</c:v>
                </c:pt>
                <c:pt idx="7">
                  <c:v>-7.637062937062937E-2</c:v>
                </c:pt>
                <c:pt idx="8">
                  <c:v>3.4444444444444437E-2</c:v>
                </c:pt>
                <c:pt idx="9">
                  <c:v>6.0231898728282829E-2</c:v>
                </c:pt>
                <c:pt idx="10">
                  <c:v>1.6005050505050515E-2</c:v>
                </c:pt>
                <c:pt idx="11">
                  <c:v>0.20555555555555557</c:v>
                </c:pt>
                <c:pt idx="12">
                  <c:v>6.9960137633333336E-2</c:v>
                </c:pt>
                <c:pt idx="13">
                  <c:v>0.11969669226666667</c:v>
                </c:pt>
                <c:pt idx="14">
                  <c:v>0.12149862042000001</c:v>
                </c:pt>
                <c:pt idx="15">
                  <c:v>9.01E-2</c:v>
                </c:pt>
                <c:pt idx="16">
                  <c:v>0.12939953423646017</c:v>
                </c:pt>
                <c:pt idx="17">
                  <c:v>0.10745733934166062</c:v>
                </c:pt>
                <c:pt idx="18">
                  <c:v>0.11937554132771765</c:v>
                </c:pt>
                <c:pt idx="19">
                  <c:v>9.9614379084967369E-2</c:v>
                </c:pt>
              </c:numCache>
            </c:numRef>
          </c:val>
          <c:smooth val="0"/>
          <c:extLst>
            <c:ext xmlns:c16="http://schemas.microsoft.com/office/drawing/2014/chart" uri="{C3380CC4-5D6E-409C-BE32-E72D297353CC}">
              <c16:uniqueId val="{00000002-9174-48D7-893A-00DDC1995082}"/>
            </c:ext>
          </c:extLst>
        </c:ser>
        <c:dLbls>
          <c:showLegendKey val="0"/>
          <c:showVal val="0"/>
          <c:showCatName val="0"/>
          <c:showSerName val="0"/>
          <c:showPercent val="0"/>
          <c:showBubbleSize val="0"/>
        </c:dLbls>
        <c:marker val="1"/>
        <c:smooth val="0"/>
        <c:axId val="1182013775"/>
        <c:axId val="656898064"/>
      </c:lineChart>
      <c:catAx>
        <c:axId val="1182013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98064"/>
        <c:crosses val="autoZero"/>
        <c:auto val="1"/>
        <c:lblAlgn val="ctr"/>
        <c:lblOffset val="100"/>
        <c:noMultiLvlLbl val="0"/>
      </c:catAx>
      <c:valAx>
        <c:axId val="65689806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013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Comparative</a:t>
            </a:r>
            <a:r>
              <a:rPr lang="en-US" baseline="0"/>
              <a:t> EBIT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Figures!$C$28</c:f>
              <c:strCache>
                <c:ptCount val="1"/>
                <c:pt idx="0">
                  <c:v>US Beverages EBIT / US Coffee and Beverages EBIT</c:v>
                </c:pt>
              </c:strCache>
            </c:strRef>
          </c:tx>
          <c:spPr>
            <a:ln w="28575" cap="rnd">
              <a:solidFill>
                <a:schemeClr val="accent1"/>
              </a:solidFill>
              <a:round/>
            </a:ln>
            <a:effectLst/>
          </c:spPr>
          <c:marker>
            <c:symbol val="none"/>
          </c:marker>
          <c:cat>
            <c:strRef>
              <c:f>Figures!$F$3:$AI$3</c:f>
              <c:strCache>
                <c:ptCount val="3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pt idx="20">
                  <c:v>Q3-FY2023</c:v>
                </c:pt>
                <c:pt idx="21">
                  <c:v>Q4-FY2023</c:v>
                </c:pt>
                <c:pt idx="22">
                  <c:v>Q1-FY2024</c:v>
                </c:pt>
                <c:pt idx="23">
                  <c:v>Q2-FY2024</c:v>
                </c:pt>
                <c:pt idx="24">
                  <c:v>Q3-FY2024</c:v>
                </c:pt>
                <c:pt idx="25">
                  <c:v>Q4-FY2024</c:v>
                </c:pt>
                <c:pt idx="26">
                  <c:v>Q1-FY2025</c:v>
                </c:pt>
                <c:pt idx="27">
                  <c:v>Q2-FY2025</c:v>
                </c:pt>
                <c:pt idx="28">
                  <c:v>Q3-FY2025</c:v>
                </c:pt>
                <c:pt idx="29">
                  <c:v>Q4-FY2025</c:v>
                </c:pt>
              </c:strCache>
            </c:strRef>
          </c:cat>
          <c:val>
            <c:numRef>
              <c:f>Figures!$F$28:$AI$28</c:f>
              <c:numCache>
                <c:formatCode>0.0%</c:formatCode>
                <c:ptCount val="30"/>
                <c:pt idx="0">
                  <c:v>0.49999999999999994</c:v>
                </c:pt>
                <c:pt idx="1">
                  <c:v>0.58512978442586894</c:v>
                </c:pt>
                <c:pt idx="2">
                  <c:v>0.52668355985563997</c:v>
                </c:pt>
                <c:pt idx="3">
                  <c:v>0.57630231522707032</c:v>
                </c:pt>
                <c:pt idx="4">
                  <c:v>0.55596470232380757</c:v>
                </c:pt>
                <c:pt idx="5">
                  <c:v>0.58156115550092191</c:v>
                </c:pt>
                <c:pt idx="6">
                  <c:v>0.5434471712144614</c:v>
                </c:pt>
                <c:pt idx="7">
                  <c:v>0.58276383353531303</c:v>
                </c:pt>
                <c:pt idx="8">
                  <c:v>0.61168256554752121</c:v>
                </c:pt>
                <c:pt idx="9">
                  <c:v>0.54452829755217846</c:v>
                </c:pt>
                <c:pt idx="10">
                  <c:v>0.51741293532338306</c:v>
                </c:pt>
                <c:pt idx="11">
                  <c:v>0.58710407239819007</c:v>
                </c:pt>
                <c:pt idx="12">
                  <c:v>0.61146496815286622</c:v>
                </c:pt>
                <c:pt idx="13">
                  <c:v>0.59892473118279566</c:v>
                </c:pt>
                <c:pt idx="14">
                  <c:v>0.60185185185185186</c:v>
                </c:pt>
                <c:pt idx="15">
                  <c:v>0.61529808773903261</c:v>
                </c:pt>
                <c:pt idx="16">
                  <c:v>0.67525773195876293</c:v>
                </c:pt>
                <c:pt idx="17">
                  <c:v>0.5768482490272373</c:v>
                </c:pt>
                <c:pt idx="18">
                  <c:v>0.64060529634300123</c:v>
                </c:pt>
                <c:pt idx="19">
                  <c:v>0.68869936034115142</c:v>
                </c:pt>
                <c:pt idx="20">
                  <c:v>0.70738494118826056</c:v>
                </c:pt>
                <c:pt idx="21">
                  <c:v>0.63933357332980612</c:v>
                </c:pt>
                <c:pt idx="22">
                  <c:v>0.68680521343732337</c:v>
                </c:pt>
                <c:pt idx="23">
                  <c:v>0.70961324462717745</c:v>
                </c:pt>
                <c:pt idx="24">
                  <c:v>0.72371862190385183</c:v>
                </c:pt>
                <c:pt idx="25">
                  <c:v>0.65698893416666704</c:v>
                </c:pt>
                <c:pt idx="26">
                  <c:v>0.70427145925820511</c:v>
                </c:pt>
                <c:pt idx="27">
                  <c:v>0.7263555563587627</c:v>
                </c:pt>
                <c:pt idx="28">
                  <c:v>0.73970071111068214</c:v>
                </c:pt>
                <c:pt idx="29">
                  <c:v>0.67452421560965969</c:v>
                </c:pt>
              </c:numCache>
            </c:numRef>
          </c:val>
          <c:smooth val="0"/>
          <c:extLst>
            <c:ext xmlns:c16="http://schemas.microsoft.com/office/drawing/2014/chart" uri="{C3380CC4-5D6E-409C-BE32-E72D297353CC}">
              <c16:uniqueId val="{00000000-F646-4D08-B75B-7060F3363072}"/>
            </c:ext>
          </c:extLst>
        </c:ser>
        <c:ser>
          <c:idx val="1"/>
          <c:order val="1"/>
          <c:tx>
            <c:strRef>
              <c:f>Figures!$C$29</c:f>
              <c:strCache>
                <c:ptCount val="1"/>
                <c:pt idx="0">
                  <c:v>US Coffee EBIT / US Coffee and Beverages EBIT</c:v>
                </c:pt>
              </c:strCache>
            </c:strRef>
          </c:tx>
          <c:spPr>
            <a:ln w="28575" cap="rnd">
              <a:solidFill>
                <a:schemeClr val="accent2"/>
              </a:solidFill>
              <a:round/>
            </a:ln>
            <a:effectLst/>
          </c:spPr>
          <c:marker>
            <c:symbol val="none"/>
          </c:marker>
          <c:cat>
            <c:strRef>
              <c:f>Figures!$F$3:$AI$3</c:f>
              <c:strCache>
                <c:ptCount val="3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pt idx="20">
                  <c:v>Q3-FY2023</c:v>
                </c:pt>
                <c:pt idx="21">
                  <c:v>Q4-FY2023</c:v>
                </c:pt>
                <c:pt idx="22">
                  <c:v>Q1-FY2024</c:v>
                </c:pt>
                <c:pt idx="23">
                  <c:v>Q2-FY2024</c:v>
                </c:pt>
                <c:pt idx="24">
                  <c:v>Q3-FY2024</c:v>
                </c:pt>
                <c:pt idx="25">
                  <c:v>Q4-FY2024</c:v>
                </c:pt>
                <c:pt idx="26">
                  <c:v>Q1-FY2025</c:v>
                </c:pt>
                <c:pt idx="27">
                  <c:v>Q2-FY2025</c:v>
                </c:pt>
                <c:pt idx="28">
                  <c:v>Q3-FY2025</c:v>
                </c:pt>
                <c:pt idx="29">
                  <c:v>Q4-FY2025</c:v>
                </c:pt>
              </c:strCache>
            </c:strRef>
          </c:cat>
          <c:val>
            <c:numRef>
              <c:f>Figures!$F$29:$AI$29</c:f>
              <c:numCache>
                <c:formatCode>0.0%</c:formatCode>
                <c:ptCount val="30"/>
                <c:pt idx="0">
                  <c:v>0.5</c:v>
                </c:pt>
                <c:pt idx="1">
                  <c:v>0.41487021557413117</c:v>
                </c:pt>
                <c:pt idx="2">
                  <c:v>0.47331644014435997</c:v>
                </c:pt>
                <c:pt idx="3">
                  <c:v>0.42369768477292968</c:v>
                </c:pt>
                <c:pt idx="4">
                  <c:v>0.44403529767619249</c:v>
                </c:pt>
                <c:pt idx="5">
                  <c:v>0.41843884449907809</c:v>
                </c:pt>
                <c:pt idx="6">
                  <c:v>0.4565528287855386</c:v>
                </c:pt>
                <c:pt idx="7">
                  <c:v>0.41723616646468686</c:v>
                </c:pt>
                <c:pt idx="8">
                  <c:v>0.38831743445247879</c:v>
                </c:pt>
                <c:pt idx="9">
                  <c:v>0.45547170244782165</c:v>
                </c:pt>
                <c:pt idx="10">
                  <c:v>0.48258706467661694</c:v>
                </c:pt>
                <c:pt idx="11">
                  <c:v>0.41289592760180993</c:v>
                </c:pt>
                <c:pt idx="12">
                  <c:v>0.38853503184713378</c:v>
                </c:pt>
                <c:pt idx="13">
                  <c:v>0.40107526881720429</c:v>
                </c:pt>
                <c:pt idx="14">
                  <c:v>0.39814814814814814</c:v>
                </c:pt>
                <c:pt idx="15">
                  <c:v>0.38470191226096739</c:v>
                </c:pt>
                <c:pt idx="16">
                  <c:v>0.32474226804123713</c:v>
                </c:pt>
                <c:pt idx="17">
                  <c:v>0.42315175097276264</c:v>
                </c:pt>
                <c:pt idx="18">
                  <c:v>0.35939470365699872</c:v>
                </c:pt>
                <c:pt idx="19">
                  <c:v>0.31130063965884863</c:v>
                </c:pt>
                <c:pt idx="20">
                  <c:v>0.29261505881173949</c:v>
                </c:pt>
                <c:pt idx="21">
                  <c:v>0.360666426670194</c:v>
                </c:pt>
                <c:pt idx="22">
                  <c:v>0.31319478656267669</c:v>
                </c:pt>
                <c:pt idx="23">
                  <c:v>0.2903867553728226</c:v>
                </c:pt>
                <c:pt idx="24">
                  <c:v>0.27628137809614811</c:v>
                </c:pt>
                <c:pt idx="25">
                  <c:v>0.34301106583333296</c:v>
                </c:pt>
                <c:pt idx="26">
                  <c:v>0.29572854074179494</c:v>
                </c:pt>
                <c:pt idx="27">
                  <c:v>0.27364444364123741</c:v>
                </c:pt>
                <c:pt idx="28">
                  <c:v>0.26029928888931791</c:v>
                </c:pt>
                <c:pt idx="29">
                  <c:v>0.32547578439034042</c:v>
                </c:pt>
              </c:numCache>
            </c:numRef>
          </c:val>
          <c:smooth val="0"/>
          <c:extLst>
            <c:ext xmlns:c16="http://schemas.microsoft.com/office/drawing/2014/chart" uri="{C3380CC4-5D6E-409C-BE32-E72D297353CC}">
              <c16:uniqueId val="{00000001-F646-4D08-B75B-7060F3363072}"/>
            </c:ext>
          </c:extLst>
        </c:ser>
        <c:dLbls>
          <c:showLegendKey val="0"/>
          <c:showVal val="0"/>
          <c:showCatName val="0"/>
          <c:showSerName val="0"/>
          <c:showPercent val="0"/>
          <c:showBubbleSize val="0"/>
        </c:dLbls>
        <c:smooth val="0"/>
        <c:axId val="734787440"/>
        <c:axId val="1404989471"/>
      </c:lineChart>
      <c:catAx>
        <c:axId val="734787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989471"/>
        <c:crosses val="autoZero"/>
        <c:auto val="1"/>
        <c:lblAlgn val="ctr"/>
        <c:lblOffset val="100"/>
        <c:noMultiLvlLbl val="0"/>
      </c:catAx>
      <c:valAx>
        <c:axId val="14049894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787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Increases in Beverage Businesses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Figures!$B$31</c:f>
              <c:strCache>
                <c:ptCount val="1"/>
                <c:pt idx="0">
                  <c:v>KDP</c:v>
                </c:pt>
              </c:strCache>
            </c:strRef>
          </c:tx>
          <c:spPr>
            <a:ln w="28575" cap="rnd">
              <a:solidFill>
                <a:schemeClr val="accent1"/>
              </a:solidFill>
              <a:round/>
            </a:ln>
            <a:effectLst/>
          </c:spPr>
          <c:marker>
            <c:symbol val="none"/>
          </c:marker>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Figures!$F$31:$Y$31</c:f>
              <c:numCache>
                <c:formatCode>0.0%</c:formatCode>
                <c:ptCount val="20"/>
                <c:pt idx="0">
                  <c:v>1.1000000000000001E-2</c:v>
                </c:pt>
                <c:pt idx="1">
                  <c:v>2.1250000000000002E-2</c:v>
                </c:pt>
                <c:pt idx="2">
                  <c:v>4.7E-2</c:v>
                </c:pt>
                <c:pt idx="3">
                  <c:v>3.2000000000000001E-2</c:v>
                </c:pt>
                <c:pt idx="4">
                  <c:v>4.5999999999999999E-2</c:v>
                </c:pt>
                <c:pt idx="5">
                  <c:v>1.55E-2</c:v>
                </c:pt>
                <c:pt idx="6">
                  <c:v>1.3999999999999999E-2</c:v>
                </c:pt>
                <c:pt idx="7">
                  <c:v>-2.5499999999999998E-2</c:v>
                </c:pt>
                <c:pt idx="8">
                  <c:v>9.4999999999999998E-3</c:v>
                </c:pt>
                <c:pt idx="9">
                  <c:v>2.5000000000000001E-3</c:v>
                </c:pt>
                <c:pt idx="10">
                  <c:v>1.3999999999999999E-2</c:v>
                </c:pt>
                <c:pt idx="11">
                  <c:v>2.8999999999999998E-2</c:v>
                </c:pt>
                <c:pt idx="12">
                  <c:v>6.8000000000000005E-2</c:v>
                </c:pt>
                <c:pt idx="13">
                  <c:v>7.4999999999999997E-2</c:v>
                </c:pt>
                <c:pt idx="14">
                  <c:v>8.199999999999999E-2</c:v>
                </c:pt>
                <c:pt idx="15">
                  <c:v>0.13</c:v>
                </c:pt>
                <c:pt idx="16">
                  <c:v>0.14300000000000002</c:v>
                </c:pt>
                <c:pt idx="17">
                  <c:v>0.153</c:v>
                </c:pt>
                <c:pt idx="18">
                  <c:v>0.125</c:v>
                </c:pt>
                <c:pt idx="19">
                  <c:v>0.12</c:v>
                </c:pt>
              </c:numCache>
            </c:numRef>
          </c:val>
          <c:smooth val="0"/>
          <c:extLst>
            <c:ext xmlns:c16="http://schemas.microsoft.com/office/drawing/2014/chart" uri="{C3380CC4-5D6E-409C-BE32-E72D297353CC}">
              <c16:uniqueId val="{00000000-CD7B-442D-BF02-D51EB1BB136E}"/>
            </c:ext>
          </c:extLst>
        </c:ser>
        <c:ser>
          <c:idx val="1"/>
          <c:order val="1"/>
          <c:tx>
            <c:strRef>
              <c:f>Figures!$B$32</c:f>
              <c:strCache>
                <c:ptCount val="1"/>
                <c:pt idx="0">
                  <c:v>KO</c:v>
                </c:pt>
              </c:strCache>
            </c:strRef>
          </c:tx>
          <c:spPr>
            <a:ln w="28575" cap="rnd">
              <a:solidFill>
                <a:schemeClr val="accent2"/>
              </a:solidFill>
              <a:round/>
            </a:ln>
            <a:effectLst/>
          </c:spPr>
          <c:marker>
            <c:symbol val="none"/>
          </c:marker>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Figures!$F$32:$Y$32</c:f>
              <c:numCache>
                <c:formatCode>0.0%</c:formatCode>
                <c:ptCount val="20"/>
                <c:pt idx="0">
                  <c:v>-4.2956324615384996E-4</c:v>
                </c:pt>
                <c:pt idx="1">
                  <c:v>0.02</c:v>
                </c:pt>
                <c:pt idx="2">
                  <c:v>4.0198576707976351E-2</c:v>
                </c:pt>
                <c:pt idx="3">
                  <c:v>3.9896728540213429E-2</c:v>
                </c:pt>
                <c:pt idx="4">
                  <c:v>3.0370736372677492E-2</c:v>
                </c:pt>
                <c:pt idx="5">
                  <c:v>1.9354252307895402E-2</c:v>
                </c:pt>
                <c:pt idx="6">
                  <c:v>1.0125809513815261E-2</c:v>
                </c:pt>
                <c:pt idx="7">
                  <c:v>2.1976296993956001E-4</c:v>
                </c:pt>
                <c:pt idx="8">
                  <c:v>3.9928795933602663E-2</c:v>
                </c:pt>
                <c:pt idx="9">
                  <c:v>0.03</c:v>
                </c:pt>
                <c:pt idx="10">
                  <c:v>4.0037593984962407E-2</c:v>
                </c:pt>
                <c:pt idx="11">
                  <c:v>0.11898652053997077</c:v>
                </c:pt>
                <c:pt idx="12">
                  <c:v>5.0265395417826549E-2</c:v>
                </c:pt>
                <c:pt idx="13">
                  <c:v>0.09</c:v>
                </c:pt>
                <c:pt idx="14">
                  <c:v>0.11</c:v>
                </c:pt>
                <c:pt idx="15">
                  <c:v>0.10074878987756634</c:v>
                </c:pt>
                <c:pt idx="16">
                  <c:v>0.15076017674106207</c:v>
                </c:pt>
                <c:pt idx="17">
                  <c:v>0.11988751764563267</c:v>
                </c:pt>
                <c:pt idx="18">
                  <c:v>0.10994784264680799</c:v>
                </c:pt>
                <c:pt idx="19">
                  <c:v>8.967025448746957E-2</c:v>
                </c:pt>
              </c:numCache>
            </c:numRef>
          </c:val>
          <c:smooth val="0"/>
          <c:extLst>
            <c:ext xmlns:c16="http://schemas.microsoft.com/office/drawing/2014/chart" uri="{C3380CC4-5D6E-409C-BE32-E72D297353CC}">
              <c16:uniqueId val="{00000001-CD7B-442D-BF02-D51EB1BB136E}"/>
            </c:ext>
          </c:extLst>
        </c:ser>
        <c:ser>
          <c:idx val="2"/>
          <c:order val="2"/>
          <c:tx>
            <c:strRef>
              <c:f>Figures!$B$33</c:f>
              <c:strCache>
                <c:ptCount val="1"/>
                <c:pt idx="0">
                  <c:v>PEP</c:v>
                </c:pt>
              </c:strCache>
            </c:strRef>
          </c:tx>
          <c:spPr>
            <a:ln w="28575" cap="rnd">
              <a:solidFill>
                <a:schemeClr val="accent3"/>
              </a:solidFill>
              <a:round/>
            </a:ln>
            <a:effectLst/>
          </c:spPr>
          <c:marker>
            <c:symbol val="none"/>
          </c:marker>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Figures!$F$33:$Y$33</c:f>
              <c:numCache>
                <c:formatCode>0.0%</c:formatCode>
                <c:ptCount val="20"/>
                <c:pt idx="0">
                  <c:v>1.7771317833333331E-2</c:v>
                </c:pt>
                <c:pt idx="1">
                  <c:v>2.929317518181818E-2</c:v>
                </c:pt>
                <c:pt idx="2">
                  <c:v>4.154312948333333E-2</c:v>
                </c:pt>
                <c:pt idx="3">
                  <c:v>3.9986761025000005E-2</c:v>
                </c:pt>
                <c:pt idx="4">
                  <c:v>3.3022849462365583E-2</c:v>
                </c:pt>
                <c:pt idx="5">
                  <c:v>3.4540082351410241E-2</c:v>
                </c:pt>
                <c:pt idx="6">
                  <c:v>-5.5555555555555601E-3</c:v>
                </c:pt>
                <c:pt idx="7">
                  <c:v>3.1090909090909089E-2</c:v>
                </c:pt>
                <c:pt idx="8">
                  <c:v>4.9444444444444437E-2</c:v>
                </c:pt>
                <c:pt idx="9">
                  <c:v>5.0349866572727268E-2</c:v>
                </c:pt>
                <c:pt idx="10">
                  <c:v>6.0777777777777785E-2</c:v>
                </c:pt>
                <c:pt idx="11">
                  <c:v>4.5555555555555564E-2</c:v>
                </c:pt>
                <c:pt idx="12">
                  <c:v>3.996013763333333E-2</c:v>
                </c:pt>
                <c:pt idx="13">
                  <c:v>5.8341571799999999E-2</c:v>
                </c:pt>
                <c:pt idx="14">
                  <c:v>8.1498620420000001E-2</c:v>
                </c:pt>
                <c:pt idx="15">
                  <c:v>9.11E-2</c:v>
                </c:pt>
                <c:pt idx="16">
                  <c:v>0.11967226150918744</c:v>
                </c:pt>
                <c:pt idx="17">
                  <c:v>0.11920894487802426</c:v>
                </c:pt>
                <c:pt idx="18">
                  <c:v>0.14755735950953583</c:v>
                </c:pt>
                <c:pt idx="19">
                  <c:v>0.14125074272133101</c:v>
                </c:pt>
              </c:numCache>
            </c:numRef>
          </c:val>
          <c:smooth val="0"/>
          <c:extLst>
            <c:ext xmlns:c16="http://schemas.microsoft.com/office/drawing/2014/chart" uri="{C3380CC4-5D6E-409C-BE32-E72D297353CC}">
              <c16:uniqueId val="{00000002-CD7B-442D-BF02-D51EB1BB136E}"/>
            </c:ext>
          </c:extLst>
        </c:ser>
        <c:dLbls>
          <c:showLegendKey val="0"/>
          <c:showVal val="0"/>
          <c:showCatName val="0"/>
          <c:showSerName val="0"/>
          <c:showPercent val="0"/>
          <c:showBubbleSize val="0"/>
        </c:dLbls>
        <c:smooth val="0"/>
        <c:axId val="1082160687"/>
        <c:axId val="932214512"/>
      </c:lineChart>
      <c:catAx>
        <c:axId val="108216068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214512"/>
        <c:crosses val="autoZero"/>
        <c:auto val="1"/>
        <c:lblAlgn val="ctr"/>
        <c:lblOffset val="100"/>
        <c:noMultiLvlLbl val="0"/>
      </c:catAx>
      <c:valAx>
        <c:axId val="9322145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1606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North</a:t>
            </a:r>
            <a:r>
              <a:rPr lang="en-US" baseline="0"/>
              <a:t> American Beverage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v>KDP</c:v>
          </c:tx>
          <c:spPr>
            <a:solidFill>
              <a:schemeClr val="accent1"/>
            </a:solidFill>
            <a:ln>
              <a:noFill/>
            </a:ln>
            <a:effectLst/>
          </c:spPr>
          <c:invertIfNegative val="0"/>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Figures!$F$35:$Y$35</c:f>
              <c:numCache>
                <c:formatCode>"$"#,##0_);\("$"#,##0\)</c:formatCode>
                <c:ptCount val="20"/>
                <c:pt idx="0">
                  <c:v>1600.32</c:v>
                </c:pt>
                <c:pt idx="1">
                  <c:v>1467.84</c:v>
                </c:pt>
                <c:pt idx="2">
                  <c:v>1363.2</c:v>
                </c:pt>
                <c:pt idx="3">
                  <c:v>1613.76</c:v>
                </c:pt>
                <c:pt idx="4">
                  <c:v>1600.32</c:v>
                </c:pt>
                <c:pt idx="5">
                  <c:v>1527.36</c:v>
                </c:pt>
                <c:pt idx="6">
                  <c:v>1462.08</c:v>
                </c:pt>
                <c:pt idx="7">
                  <c:v>1632.96</c:v>
                </c:pt>
                <c:pt idx="8">
                  <c:v>1727.04</c:v>
                </c:pt>
                <c:pt idx="9">
                  <c:v>1598.3999999999999</c:v>
                </c:pt>
                <c:pt idx="10">
                  <c:v>1579</c:v>
                </c:pt>
                <c:pt idx="11">
                  <c:v>1807</c:v>
                </c:pt>
                <c:pt idx="12">
                  <c:v>1874</c:v>
                </c:pt>
                <c:pt idx="13">
                  <c:v>1860</c:v>
                </c:pt>
                <c:pt idx="14">
                  <c:v>1781</c:v>
                </c:pt>
                <c:pt idx="15">
                  <c:v>2084</c:v>
                </c:pt>
                <c:pt idx="16">
                  <c:v>2144</c:v>
                </c:pt>
                <c:pt idx="17">
                  <c:v>2074</c:v>
                </c:pt>
                <c:pt idx="18">
                  <c:v>2007</c:v>
                </c:pt>
                <c:pt idx="19">
                  <c:v>2330</c:v>
                </c:pt>
              </c:numCache>
            </c:numRef>
          </c:val>
          <c:extLst>
            <c:ext xmlns:c16="http://schemas.microsoft.com/office/drawing/2014/chart" uri="{C3380CC4-5D6E-409C-BE32-E72D297353CC}">
              <c16:uniqueId val="{00000000-AB41-4BEE-93CB-A5BB3E2BA9F6}"/>
            </c:ext>
          </c:extLst>
        </c:ser>
        <c:ser>
          <c:idx val="1"/>
          <c:order val="1"/>
          <c:tx>
            <c:v>KO</c:v>
          </c:tx>
          <c:spPr>
            <a:solidFill>
              <a:schemeClr val="accent2"/>
            </a:solidFill>
            <a:ln>
              <a:noFill/>
            </a:ln>
            <a:effectLst/>
          </c:spPr>
          <c:invertIfNegative val="0"/>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Figures!$F$36:$Y$36</c:f>
              <c:numCache>
                <c:formatCode>"$"#,##0_);\("$"#,##0\)</c:formatCode>
                <c:ptCount val="20"/>
                <c:pt idx="0">
                  <c:v>3093.4</c:v>
                </c:pt>
                <c:pt idx="1">
                  <c:v>2809.4666666666667</c:v>
                </c:pt>
                <c:pt idx="2">
                  <c:v>2683.125</c:v>
                </c:pt>
                <c:pt idx="3">
                  <c:v>3162</c:v>
                </c:pt>
                <c:pt idx="4">
                  <c:v>3138</c:v>
                </c:pt>
                <c:pt idx="5">
                  <c:v>2932</c:v>
                </c:pt>
                <c:pt idx="6">
                  <c:v>2850</c:v>
                </c:pt>
                <c:pt idx="7">
                  <c:v>2651.5</c:v>
                </c:pt>
                <c:pt idx="8">
                  <c:v>3086.2666666666664</c:v>
                </c:pt>
                <c:pt idx="9">
                  <c:v>2890.1333333333337</c:v>
                </c:pt>
                <c:pt idx="10">
                  <c:v>2937</c:v>
                </c:pt>
                <c:pt idx="11">
                  <c:v>3381</c:v>
                </c:pt>
                <c:pt idx="12">
                  <c:v>3479</c:v>
                </c:pt>
                <c:pt idx="13">
                  <c:v>3393</c:v>
                </c:pt>
                <c:pt idx="14">
                  <c:v>3590</c:v>
                </c:pt>
                <c:pt idx="15">
                  <c:v>4030</c:v>
                </c:pt>
                <c:pt idx="16">
                  <c:v>4201</c:v>
                </c:pt>
                <c:pt idx="17">
                  <c:v>3854.8461538461538</c:v>
                </c:pt>
                <c:pt idx="18">
                  <c:v>3903.0769230769229</c:v>
                </c:pt>
                <c:pt idx="19">
                  <c:v>4367.9230769230762</c:v>
                </c:pt>
              </c:numCache>
            </c:numRef>
          </c:val>
          <c:extLst>
            <c:ext xmlns:c16="http://schemas.microsoft.com/office/drawing/2014/chart" uri="{C3380CC4-5D6E-409C-BE32-E72D297353CC}">
              <c16:uniqueId val="{00000001-AB41-4BEE-93CB-A5BB3E2BA9F6}"/>
            </c:ext>
          </c:extLst>
        </c:ser>
        <c:ser>
          <c:idx val="2"/>
          <c:order val="2"/>
          <c:tx>
            <c:v>PEP</c:v>
          </c:tx>
          <c:spPr>
            <a:solidFill>
              <a:schemeClr val="accent3"/>
            </a:solidFill>
            <a:ln>
              <a:noFill/>
            </a:ln>
            <a:effectLst/>
          </c:spPr>
          <c:invertIfNegative val="0"/>
          <c:cat>
            <c:strRef>
              <c:f>Figures!$F$3:$Y$3</c:f>
              <c:strCache>
                <c:ptCount val="20"/>
                <c:pt idx="0">
                  <c:v>Q3-FY2018</c:v>
                </c:pt>
                <c:pt idx="1">
                  <c:v>Q4-FY2018</c:v>
                </c:pt>
                <c:pt idx="2">
                  <c:v>Q1-FY2019</c:v>
                </c:pt>
                <c:pt idx="3">
                  <c:v>Q2-FY2019</c:v>
                </c:pt>
                <c:pt idx="4">
                  <c:v>Q3-FY2019</c:v>
                </c:pt>
                <c:pt idx="5">
                  <c:v>Q4-FY2019</c:v>
                </c:pt>
                <c:pt idx="6">
                  <c:v>Q1-FY2020</c:v>
                </c:pt>
                <c:pt idx="7">
                  <c:v>Q2-FY2020</c:v>
                </c:pt>
                <c:pt idx="8">
                  <c:v>Q3-FY2020</c:v>
                </c:pt>
                <c:pt idx="9">
                  <c:v>Q4-FY2020</c:v>
                </c:pt>
                <c:pt idx="10">
                  <c:v>Q1-FY2021</c:v>
                </c:pt>
                <c:pt idx="11">
                  <c:v>Q2-FY2021</c:v>
                </c:pt>
                <c:pt idx="12">
                  <c:v>Q3-FY2021</c:v>
                </c:pt>
                <c:pt idx="13">
                  <c:v>Q4-FY2021</c:v>
                </c:pt>
                <c:pt idx="14">
                  <c:v>Q1-FY2022</c:v>
                </c:pt>
                <c:pt idx="15">
                  <c:v>Q2-FY2022</c:v>
                </c:pt>
                <c:pt idx="16">
                  <c:v>Q3-FY2022</c:v>
                </c:pt>
                <c:pt idx="17">
                  <c:v>Q4-FY2022</c:v>
                </c:pt>
                <c:pt idx="18">
                  <c:v>Q1-FY2023</c:v>
                </c:pt>
                <c:pt idx="19">
                  <c:v>Q2-FY2023</c:v>
                </c:pt>
              </c:strCache>
            </c:strRef>
          </c:cat>
          <c:val>
            <c:numRef>
              <c:f>Figures!$F$37:$Y$37</c:f>
              <c:numCache>
                <c:formatCode>"$"#,##0_);\("$"#,##0\)</c:formatCode>
                <c:ptCount val="20"/>
                <c:pt idx="0">
                  <c:v>5456</c:v>
                </c:pt>
                <c:pt idx="1">
                  <c:v>6008</c:v>
                </c:pt>
                <c:pt idx="2">
                  <c:v>4510</c:v>
                </c:pt>
                <c:pt idx="3">
                  <c:v>5322</c:v>
                </c:pt>
                <c:pt idx="4">
                  <c:v>5643</c:v>
                </c:pt>
                <c:pt idx="5">
                  <c:v>6255</c:v>
                </c:pt>
                <c:pt idx="6">
                  <c:v>4838</c:v>
                </c:pt>
                <c:pt idx="7">
                  <c:v>4970</c:v>
                </c:pt>
                <c:pt idx="8">
                  <c:v>5958</c:v>
                </c:pt>
                <c:pt idx="9">
                  <c:v>6793</c:v>
                </c:pt>
                <c:pt idx="10">
                  <c:v>5042.75</c:v>
                </c:pt>
                <c:pt idx="11">
                  <c:v>6110.166666666667</c:v>
                </c:pt>
                <c:pt idx="12">
                  <c:v>6339.5</c:v>
                </c:pt>
                <c:pt idx="13">
                  <c:v>7581.5</c:v>
                </c:pt>
                <c:pt idx="14">
                  <c:v>5353</c:v>
                </c:pt>
                <c:pt idx="15">
                  <c:v>6120</c:v>
                </c:pt>
                <c:pt idx="16">
                  <c:v>6635</c:v>
                </c:pt>
                <c:pt idx="17">
                  <c:v>8058.2745098039213</c:v>
                </c:pt>
                <c:pt idx="18">
                  <c:v>5798</c:v>
                </c:pt>
                <c:pt idx="19">
                  <c:v>6755</c:v>
                </c:pt>
              </c:numCache>
            </c:numRef>
          </c:val>
          <c:extLst>
            <c:ext xmlns:c16="http://schemas.microsoft.com/office/drawing/2014/chart" uri="{C3380CC4-5D6E-409C-BE32-E72D297353CC}">
              <c16:uniqueId val="{00000002-AB41-4BEE-93CB-A5BB3E2BA9F6}"/>
            </c:ext>
          </c:extLst>
        </c:ser>
        <c:dLbls>
          <c:showLegendKey val="0"/>
          <c:showVal val="0"/>
          <c:showCatName val="0"/>
          <c:showSerName val="0"/>
          <c:showPercent val="0"/>
          <c:showBubbleSize val="0"/>
        </c:dLbls>
        <c:gapWidth val="150"/>
        <c:overlap val="100"/>
        <c:axId val="730350256"/>
        <c:axId val="2025453119"/>
      </c:barChart>
      <c:catAx>
        <c:axId val="730350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453119"/>
        <c:crosses val="autoZero"/>
        <c:auto val="1"/>
        <c:lblAlgn val="ctr"/>
        <c:lblOffset val="100"/>
        <c:noMultiLvlLbl val="0"/>
      </c:catAx>
      <c:valAx>
        <c:axId val="20254531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350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Revenue Growth (YoY,</a:t>
            </a:r>
            <a:r>
              <a:rPr lang="en-US" baseline="0"/>
              <a:t> in bps)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Beverages</c:v>
          </c:tx>
          <c:spPr>
            <a:solidFill>
              <a:schemeClr val="accent1"/>
            </a:solidFill>
            <a:ln>
              <a:noFill/>
            </a:ln>
            <a:effectLst/>
          </c:spPr>
          <c:invertIfNegative val="0"/>
          <c:cat>
            <c:strRef>
              <c:f>Figures!$J$3:$Y$3</c:f>
              <c:strCache>
                <c:ptCount val="16"/>
                <c:pt idx="0">
                  <c:v>Q3-FY2019</c:v>
                </c:pt>
                <c:pt idx="1">
                  <c:v>Q4-FY2019</c:v>
                </c:pt>
                <c:pt idx="2">
                  <c:v>Q1-FY2020</c:v>
                </c:pt>
                <c:pt idx="3">
                  <c:v>Q2-FY2020</c:v>
                </c:pt>
                <c:pt idx="4">
                  <c:v>Q3-FY2020</c:v>
                </c:pt>
                <c:pt idx="5">
                  <c:v>Q4-FY2020</c:v>
                </c:pt>
                <c:pt idx="6">
                  <c:v>Q1-FY2021</c:v>
                </c:pt>
                <c:pt idx="7">
                  <c:v>Q2-FY2021</c:v>
                </c:pt>
                <c:pt idx="8">
                  <c:v>Q3-FY2021</c:v>
                </c:pt>
                <c:pt idx="9">
                  <c:v>Q4-FY2021</c:v>
                </c:pt>
                <c:pt idx="10">
                  <c:v>Q1-FY2022</c:v>
                </c:pt>
                <c:pt idx="11">
                  <c:v>Q2-FY2022</c:v>
                </c:pt>
                <c:pt idx="12">
                  <c:v>Q3-FY2022</c:v>
                </c:pt>
                <c:pt idx="13">
                  <c:v>Q4-FY2022</c:v>
                </c:pt>
                <c:pt idx="14">
                  <c:v>Q1-FY2023</c:v>
                </c:pt>
                <c:pt idx="15">
                  <c:v>Q2-FY2023</c:v>
                </c:pt>
              </c:strCache>
            </c:strRef>
          </c:cat>
          <c:val>
            <c:numRef>
              <c:f>Figures!$J$40:$Y$40</c:f>
              <c:numCache>
                <c:formatCode>#,##0_);\(#,##0\)</c:formatCode>
                <c:ptCount val="16"/>
                <c:pt idx="0">
                  <c:v>174.99999999999994</c:v>
                </c:pt>
                <c:pt idx="1">
                  <c:v>110.00000000000003</c:v>
                </c:pt>
                <c:pt idx="2">
                  <c:v>165</c:v>
                </c:pt>
                <c:pt idx="3">
                  <c:v>-710.00000000000011</c:v>
                </c:pt>
                <c:pt idx="4">
                  <c:v>-169.99999999999994</c:v>
                </c:pt>
                <c:pt idx="5">
                  <c:v>-470</c:v>
                </c:pt>
                <c:pt idx="6">
                  <c:v>180.00000000000003</c:v>
                </c:pt>
                <c:pt idx="7">
                  <c:v>1455.0000000000002</c:v>
                </c:pt>
                <c:pt idx="8">
                  <c:v>365</c:v>
                </c:pt>
                <c:pt idx="9">
                  <c:v>1464.9999999999995</c:v>
                </c:pt>
                <c:pt idx="10">
                  <c:v>610</c:v>
                </c:pt>
                <c:pt idx="11">
                  <c:v>570</c:v>
                </c:pt>
                <c:pt idx="12">
                  <c:v>650.00000000000011</c:v>
                </c:pt>
                <c:pt idx="13">
                  <c:v>-419.99999999999983</c:v>
                </c:pt>
                <c:pt idx="14">
                  <c:v>-10.000000000000009</c:v>
                </c:pt>
                <c:pt idx="15">
                  <c:v>-350.00000000000006</c:v>
                </c:pt>
              </c:numCache>
            </c:numRef>
          </c:val>
          <c:extLst>
            <c:ext xmlns:c16="http://schemas.microsoft.com/office/drawing/2014/chart" uri="{C3380CC4-5D6E-409C-BE32-E72D297353CC}">
              <c16:uniqueId val="{00000000-3A0D-4753-83ED-084FEE0FBC7E}"/>
            </c:ext>
          </c:extLst>
        </c:ser>
        <c:ser>
          <c:idx val="1"/>
          <c:order val="1"/>
          <c:tx>
            <c:v>Coffee</c:v>
          </c:tx>
          <c:spPr>
            <a:solidFill>
              <a:schemeClr val="accent2"/>
            </a:solidFill>
            <a:ln>
              <a:noFill/>
            </a:ln>
            <a:effectLst/>
          </c:spPr>
          <c:invertIfNegative val="0"/>
          <c:cat>
            <c:strRef>
              <c:f>Figures!$J$3:$Y$3</c:f>
              <c:strCache>
                <c:ptCount val="16"/>
                <c:pt idx="0">
                  <c:v>Q3-FY2019</c:v>
                </c:pt>
                <c:pt idx="1">
                  <c:v>Q4-FY2019</c:v>
                </c:pt>
                <c:pt idx="2">
                  <c:v>Q1-FY2020</c:v>
                </c:pt>
                <c:pt idx="3">
                  <c:v>Q2-FY2020</c:v>
                </c:pt>
                <c:pt idx="4">
                  <c:v>Q3-FY2020</c:v>
                </c:pt>
                <c:pt idx="5">
                  <c:v>Q4-FY2020</c:v>
                </c:pt>
                <c:pt idx="6">
                  <c:v>Q1-FY2021</c:v>
                </c:pt>
                <c:pt idx="7">
                  <c:v>Q2-FY2021</c:v>
                </c:pt>
                <c:pt idx="8">
                  <c:v>Q3-FY2021</c:v>
                </c:pt>
                <c:pt idx="9">
                  <c:v>Q4-FY2021</c:v>
                </c:pt>
                <c:pt idx="10">
                  <c:v>Q1-FY2022</c:v>
                </c:pt>
                <c:pt idx="11">
                  <c:v>Q2-FY2022</c:v>
                </c:pt>
                <c:pt idx="12">
                  <c:v>Q3-FY2022</c:v>
                </c:pt>
                <c:pt idx="13">
                  <c:v>Q4-FY2022</c:v>
                </c:pt>
                <c:pt idx="14">
                  <c:v>Q1-FY2023</c:v>
                </c:pt>
                <c:pt idx="15">
                  <c:v>Q2-FY2023</c:v>
                </c:pt>
              </c:strCache>
            </c:strRef>
          </c:cat>
          <c:val>
            <c:numRef>
              <c:f>Figures!$J$42:$Y$42</c:f>
              <c:numCache>
                <c:formatCode>#,##0_);\(#,##0\)</c:formatCode>
                <c:ptCount val="16"/>
                <c:pt idx="0">
                  <c:v>-70.000000000000028</c:v>
                </c:pt>
                <c:pt idx="1">
                  <c:v>190.00000000000003</c:v>
                </c:pt>
                <c:pt idx="2">
                  <c:v>280.00000000000006</c:v>
                </c:pt>
                <c:pt idx="3">
                  <c:v>315</c:v>
                </c:pt>
                <c:pt idx="4">
                  <c:v>479.99999999999989</c:v>
                </c:pt>
                <c:pt idx="5">
                  <c:v>435.00000000000006</c:v>
                </c:pt>
                <c:pt idx="6">
                  <c:v>1395.0000000000002</c:v>
                </c:pt>
                <c:pt idx="7">
                  <c:v>-145.00000000000006</c:v>
                </c:pt>
                <c:pt idx="8">
                  <c:v>-164.99999999999994</c:v>
                </c:pt>
                <c:pt idx="9">
                  <c:v>-920</c:v>
                </c:pt>
                <c:pt idx="10">
                  <c:v>-2410</c:v>
                </c:pt>
                <c:pt idx="11">
                  <c:v>310.00000000000006</c:v>
                </c:pt>
                <c:pt idx="12">
                  <c:v>-99.999999999999943</c:v>
                </c:pt>
                <c:pt idx="13">
                  <c:v>1400.0000000000002</c:v>
                </c:pt>
                <c:pt idx="14">
                  <c:v>409.99999999999989</c:v>
                </c:pt>
                <c:pt idx="15">
                  <c:v>-1340</c:v>
                </c:pt>
              </c:numCache>
            </c:numRef>
          </c:val>
          <c:extLst>
            <c:ext xmlns:c16="http://schemas.microsoft.com/office/drawing/2014/chart" uri="{C3380CC4-5D6E-409C-BE32-E72D297353CC}">
              <c16:uniqueId val="{00000001-3A0D-4753-83ED-084FEE0FBC7E}"/>
            </c:ext>
          </c:extLst>
        </c:ser>
        <c:dLbls>
          <c:showLegendKey val="0"/>
          <c:showVal val="0"/>
          <c:showCatName val="0"/>
          <c:showSerName val="0"/>
          <c:showPercent val="0"/>
          <c:showBubbleSize val="0"/>
        </c:dLbls>
        <c:gapWidth val="219"/>
        <c:overlap val="-27"/>
        <c:axId val="690127984"/>
        <c:axId val="2025458399"/>
      </c:barChart>
      <c:catAx>
        <c:axId val="69012798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458399"/>
        <c:crosses val="autoZero"/>
        <c:auto val="1"/>
        <c:lblAlgn val="ctr"/>
        <c:lblOffset val="100"/>
        <c:noMultiLvlLbl val="0"/>
      </c:catAx>
      <c:valAx>
        <c:axId val="2025458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YoY bps Change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127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EBIT Margin (YoY,</a:t>
            </a:r>
            <a:r>
              <a:rPr lang="en-US" baseline="0"/>
              <a:t> in bps)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Beverages</c:v>
          </c:tx>
          <c:spPr>
            <a:solidFill>
              <a:schemeClr val="accent1"/>
            </a:solidFill>
            <a:ln>
              <a:noFill/>
            </a:ln>
            <a:effectLst/>
          </c:spPr>
          <c:invertIfNegative val="0"/>
          <c:cat>
            <c:strRef>
              <c:f>Figures!$J$3:$Y$3</c:f>
              <c:strCache>
                <c:ptCount val="16"/>
                <c:pt idx="0">
                  <c:v>Q3-FY2019</c:v>
                </c:pt>
                <c:pt idx="1">
                  <c:v>Q4-FY2019</c:v>
                </c:pt>
                <c:pt idx="2">
                  <c:v>Q1-FY2020</c:v>
                </c:pt>
                <c:pt idx="3">
                  <c:v>Q2-FY2020</c:v>
                </c:pt>
                <c:pt idx="4">
                  <c:v>Q3-FY2020</c:v>
                </c:pt>
                <c:pt idx="5">
                  <c:v>Q4-FY2020</c:v>
                </c:pt>
                <c:pt idx="6">
                  <c:v>Q1-FY2021</c:v>
                </c:pt>
                <c:pt idx="7">
                  <c:v>Q2-FY2021</c:v>
                </c:pt>
                <c:pt idx="8">
                  <c:v>Q3-FY2021</c:v>
                </c:pt>
                <c:pt idx="9">
                  <c:v>Q4-FY2021</c:v>
                </c:pt>
                <c:pt idx="10">
                  <c:v>Q1-FY2022</c:v>
                </c:pt>
                <c:pt idx="11">
                  <c:v>Q2-FY2022</c:v>
                </c:pt>
                <c:pt idx="12">
                  <c:v>Q3-FY2022</c:v>
                </c:pt>
                <c:pt idx="13">
                  <c:v>Q4-FY2022</c:v>
                </c:pt>
                <c:pt idx="14">
                  <c:v>Q1-FY2023</c:v>
                </c:pt>
                <c:pt idx="15">
                  <c:v>Q2-FY2023</c:v>
                </c:pt>
              </c:strCache>
            </c:strRef>
          </c:cat>
          <c:val>
            <c:numRef>
              <c:f>Figures!$J$44:$Y$44</c:f>
              <c:numCache>
                <c:formatCode>#,##0_);\(#,##0\)</c:formatCode>
                <c:ptCount val="16"/>
                <c:pt idx="0">
                  <c:v>457.09608078384366</c:v>
                </c:pt>
                <c:pt idx="1">
                  <c:v>198.00298838695994</c:v>
                </c:pt>
                <c:pt idx="2">
                  <c:v>83.265274785064292</c:v>
                </c:pt>
                <c:pt idx="3">
                  <c:v>289.79265238408823</c:v>
                </c:pt>
                <c:pt idx="4">
                  <c:v>488.26254760165222</c:v>
                </c:pt>
                <c:pt idx="5">
                  <c:v>-131.72329306050224</c:v>
                </c:pt>
                <c:pt idx="6">
                  <c:v>35.54185897166662</c:v>
                </c:pt>
                <c:pt idx="7">
                  <c:v>15.69457363155724</c:v>
                </c:pt>
                <c:pt idx="8">
                  <c:v>-56.282441488403336</c:v>
                </c:pt>
                <c:pt idx="9">
                  <c:v>28.845377635700054</c:v>
                </c:pt>
                <c:pt idx="10">
                  <c:v>-79.834321824308603</c:v>
                </c:pt>
                <c:pt idx="11">
                  <c:v>-247.40373064017385</c:v>
                </c:pt>
                <c:pt idx="12">
                  <c:v>-18.60196084678023</c:v>
                </c:pt>
                <c:pt idx="13">
                  <c:v>-135.41439844049708</c:v>
                </c:pt>
                <c:pt idx="14">
                  <c:v>-23.603519070116153</c:v>
                </c:pt>
                <c:pt idx="15">
                  <c:v>147.7721120657699</c:v>
                </c:pt>
              </c:numCache>
            </c:numRef>
          </c:val>
          <c:extLst>
            <c:ext xmlns:c16="http://schemas.microsoft.com/office/drawing/2014/chart" uri="{C3380CC4-5D6E-409C-BE32-E72D297353CC}">
              <c16:uniqueId val="{00000000-9FD3-4A2A-B15A-7A112A0BD50E}"/>
            </c:ext>
          </c:extLst>
        </c:ser>
        <c:ser>
          <c:idx val="1"/>
          <c:order val="1"/>
          <c:tx>
            <c:v>Coffee</c:v>
          </c:tx>
          <c:spPr>
            <a:solidFill>
              <a:schemeClr val="accent2"/>
            </a:solidFill>
            <a:ln>
              <a:noFill/>
            </a:ln>
            <a:effectLst/>
          </c:spPr>
          <c:invertIfNegative val="0"/>
          <c:cat>
            <c:strRef>
              <c:f>Figures!$J$3:$Y$3</c:f>
              <c:strCache>
                <c:ptCount val="16"/>
                <c:pt idx="0">
                  <c:v>Q3-FY2019</c:v>
                </c:pt>
                <c:pt idx="1">
                  <c:v>Q4-FY2019</c:v>
                </c:pt>
                <c:pt idx="2">
                  <c:v>Q1-FY2020</c:v>
                </c:pt>
                <c:pt idx="3">
                  <c:v>Q2-FY2020</c:v>
                </c:pt>
                <c:pt idx="4">
                  <c:v>Q3-FY2020</c:v>
                </c:pt>
                <c:pt idx="5">
                  <c:v>Q4-FY2020</c:v>
                </c:pt>
                <c:pt idx="6">
                  <c:v>Q1-FY2021</c:v>
                </c:pt>
                <c:pt idx="7">
                  <c:v>Q2-FY2021</c:v>
                </c:pt>
                <c:pt idx="8">
                  <c:v>Q3-FY2021</c:v>
                </c:pt>
                <c:pt idx="9">
                  <c:v>Q4-FY2021</c:v>
                </c:pt>
                <c:pt idx="10">
                  <c:v>Q1-FY2022</c:v>
                </c:pt>
                <c:pt idx="11">
                  <c:v>Q2-FY2022</c:v>
                </c:pt>
                <c:pt idx="12">
                  <c:v>Q3-FY2022</c:v>
                </c:pt>
                <c:pt idx="13">
                  <c:v>Q4-FY2022</c:v>
                </c:pt>
                <c:pt idx="14">
                  <c:v>Q1-FY2023</c:v>
                </c:pt>
                <c:pt idx="15">
                  <c:v>Q2-FY2023</c:v>
                </c:pt>
              </c:strCache>
            </c:strRef>
          </c:cat>
          <c:val>
            <c:numRef>
              <c:f>Figures!$J$46:$Y$46</c:f>
              <c:numCache>
                <c:formatCode>#,##0_);\(#,##0\)</c:formatCode>
                <c:ptCount val="16"/>
                <c:pt idx="0">
                  <c:v>-174.08063745000146</c:v>
                </c:pt>
                <c:pt idx="1">
                  <c:v>256.72474180571282</c:v>
                </c:pt>
                <c:pt idx="2">
                  <c:v>112.90969969693032</c:v>
                </c:pt>
                <c:pt idx="3">
                  <c:v>146.46273207222171</c:v>
                </c:pt>
                <c:pt idx="4">
                  <c:v>-49.024312005176981</c:v>
                </c:pt>
                <c:pt idx="5">
                  <c:v>221.76308539944844</c:v>
                </c:pt>
                <c:pt idx="6">
                  <c:v>76.574281749620113</c:v>
                </c:pt>
                <c:pt idx="7">
                  <c:v>98.829592119408233</c:v>
                </c:pt>
                <c:pt idx="8">
                  <c:v>15.290273367745133</c:v>
                </c:pt>
                <c:pt idx="9">
                  <c:v>-206.60917131565648</c:v>
                </c:pt>
                <c:pt idx="10">
                  <c:v>-699.73441001690117</c:v>
                </c:pt>
                <c:pt idx="11">
                  <c:v>-498.37436844595737</c:v>
                </c:pt>
                <c:pt idx="12">
                  <c:v>-638.34054379279689</c:v>
                </c:pt>
                <c:pt idx="13">
                  <c:v>98.8703954472997</c:v>
                </c:pt>
                <c:pt idx="14">
                  <c:v>-130.71612526240617</c:v>
                </c:pt>
                <c:pt idx="15">
                  <c:v>-313.30588199933896</c:v>
                </c:pt>
              </c:numCache>
            </c:numRef>
          </c:val>
          <c:extLst>
            <c:ext xmlns:c16="http://schemas.microsoft.com/office/drawing/2014/chart" uri="{C3380CC4-5D6E-409C-BE32-E72D297353CC}">
              <c16:uniqueId val="{00000001-9FD3-4A2A-B15A-7A112A0BD50E}"/>
            </c:ext>
          </c:extLst>
        </c:ser>
        <c:dLbls>
          <c:showLegendKey val="0"/>
          <c:showVal val="0"/>
          <c:showCatName val="0"/>
          <c:showSerName val="0"/>
          <c:showPercent val="0"/>
          <c:showBubbleSize val="0"/>
        </c:dLbls>
        <c:gapWidth val="219"/>
        <c:overlap val="-27"/>
        <c:axId val="690127984"/>
        <c:axId val="2025458399"/>
      </c:barChart>
      <c:catAx>
        <c:axId val="69012798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458399"/>
        <c:crosses val="autoZero"/>
        <c:auto val="1"/>
        <c:lblAlgn val="ctr"/>
        <c:lblOffset val="100"/>
        <c:noMultiLvlLbl val="0"/>
      </c:catAx>
      <c:valAx>
        <c:axId val="2025458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YoY bps Change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127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of Revenue by Segment,</a:t>
            </a:r>
            <a:r>
              <a:rPr lang="en-US" baseline="0"/>
              <a:t> Change YoY in bps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Beverages</c:v>
          </c:tx>
          <c:spPr>
            <a:solidFill>
              <a:schemeClr val="accent1"/>
            </a:solidFill>
            <a:ln>
              <a:noFill/>
            </a:ln>
            <a:effectLst/>
          </c:spPr>
          <c:invertIfNegative val="0"/>
          <c:cat>
            <c:strRef>
              <c:f>Figures!$J$3:$AI$3</c:f>
              <c:strCache>
                <c:ptCount val="26"/>
                <c:pt idx="0">
                  <c:v>Q3-FY2019</c:v>
                </c:pt>
                <c:pt idx="1">
                  <c:v>Q4-FY2019</c:v>
                </c:pt>
                <c:pt idx="2">
                  <c:v>Q1-FY2020</c:v>
                </c:pt>
                <c:pt idx="3">
                  <c:v>Q2-FY2020</c:v>
                </c:pt>
                <c:pt idx="4">
                  <c:v>Q3-FY2020</c:v>
                </c:pt>
                <c:pt idx="5">
                  <c:v>Q4-FY2020</c:v>
                </c:pt>
                <c:pt idx="6">
                  <c:v>Q1-FY2021</c:v>
                </c:pt>
                <c:pt idx="7">
                  <c:v>Q2-FY2021</c:v>
                </c:pt>
                <c:pt idx="8">
                  <c:v>Q3-FY2021</c:v>
                </c:pt>
                <c:pt idx="9">
                  <c:v>Q4-FY2021</c:v>
                </c:pt>
                <c:pt idx="10">
                  <c:v>Q1-FY2022</c:v>
                </c:pt>
                <c:pt idx="11">
                  <c:v>Q2-FY2022</c:v>
                </c:pt>
                <c:pt idx="12">
                  <c:v>Q3-FY2022</c:v>
                </c:pt>
                <c:pt idx="13">
                  <c:v>Q4-FY2022</c:v>
                </c:pt>
                <c:pt idx="14">
                  <c:v>Q1-FY2023</c:v>
                </c:pt>
                <c:pt idx="15">
                  <c:v>Q2-FY2023</c:v>
                </c:pt>
                <c:pt idx="16">
                  <c:v>Q3-FY2023</c:v>
                </c:pt>
                <c:pt idx="17">
                  <c:v>Q4-FY2023</c:v>
                </c:pt>
                <c:pt idx="18">
                  <c:v>Q1-FY2024</c:v>
                </c:pt>
                <c:pt idx="19">
                  <c:v>Q2-FY2024</c:v>
                </c:pt>
                <c:pt idx="20">
                  <c:v>Q3-FY2024</c:v>
                </c:pt>
                <c:pt idx="21">
                  <c:v>Q4-FY2024</c:v>
                </c:pt>
                <c:pt idx="22">
                  <c:v>Q1-FY2025</c:v>
                </c:pt>
                <c:pt idx="23">
                  <c:v>Q2-FY2025</c:v>
                </c:pt>
                <c:pt idx="24">
                  <c:v>Q3-FY2025</c:v>
                </c:pt>
                <c:pt idx="25">
                  <c:v>Q4-FY2025</c:v>
                </c:pt>
              </c:strCache>
            </c:strRef>
          </c:cat>
          <c:val>
            <c:numRef>
              <c:f>Figures!$J$48:$AI$48</c:f>
              <c:numCache>
                <c:formatCode>#,##0_);\(#,##0\)</c:formatCode>
                <c:ptCount val="26"/>
                <c:pt idx="0">
                  <c:v>-27.333469973355172</c:v>
                </c:pt>
                <c:pt idx="1">
                  <c:v>-12.333040361104386</c:v>
                </c:pt>
                <c:pt idx="2">
                  <c:v>151.31812062812111</c:v>
                </c:pt>
                <c:pt idx="3">
                  <c:v>-37.157592758886302</c:v>
                </c:pt>
                <c:pt idx="4">
                  <c:v>142.64762212428229</c:v>
                </c:pt>
                <c:pt idx="5">
                  <c:v>-84.29053401032283</c:v>
                </c:pt>
                <c:pt idx="6">
                  <c:v>-154.33245689065234</c:v>
                </c:pt>
                <c:pt idx="7">
                  <c:v>53.101092410062776</c:v>
                </c:pt>
                <c:pt idx="8">
                  <c:v>47.478349465104316</c:v>
                </c:pt>
                <c:pt idx="9">
                  <c:v>363.67220050511628</c:v>
                </c:pt>
                <c:pt idx="10">
                  <c:v>345.1497007060633</c:v>
                </c:pt>
                <c:pt idx="11">
                  <c:v>109.03834918222555</c:v>
                </c:pt>
                <c:pt idx="12">
                  <c:v>153.22771099689936</c:v>
                </c:pt>
                <c:pt idx="13">
                  <c:v>-31.518366237274222</c:v>
                </c:pt>
                <c:pt idx="14">
                  <c:v>199.45964036356955</c:v>
                </c:pt>
                <c:pt idx="15">
                  <c:v>285.56436433813894</c:v>
                </c:pt>
                <c:pt idx="16">
                  <c:v>235.9687265581789</c:v>
                </c:pt>
                <c:pt idx="17">
                  <c:v>210.4417816777171</c:v>
                </c:pt>
                <c:pt idx="18">
                  <c:v>178.28234471007676</c:v>
                </c:pt>
                <c:pt idx="19">
                  <c:v>73.148084706368138</c:v>
                </c:pt>
                <c:pt idx="20">
                  <c:v>63.957443730031649</c:v>
                </c:pt>
                <c:pt idx="21">
                  <c:v>77.708484384590989</c:v>
                </c:pt>
                <c:pt idx="22">
                  <c:v>58.863835168759813</c:v>
                </c:pt>
                <c:pt idx="23">
                  <c:v>54.706902555612388</c:v>
                </c:pt>
                <c:pt idx="24">
                  <c:v>56.273706087158757</c:v>
                </c:pt>
                <c:pt idx="25">
                  <c:v>66.075154631093369</c:v>
                </c:pt>
              </c:numCache>
            </c:numRef>
          </c:val>
          <c:extLst>
            <c:ext xmlns:c16="http://schemas.microsoft.com/office/drawing/2014/chart" uri="{C3380CC4-5D6E-409C-BE32-E72D297353CC}">
              <c16:uniqueId val="{00000000-EEDE-468E-ABBF-99B326150BA6}"/>
            </c:ext>
          </c:extLst>
        </c:ser>
        <c:ser>
          <c:idx val="1"/>
          <c:order val="1"/>
          <c:tx>
            <c:v>Coffee</c:v>
          </c:tx>
          <c:spPr>
            <a:solidFill>
              <a:schemeClr val="accent2"/>
            </a:solidFill>
            <a:ln>
              <a:noFill/>
            </a:ln>
            <a:effectLst/>
          </c:spPr>
          <c:invertIfNegative val="0"/>
          <c:cat>
            <c:strRef>
              <c:f>Figures!$J$3:$AI$3</c:f>
              <c:strCache>
                <c:ptCount val="26"/>
                <c:pt idx="0">
                  <c:v>Q3-FY2019</c:v>
                </c:pt>
                <c:pt idx="1">
                  <c:v>Q4-FY2019</c:v>
                </c:pt>
                <c:pt idx="2">
                  <c:v>Q1-FY2020</c:v>
                </c:pt>
                <c:pt idx="3">
                  <c:v>Q2-FY2020</c:v>
                </c:pt>
                <c:pt idx="4">
                  <c:v>Q3-FY2020</c:v>
                </c:pt>
                <c:pt idx="5">
                  <c:v>Q4-FY2020</c:v>
                </c:pt>
                <c:pt idx="6">
                  <c:v>Q1-FY2021</c:v>
                </c:pt>
                <c:pt idx="7">
                  <c:v>Q2-FY2021</c:v>
                </c:pt>
                <c:pt idx="8">
                  <c:v>Q3-FY2021</c:v>
                </c:pt>
                <c:pt idx="9">
                  <c:v>Q4-FY2021</c:v>
                </c:pt>
                <c:pt idx="10">
                  <c:v>Q1-FY2022</c:v>
                </c:pt>
                <c:pt idx="11">
                  <c:v>Q2-FY2022</c:v>
                </c:pt>
                <c:pt idx="12">
                  <c:v>Q3-FY2022</c:v>
                </c:pt>
                <c:pt idx="13">
                  <c:v>Q4-FY2022</c:v>
                </c:pt>
                <c:pt idx="14">
                  <c:v>Q1-FY2023</c:v>
                </c:pt>
                <c:pt idx="15">
                  <c:v>Q2-FY2023</c:v>
                </c:pt>
                <c:pt idx="16">
                  <c:v>Q3-FY2023</c:v>
                </c:pt>
                <c:pt idx="17">
                  <c:v>Q4-FY2023</c:v>
                </c:pt>
                <c:pt idx="18">
                  <c:v>Q1-FY2024</c:v>
                </c:pt>
                <c:pt idx="19">
                  <c:v>Q2-FY2024</c:v>
                </c:pt>
                <c:pt idx="20">
                  <c:v>Q3-FY2024</c:v>
                </c:pt>
                <c:pt idx="21">
                  <c:v>Q4-FY2024</c:v>
                </c:pt>
                <c:pt idx="22">
                  <c:v>Q1-FY2025</c:v>
                </c:pt>
                <c:pt idx="23">
                  <c:v>Q2-FY2025</c:v>
                </c:pt>
                <c:pt idx="24">
                  <c:v>Q3-FY2025</c:v>
                </c:pt>
                <c:pt idx="25">
                  <c:v>Q4-FY2025</c:v>
                </c:pt>
              </c:strCache>
            </c:strRef>
          </c:cat>
          <c:val>
            <c:numRef>
              <c:f>Figures!$J$49:$AI$49</c:f>
              <c:numCache>
                <c:formatCode>#,##0_);\(#,##0\)</c:formatCode>
                <c:ptCount val="26"/>
                <c:pt idx="0">
                  <c:v>20.490879278540763</c:v>
                </c:pt>
                <c:pt idx="1">
                  <c:v>-11.926756458172093</c:v>
                </c:pt>
                <c:pt idx="2">
                  <c:v>-122.22788735115175</c:v>
                </c:pt>
                <c:pt idx="3">
                  <c:v>104.17514324085941</c:v>
                </c:pt>
                <c:pt idx="4">
                  <c:v>-67.381913838059916</c:v>
                </c:pt>
                <c:pt idx="5">
                  <c:v>90.601805348337621</c:v>
                </c:pt>
                <c:pt idx="6">
                  <c:v>233.1889299724138</c:v>
                </c:pt>
                <c:pt idx="7">
                  <c:v>-90.512133935878865</c:v>
                </c:pt>
                <c:pt idx="8">
                  <c:v>-40.830361691289177</c:v>
                </c:pt>
                <c:pt idx="9">
                  <c:v>-290.20048640732546</c:v>
                </c:pt>
                <c:pt idx="10">
                  <c:v>-371.88396879837717</c:v>
                </c:pt>
                <c:pt idx="11">
                  <c:v>-146.07206735749446</c:v>
                </c:pt>
                <c:pt idx="12">
                  <c:v>-197.93059508134036</c:v>
                </c:pt>
                <c:pt idx="13">
                  <c:v>31.816133610080843</c:v>
                </c:pt>
                <c:pt idx="14">
                  <c:v>-287.05975872953871</c:v>
                </c:pt>
                <c:pt idx="15">
                  <c:v>-335.2869790271962</c:v>
                </c:pt>
                <c:pt idx="16">
                  <c:v>-274.89233558703086</c:v>
                </c:pt>
                <c:pt idx="17">
                  <c:v>-275.2029517832072</c:v>
                </c:pt>
                <c:pt idx="18">
                  <c:v>-220.87960258198481</c:v>
                </c:pt>
                <c:pt idx="19">
                  <c:v>-121.74289942053385</c:v>
                </c:pt>
                <c:pt idx="20">
                  <c:v>-118.46046268187999</c:v>
                </c:pt>
                <c:pt idx="21">
                  <c:v>-135.18776919049236</c:v>
                </c:pt>
                <c:pt idx="22">
                  <c:v>-107.48160007119174</c:v>
                </c:pt>
                <c:pt idx="23">
                  <c:v>-104.51693063533469</c:v>
                </c:pt>
                <c:pt idx="24">
                  <c:v>-104.55369070984655</c:v>
                </c:pt>
                <c:pt idx="25">
                  <c:v>-117.64825214504226</c:v>
                </c:pt>
              </c:numCache>
            </c:numRef>
          </c:val>
          <c:extLst>
            <c:ext xmlns:c16="http://schemas.microsoft.com/office/drawing/2014/chart" uri="{C3380CC4-5D6E-409C-BE32-E72D297353CC}">
              <c16:uniqueId val="{00000001-EEDE-468E-ABBF-99B326150BA6}"/>
            </c:ext>
          </c:extLst>
        </c:ser>
        <c:dLbls>
          <c:showLegendKey val="0"/>
          <c:showVal val="0"/>
          <c:showCatName val="0"/>
          <c:showSerName val="0"/>
          <c:showPercent val="0"/>
          <c:showBubbleSize val="0"/>
        </c:dLbls>
        <c:gapWidth val="219"/>
        <c:overlap val="-27"/>
        <c:axId val="1005980800"/>
        <c:axId val="2056297119"/>
      </c:barChart>
      <c:catAx>
        <c:axId val="1005980800"/>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297119"/>
        <c:crosses val="autoZero"/>
        <c:auto val="1"/>
        <c:lblAlgn val="ctr"/>
        <c:lblOffset val="100"/>
        <c:noMultiLvlLbl val="0"/>
      </c:catAx>
      <c:valAx>
        <c:axId val="20562971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Bps</a:t>
                </a:r>
                <a:r>
                  <a:rPr lang="en-US" baseline="0"/>
                  <a:t> change YoY, % share of firm revenue by segment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980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Usage</a:t>
            </a:r>
          </a:p>
        </c:rich>
      </c:tx>
      <c:overlay val="0"/>
      <c:spPr>
        <a:noFill/>
        <a:ln>
          <a:noFill/>
        </a:ln>
        <a:effectLst/>
      </c:spPr>
    </c:title>
    <c:autoTitleDeleted val="0"/>
    <c:plotArea>
      <c:layout/>
      <c:barChart>
        <c:barDir val="col"/>
        <c:grouping val="clustered"/>
        <c:varyColors val="0"/>
        <c:ser>
          <c:idx val="2"/>
          <c:order val="0"/>
          <c:tx>
            <c:v>% of Keurig Owners Using Keurig for their Coffee</c:v>
          </c:tx>
          <c:invertIfNegative val="0"/>
          <c:cat>
            <c:numRef>
              <c:f>'Coffee Market TAM (new)'!$I$38:$Y$38</c:f>
              <c:numCache>
                <c:formatCode>General</c:formatCode>
                <c:ptCount val="17"/>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numCache>
            </c:numRef>
          </c:cat>
          <c:val>
            <c:numRef>
              <c:f>'Coffee Market TAM (new)'!$I$50:$Y$50</c:f>
              <c:numCache>
                <c:formatCode>0%</c:formatCode>
                <c:ptCount val="17"/>
                <c:pt idx="0">
                  <c:v>0.98009999999999997</c:v>
                </c:pt>
                <c:pt idx="1">
                  <c:v>0.92070000000000007</c:v>
                </c:pt>
                <c:pt idx="2">
                  <c:v>0.89100000000000001</c:v>
                </c:pt>
                <c:pt idx="3">
                  <c:v>0.76500000000000001</c:v>
                </c:pt>
                <c:pt idx="4">
                  <c:v>0.61499999999999999</c:v>
                </c:pt>
                <c:pt idx="5">
                  <c:v>0.53300000000000003</c:v>
                </c:pt>
                <c:pt idx="6">
                  <c:v>0.4592</c:v>
                </c:pt>
                <c:pt idx="7">
                  <c:v>0.4264</c:v>
                </c:pt>
                <c:pt idx="8">
                  <c:v>0.41</c:v>
                </c:pt>
                <c:pt idx="9">
                  <c:v>0.41</c:v>
                </c:pt>
                <c:pt idx="10">
                  <c:v>0.39359999999999995</c:v>
                </c:pt>
                <c:pt idx="11">
                  <c:v>0.37719999999999998</c:v>
                </c:pt>
                <c:pt idx="12">
                  <c:v>0.37719999999999998</c:v>
                </c:pt>
                <c:pt idx="13">
                  <c:v>0.36899999999999999</c:v>
                </c:pt>
                <c:pt idx="14">
                  <c:v>0.36079999999999995</c:v>
                </c:pt>
                <c:pt idx="15">
                  <c:v>0.35259999999999997</c:v>
                </c:pt>
                <c:pt idx="16">
                  <c:v>0.34439999999999998</c:v>
                </c:pt>
              </c:numCache>
            </c:numRef>
          </c:val>
          <c:extLst>
            <c:ext xmlns:c16="http://schemas.microsoft.com/office/drawing/2014/chart" uri="{C3380CC4-5D6E-409C-BE32-E72D297353CC}">
              <c16:uniqueId val="{00000006-D478-4F61-ADF1-DD03F6A24BFD}"/>
            </c:ext>
          </c:extLst>
        </c:ser>
        <c:dLbls>
          <c:showLegendKey val="0"/>
          <c:showVal val="0"/>
          <c:showCatName val="0"/>
          <c:showSerName val="0"/>
          <c:showPercent val="0"/>
          <c:showBubbleSize val="0"/>
        </c:dLbls>
        <c:gapWidth val="150"/>
        <c:axId val="1432964544"/>
        <c:axId val="2098893119"/>
      </c:barChart>
      <c:lineChart>
        <c:grouping val="standard"/>
        <c:varyColors val="0"/>
        <c:ser>
          <c:idx val="0"/>
          <c:order val="1"/>
          <c:tx>
            <c:v>% Machines Inactive</c:v>
          </c:tx>
          <c:marker>
            <c:symbol val="none"/>
          </c:marker>
          <c:val>
            <c:numRef>
              <c:f>'Coffee Market TAM (new)'!$J$40:$Y$40</c:f>
              <c:numCache>
                <c:formatCode>0%</c:formatCode>
                <c:ptCount val="16"/>
                <c:pt idx="0">
                  <c:v>0.21</c:v>
                </c:pt>
                <c:pt idx="1">
                  <c:v>0.22</c:v>
                </c:pt>
                <c:pt idx="2">
                  <c:v>0.23</c:v>
                </c:pt>
                <c:pt idx="3">
                  <c:v>0.24</c:v>
                </c:pt>
                <c:pt idx="4">
                  <c:v>0.25</c:v>
                </c:pt>
                <c:pt idx="5">
                  <c:v>0.26</c:v>
                </c:pt>
                <c:pt idx="6">
                  <c:v>0.28000000000000003</c:v>
                </c:pt>
                <c:pt idx="7">
                  <c:v>0.31</c:v>
                </c:pt>
                <c:pt idx="8">
                  <c:v>0.34210526315789475</c:v>
                </c:pt>
                <c:pt idx="9">
                  <c:v>0.32</c:v>
                </c:pt>
                <c:pt idx="10">
                  <c:v>0.3</c:v>
                </c:pt>
                <c:pt idx="11">
                  <c:v>0.26666666666666666</c:v>
                </c:pt>
                <c:pt idx="12">
                  <c:v>0.27</c:v>
                </c:pt>
                <c:pt idx="13">
                  <c:v>0.3</c:v>
                </c:pt>
                <c:pt idx="14">
                  <c:v>0.31</c:v>
                </c:pt>
                <c:pt idx="15">
                  <c:v>0.32</c:v>
                </c:pt>
              </c:numCache>
            </c:numRef>
          </c:val>
          <c:smooth val="0"/>
          <c:extLst>
            <c:ext xmlns:c16="http://schemas.microsoft.com/office/drawing/2014/chart" uri="{C3380CC4-5D6E-409C-BE32-E72D297353CC}">
              <c16:uniqueId val="{00000007-D478-4F61-ADF1-DD03F6A24BFD}"/>
            </c:ext>
          </c:extLst>
        </c:ser>
        <c:dLbls>
          <c:showLegendKey val="0"/>
          <c:showVal val="0"/>
          <c:showCatName val="0"/>
          <c:showSerName val="0"/>
          <c:showPercent val="0"/>
          <c:showBubbleSize val="0"/>
        </c:dLbls>
        <c:marker val="1"/>
        <c:smooth val="0"/>
        <c:axId val="1432964544"/>
        <c:axId val="2098893119"/>
      </c:lineChart>
      <c:catAx>
        <c:axId val="143296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893119"/>
        <c:crosses val="autoZero"/>
        <c:auto val="1"/>
        <c:lblAlgn val="ctr"/>
        <c:lblOffset val="100"/>
        <c:noMultiLvlLbl val="0"/>
      </c:catAx>
      <c:valAx>
        <c:axId val="2098893119"/>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964544"/>
        <c:crosses val="autoZero"/>
        <c:crossBetween val="between"/>
      </c:valAx>
    </c:plotArea>
    <c:legend>
      <c:legendPos val="b"/>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Pods Consumed per Day</a:t>
            </a:r>
            <a:r>
              <a:rPr lang="en-US" baseline="0"/>
              <a:t> per Active Machine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'Coffee Market TAM (new)'!$I$38:$Y$38</c:f>
              <c:numCache>
                <c:formatCode>General</c:formatCode>
                <c:ptCount val="17"/>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numCache>
            </c:numRef>
          </c:cat>
          <c:val>
            <c:numRef>
              <c:f>'Coffee Market TAM (new)'!$I$55:$Y$55</c:f>
              <c:numCache>
                <c:formatCode>#,##0.00_);\(#,##0.00\)</c:formatCode>
                <c:ptCount val="17"/>
                <c:pt idx="0">
                  <c:v>3.5009172</c:v>
                </c:pt>
                <c:pt idx="1">
                  <c:v>3.3320133000000003</c:v>
                </c:pt>
                <c:pt idx="2">
                  <c:v>3.2012151239495803</c:v>
                </c:pt>
                <c:pt idx="3">
                  <c:v>2.7291627892561983</c:v>
                </c:pt>
                <c:pt idx="4">
                  <c:v>2.196839231557377</c:v>
                </c:pt>
                <c:pt idx="5">
                  <c:v>1.9063200000000002</c:v>
                </c:pt>
                <c:pt idx="6">
                  <c:v>1.6443961258064514</c:v>
                </c:pt>
                <c:pt idx="7">
                  <c:v>1.5287923872</c:v>
                </c:pt>
                <c:pt idx="8">
                  <c:v>1.4717462499999998</c:v>
                </c:pt>
                <c:pt idx="9">
                  <c:v>1.4663641992187499</c:v>
                </c:pt>
                <c:pt idx="10">
                  <c:v>1.4009917395348837</c:v>
                </c:pt>
                <c:pt idx="11">
                  <c:v>1.35715749609375</c:v>
                </c:pt>
                <c:pt idx="12">
                  <c:v>1.3612087124999999</c:v>
                </c:pt>
                <c:pt idx="13">
                  <c:v>1.3291594534883722</c:v>
                </c:pt>
                <c:pt idx="14">
                  <c:v>1.2835673450381675</c:v>
                </c:pt>
                <c:pt idx="15">
                  <c:v>1.2485646136363635</c:v>
                </c:pt>
                <c:pt idx="16">
                  <c:v>1.2139187210526317</c:v>
                </c:pt>
              </c:numCache>
            </c:numRef>
          </c:val>
          <c:smooth val="0"/>
          <c:extLst>
            <c:ext xmlns:c16="http://schemas.microsoft.com/office/drawing/2014/chart" uri="{C3380CC4-5D6E-409C-BE32-E72D297353CC}">
              <c16:uniqueId val="{00000000-3B99-4388-B853-327F2FAC4F96}"/>
            </c:ext>
          </c:extLst>
        </c:ser>
        <c:dLbls>
          <c:showLegendKey val="0"/>
          <c:showVal val="0"/>
          <c:showCatName val="0"/>
          <c:showSerName val="0"/>
          <c:showPercent val="0"/>
          <c:showBubbleSize val="0"/>
        </c:dLbls>
        <c:smooth val="0"/>
        <c:axId val="2019958031"/>
        <c:axId val="934196127"/>
      </c:lineChart>
      <c:catAx>
        <c:axId val="2019958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196127"/>
        <c:crosses val="autoZero"/>
        <c:auto val="1"/>
        <c:lblAlgn val="ctr"/>
        <c:lblOffset val="100"/>
        <c:noMultiLvlLbl val="0"/>
      </c:catAx>
      <c:valAx>
        <c:axId val="934196127"/>
        <c:scaling>
          <c:orientation val="minMax"/>
        </c:scaling>
        <c:delete val="0"/>
        <c:axPos val="l"/>
        <c:majorGridlines>
          <c:spPr>
            <a:ln w="9525" cap="flat" cmpd="sng" algn="ctr">
              <a:solidFill>
                <a:schemeClr val="tx1">
                  <a:lumMod val="15000"/>
                  <a:lumOff val="85000"/>
                </a:schemeClr>
              </a:solidFill>
              <a:round/>
            </a:ln>
            <a:effectLst/>
          </c:spPr>
        </c:majorGridlines>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958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Lifespan of a Machine before Replacement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'Coffee Market TAM (new)'!$I$2:$Y$2</c:f>
              <c:strCache>
                <c:ptCount val="17"/>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strCache>
            </c:strRef>
          </c:tx>
          <c:spPr>
            <a:ln w="28575" cap="rnd">
              <a:solidFill>
                <a:schemeClr val="accent1"/>
              </a:solidFill>
              <a:round/>
            </a:ln>
            <a:effectLst/>
          </c:spPr>
          <c:marker>
            <c:symbol val="none"/>
          </c:marker>
          <c:cat>
            <c:numRef>
              <c:f>'Coffee Market TAM (new)'!$I$2:$Y$2</c:f>
              <c:numCache>
                <c:formatCode>General</c:formatCode>
                <c:ptCount val="17"/>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numCache>
            </c:numRef>
          </c:cat>
          <c:val>
            <c:numRef>
              <c:f>'Coffee Market TAM (new)'!$I$9:$Y$9</c:f>
              <c:numCache>
                <c:formatCode>#,##0.0_);\(#,##0.0\)</c:formatCode>
                <c:ptCount val="17"/>
                <c:pt idx="0">
                  <c:v>4</c:v>
                </c:pt>
                <c:pt idx="1">
                  <c:v>3.5</c:v>
                </c:pt>
                <c:pt idx="2">
                  <c:v>3.1683956226724028</c:v>
                </c:pt>
                <c:pt idx="3">
                  <c:v>3.303364248475166</c:v>
                </c:pt>
                <c:pt idx="4">
                  <c:v>2.6108761992674858</c:v>
                </c:pt>
                <c:pt idx="5">
                  <c:v>2.98</c:v>
                </c:pt>
                <c:pt idx="6">
                  <c:v>4.6928643582620406</c:v>
                </c:pt>
                <c:pt idx="7">
                  <c:v>4.6928643582620406</c:v>
                </c:pt>
                <c:pt idx="8">
                  <c:v>4.6928643582620406</c:v>
                </c:pt>
                <c:pt idx="9">
                  <c:v>4.9988211543770102</c:v>
                </c:pt>
                <c:pt idx="10">
                  <c:v>4.5</c:v>
                </c:pt>
                <c:pt idx="11">
                  <c:v>2.9345248460490407</c:v>
                </c:pt>
                <c:pt idx="12">
                  <c:v>3.0885692254108532</c:v>
                </c:pt>
                <c:pt idx="13">
                  <c:v>3.4141554403885963</c:v>
                </c:pt>
                <c:pt idx="14">
                  <c:v>4</c:v>
                </c:pt>
                <c:pt idx="15">
                  <c:v>4.5</c:v>
                </c:pt>
                <c:pt idx="16">
                  <c:v>5</c:v>
                </c:pt>
              </c:numCache>
            </c:numRef>
          </c:val>
          <c:smooth val="0"/>
          <c:extLst>
            <c:ext xmlns:c16="http://schemas.microsoft.com/office/drawing/2014/chart" uri="{C3380CC4-5D6E-409C-BE32-E72D297353CC}">
              <c16:uniqueId val="{00000000-9E1C-422A-8AAB-7D881A60A3B2}"/>
            </c:ext>
          </c:extLst>
        </c:ser>
        <c:dLbls>
          <c:showLegendKey val="0"/>
          <c:showVal val="0"/>
          <c:showCatName val="0"/>
          <c:showSerName val="0"/>
          <c:showPercent val="0"/>
          <c:showBubbleSize val="0"/>
        </c:dLbls>
        <c:smooth val="0"/>
        <c:axId val="854167840"/>
        <c:axId val="2018133007"/>
      </c:lineChart>
      <c:catAx>
        <c:axId val="85416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133007"/>
        <c:crosses val="autoZero"/>
        <c:auto val="1"/>
        <c:lblAlgn val="ctr"/>
        <c:lblOffset val="100"/>
        <c:noMultiLvlLbl val="0"/>
      </c:catAx>
      <c:valAx>
        <c:axId val="2018133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_);\(#,##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167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Pods</c:v>
          </c:tx>
          <c:spPr>
            <a:ln w="28575" cap="rnd">
              <a:solidFill>
                <a:schemeClr val="accent1"/>
              </a:solidFill>
              <a:round/>
            </a:ln>
            <a:effectLst/>
          </c:spPr>
          <c:marker>
            <c:symbol val="none"/>
          </c:marker>
          <c:cat>
            <c:numRef>
              <c:f>'Coffee Market TAM (new)'!$I$38:$Y$38</c:f>
              <c:numCache>
                <c:formatCode>General</c:formatCode>
                <c:ptCount val="17"/>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numCache>
            </c:numRef>
          </c:cat>
          <c:val>
            <c:numRef>
              <c:f>'Coffee Market TAM (new)'!$I$62:$Y$62</c:f>
              <c:numCache>
                <c:formatCode>"$"#,##0.00</c:formatCode>
                <c:ptCount val="17"/>
                <c:pt idx="0">
                  <c:v>0.73265999999999998</c:v>
                </c:pt>
                <c:pt idx="1">
                  <c:v>0.72265999999999997</c:v>
                </c:pt>
                <c:pt idx="2">
                  <c:v>0.71265999999999996</c:v>
                </c:pt>
                <c:pt idx="3">
                  <c:v>0.70265999999999995</c:v>
                </c:pt>
                <c:pt idx="4">
                  <c:v>0.69265999999999994</c:v>
                </c:pt>
                <c:pt idx="5">
                  <c:v>0.68265999999999993</c:v>
                </c:pt>
                <c:pt idx="6">
                  <c:v>0.67265999999999992</c:v>
                </c:pt>
                <c:pt idx="7">
                  <c:v>0.61</c:v>
                </c:pt>
                <c:pt idx="8">
                  <c:v>0.53</c:v>
                </c:pt>
                <c:pt idx="9">
                  <c:v>0.48</c:v>
                </c:pt>
                <c:pt idx="10">
                  <c:v>0.45</c:v>
                </c:pt>
                <c:pt idx="11">
                  <c:v>0.435</c:v>
                </c:pt>
                <c:pt idx="12">
                  <c:v>0.43</c:v>
                </c:pt>
                <c:pt idx="13">
                  <c:v>0.43</c:v>
                </c:pt>
                <c:pt idx="14">
                  <c:v>0.43</c:v>
                </c:pt>
                <c:pt idx="15">
                  <c:v>0.42499999999999999</c:v>
                </c:pt>
                <c:pt idx="16">
                  <c:v>0.42</c:v>
                </c:pt>
              </c:numCache>
            </c:numRef>
          </c:val>
          <c:smooth val="0"/>
          <c:extLst>
            <c:ext xmlns:c16="http://schemas.microsoft.com/office/drawing/2014/chart" uri="{C3380CC4-5D6E-409C-BE32-E72D297353CC}">
              <c16:uniqueId val="{00000000-2858-4570-BA79-37DC6B18F234}"/>
            </c:ext>
          </c:extLst>
        </c:ser>
        <c:dLbls>
          <c:showLegendKey val="0"/>
          <c:showVal val="0"/>
          <c:showCatName val="0"/>
          <c:showSerName val="0"/>
          <c:showPercent val="0"/>
          <c:showBubbleSize val="0"/>
        </c:dLbls>
        <c:marker val="1"/>
        <c:smooth val="0"/>
        <c:axId val="939966464"/>
        <c:axId val="856502496"/>
      </c:lineChart>
      <c:lineChart>
        <c:grouping val="standard"/>
        <c:varyColors val="0"/>
        <c:ser>
          <c:idx val="1"/>
          <c:order val="1"/>
          <c:tx>
            <c:v>Machines</c:v>
          </c:tx>
          <c:spPr>
            <a:ln w="28575" cap="rnd">
              <a:solidFill>
                <a:schemeClr val="accent2"/>
              </a:solidFill>
              <a:round/>
            </a:ln>
            <a:effectLst/>
          </c:spPr>
          <c:marker>
            <c:symbol val="none"/>
          </c:marker>
          <c:cat>
            <c:numRef>
              <c:f>'Coffee Market TAM (new)'!$I$38:$Y$38</c:f>
              <c:numCache>
                <c:formatCode>General</c:formatCode>
                <c:ptCount val="17"/>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numCache>
            </c:numRef>
          </c:cat>
          <c:val>
            <c:numRef>
              <c:f>'Coffee Market TAM (new)'!$J$26:$Y$26</c:f>
              <c:numCache>
                <c:formatCode>"$"#,##0_);[Red]\("$"#,##0\)</c:formatCode>
                <c:ptCount val="16"/>
                <c:pt idx="0">
                  <c:v>187.06932940099432</c:v>
                </c:pt>
                <c:pt idx="1">
                  <c:v>202.22782963900028</c:v>
                </c:pt>
                <c:pt idx="2">
                  <c:v>193.04516742321567</c:v>
                </c:pt>
                <c:pt idx="3">
                  <c:v>174.55746224029522</c:v>
                </c:pt>
                <c:pt idx="4">
                  <c:v>167.21135024277993</c:v>
                </c:pt>
                <c:pt idx="5">
                  <c:v>153.54896879983599</c:v>
                </c:pt>
                <c:pt idx="6">
                  <c:v>125.81993154976952</c:v>
                </c:pt>
                <c:pt idx="7">
                  <c:v>118.43610404003645</c:v>
                </c:pt>
                <c:pt idx="8">
                  <c:v>125.85762033496992</c:v>
                </c:pt>
                <c:pt idx="9">
                  <c:v>122.43741988162213</c:v>
                </c:pt>
                <c:pt idx="10">
                  <c:v>103.7897533023225</c:v>
                </c:pt>
                <c:pt idx="11">
                  <c:v>120.88245687841818</c:v>
                </c:pt>
                <c:pt idx="12">
                  <c:v>115.4</c:v>
                </c:pt>
                <c:pt idx="13">
                  <c:v>110</c:v>
                </c:pt>
                <c:pt idx="14">
                  <c:v>110</c:v>
                </c:pt>
                <c:pt idx="15">
                  <c:v>115</c:v>
                </c:pt>
              </c:numCache>
            </c:numRef>
          </c:val>
          <c:smooth val="0"/>
          <c:extLst>
            <c:ext xmlns:c16="http://schemas.microsoft.com/office/drawing/2014/chart" uri="{C3380CC4-5D6E-409C-BE32-E72D297353CC}">
              <c16:uniqueId val="{00000001-2858-4570-BA79-37DC6B18F234}"/>
            </c:ext>
          </c:extLst>
        </c:ser>
        <c:dLbls>
          <c:showLegendKey val="0"/>
          <c:showVal val="0"/>
          <c:showCatName val="0"/>
          <c:showSerName val="0"/>
          <c:showPercent val="0"/>
          <c:showBubbleSize val="0"/>
        </c:dLbls>
        <c:marker val="1"/>
        <c:smooth val="0"/>
        <c:axId val="854178976"/>
        <c:axId val="1007198927"/>
      </c:lineChart>
      <c:catAx>
        <c:axId val="93996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502496"/>
        <c:crosses val="autoZero"/>
        <c:auto val="1"/>
        <c:lblAlgn val="ctr"/>
        <c:lblOffset val="100"/>
        <c:noMultiLvlLbl val="0"/>
      </c:catAx>
      <c:valAx>
        <c:axId val="856502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966464"/>
        <c:crosses val="autoZero"/>
        <c:crossBetween val="between"/>
      </c:valAx>
      <c:valAx>
        <c:axId val="100719892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Machines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178976"/>
        <c:crosses val="max"/>
        <c:crossBetween val="between"/>
      </c:valAx>
      <c:catAx>
        <c:axId val="854178976"/>
        <c:scaling>
          <c:orientation val="minMax"/>
        </c:scaling>
        <c:delete val="1"/>
        <c:axPos val="b"/>
        <c:numFmt formatCode="General" sourceLinked="1"/>
        <c:majorTickMark val="out"/>
        <c:minorTickMark val="none"/>
        <c:tickLblPos val="nextTo"/>
        <c:crossAx val="100719892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&amp; HHs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Pods</c:v>
          </c:tx>
          <c:spPr>
            <a:solidFill>
              <a:schemeClr val="accent1"/>
            </a:solidFill>
            <a:ln>
              <a:noFill/>
            </a:ln>
            <a:effectLst/>
          </c:spPr>
          <c:invertIfNegative val="0"/>
          <c:cat>
            <c:numRef>
              <c:f>'Coffee Market TAM (new)'!$J$2:$Y$2</c:f>
              <c:numCache>
                <c:formatCode>General</c:formatCode>
                <c:ptCount val="16"/>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numCache>
            </c:numRef>
          </c:cat>
          <c:val>
            <c:numRef>
              <c:f>('Coffee Market TAM (new)'!$J$68:$V$68,'Coffee Market TAM (new)'!$W$67:$Y$67)</c:f>
              <c:numCache>
                <c:formatCode>"$"#,##0</c:formatCode>
                <c:ptCount val="16"/>
                <c:pt idx="0">
                  <c:v>844</c:v>
                </c:pt>
                <c:pt idx="1">
                  <c:v>1705</c:v>
                </c:pt>
                <c:pt idx="2">
                  <c:v>2709</c:v>
                </c:pt>
                <c:pt idx="3">
                  <c:v>3187</c:v>
                </c:pt>
                <c:pt idx="4">
                  <c:v>3604</c:v>
                </c:pt>
                <c:pt idx="5">
                  <c:v>3645</c:v>
                </c:pt>
                <c:pt idx="6">
                  <c:v>3374.5415196999274</c:v>
                </c:pt>
                <c:pt idx="7">
                  <c:v>3104.0830393998549</c:v>
                </c:pt>
                <c:pt idx="8">
                  <c:v>3104.0830393998549</c:v>
                </c:pt>
                <c:pt idx="9">
                  <c:v>3193.8705653329084</c:v>
                </c:pt>
                <c:pt idx="10">
                  <c:v>3344.7739702624103</c:v>
                </c:pt>
                <c:pt idx="11">
                  <c:v>3546</c:v>
                </c:pt>
                <c:pt idx="12">
                  <c:v>3772</c:v>
                </c:pt>
                <c:pt idx="13">
                  <c:v>3474.288216195826</c:v>
                </c:pt>
                <c:pt idx="14">
                  <c:v>3424.352736391997</c:v>
                </c:pt>
                <c:pt idx="15">
                  <c:v>3342.740075561414</c:v>
                </c:pt>
              </c:numCache>
            </c:numRef>
          </c:val>
          <c:extLst>
            <c:ext xmlns:c16="http://schemas.microsoft.com/office/drawing/2014/chart" uri="{C3380CC4-5D6E-409C-BE32-E72D297353CC}">
              <c16:uniqueId val="{00000000-96E3-4716-B3DB-4B2A327FD25B}"/>
            </c:ext>
          </c:extLst>
        </c:ser>
        <c:ser>
          <c:idx val="1"/>
          <c:order val="1"/>
          <c:tx>
            <c:v>Machines</c:v>
          </c:tx>
          <c:spPr>
            <a:solidFill>
              <a:schemeClr val="accent2"/>
            </a:solidFill>
            <a:ln>
              <a:noFill/>
            </a:ln>
            <a:effectLst/>
          </c:spPr>
          <c:invertIfNegative val="0"/>
          <c:cat>
            <c:numRef>
              <c:f>'Coffee Market TAM (new)'!$J$2:$Y$2</c:f>
              <c:numCache>
                <c:formatCode>General</c:formatCode>
                <c:ptCount val="16"/>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numCache>
            </c:numRef>
          </c:cat>
          <c:val>
            <c:numRef>
              <c:f>('Coffee Market TAM (new)'!$J$32:$V$32,'Coffee Market TAM (new)'!$W$31:$Y$31)</c:f>
              <c:numCache>
                <c:formatCode>"$"#,##0_);\("$"#,##0\)</c:formatCode>
                <c:ptCount val="16"/>
                <c:pt idx="0">
                  <c:v>351</c:v>
                </c:pt>
                <c:pt idx="1">
                  <c:v>524</c:v>
                </c:pt>
                <c:pt idx="2">
                  <c:v>759</c:v>
                </c:pt>
                <c:pt idx="3">
                  <c:v>827</c:v>
                </c:pt>
                <c:pt idx="4">
                  <c:v>822</c:v>
                </c:pt>
                <c:pt idx="5">
                  <c:v>632</c:v>
                </c:pt>
                <c:pt idx="6">
                  <c:v>635</c:v>
                </c:pt>
                <c:pt idx="7">
                  <c:v>638</c:v>
                </c:pt>
                <c:pt idx="8">
                  <c:v>667.96596793579874</c:v>
                </c:pt>
                <c:pt idx="9">
                  <c:v>687.28729758683426</c:v>
                </c:pt>
                <c:pt idx="10">
                  <c:v>719.76012052975102</c:v>
                </c:pt>
                <c:pt idx="11">
                  <c:v>785.99307205684795</c:v>
                </c:pt>
                <c:pt idx="12">
                  <c:v>818.67082738050476</c:v>
                </c:pt>
                <c:pt idx="13" formatCode="&quot;$&quot;#,##0_);[Red]\(&quot;$&quot;#,##0\)">
                  <c:v>718.26864999999998</c:v>
                </c:pt>
                <c:pt idx="14" formatCode="&quot;$&quot;#,##0_);[Red]\(&quot;$&quot;#,##0\)">
                  <c:v>650.86739299999999</c:v>
                </c:pt>
                <c:pt idx="15" formatCode="&quot;$&quot;#,##0_);[Red]\(&quot;$&quot;#,##0\)">
                  <c:v>636.3931231749998</c:v>
                </c:pt>
              </c:numCache>
            </c:numRef>
          </c:val>
          <c:extLst>
            <c:ext xmlns:c16="http://schemas.microsoft.com/office/drawing/2014/chart" uri="{C3380CC4-5D6E-409C-BE32-E72D297353CC}">
              <c16:uniqueId val="{00000001-96E3-4716-B3DB-4B2A327FD25B}"/>
            </c:ext>
          </c:extLst>
        </c:ser>
        <c:dLbls>
          <c:showLegendKey val="0"/>
          <c:showVal val="0"/>
          <c:showCatName val="0"/>
          <c:showSerName val="0"/>
          <c:showPercent val="0"/>
          <c:showBubbleSize val="0"/>
        </c:dLbls>
        <c:gapWidth val="150"/>
        <c:overlap val="100"/>
        <c:axId val="935014831"/>
        <c:axId val="912528399"/>
      </c:barChart>
      <c:lineChart>
        <c:grouping val="standard"/>
        <c:varyColors val="0"/>
        <c:ser>
          <c:idx val="2"/>
          <c:order val="2"/>
          <c:tx>
            <c:v>Keurig HHs</c:v>
          </c:tx>
          <c:spPr>
            <a:ln w="28575" cap="rnd">
              <a:solidFill>
                <a:schemeClr val="accent3"/>
              </a:solidFill>
              <a:round/>
            </a:ln>
            <a:effectLst/>
          </c:spPr>
          <c:marker>
            <c:symbol val="none"/>
          </c:marker>
          <c:val>
            <c:numRef>
              <c:f>('Coffee Market TAM (new)'!$J$17:$V$17,'Coffee Market TAM (new)'!$W$17:$Y$17)</c:f>
              <c:numCache>
                <c:formatCode>0</c:formatCode>
                <c:ptCount val="16"/>
                <c:pt idx="0">
                  <c:v>7.6454879999999994</c:v>
                </c:pt>
                <c:pt idx="1">
                  <c:v>10.656019455999999</c:v>
                </c:pt>
                <c:pt idx="2">
                  <c:v>15.8665</c:v>
                </c:pt>
                <c:pt idx="3">
                  <c:v>19.96</c:v>
                </c:pt>
                <c:pt idx="4">
                  <c:v>23.791599999999999</c:v>
                </c:pt>
                <c:pt idx="5">
                  <c:v>27.460735999999997</c:v>
                </c:pt>
                <c:pt idx="6">
                  <c:v>32.28809184</c:v>
                </c:pt>
                <c:pt idx="7">
                  <c:v>36.869606329600003</c:v>
                </c:pt>
                <c:pt idx="8">
                  <c:v>41.773015873015872</c:v>
                </c:pt>
                <c:pt idx="9">
                  <c:v>44.903441183505045</c:v>
                </c:pt>
                <c:pt idx="10">
                  <c:v>45.052006771669994</c:v>
                </c:pt>
                <c:pt idx="11">
                  <c:v>47.2</c:v>
                </c:pt>
                <c:pt idx="12">
                  <c:v>49.274000000000001</c:v>
                </c:pt>
                <c:pt idx="13">
                  <c:v>51.246780000000001</c:v>
                </c:pt>
                <c:pt idx="14">
                  <c:v>52.831376599999999</c:v>
                </c:pt>
                <c:pt idx="15">
                  <c:v>54.389435302000003</c:v>
                </c:pt>
              </c:numCache>
            </c:numRef>
          </c:val>
          <c:smooth val="0"/>
          <c:extLst>
            <c:ext xmlns:c16="http://schemas.microsoft.com/office/drawing/2014/chart" uri="{C3380CC4-5D6E-409C-BE32-E72D297353CC}">
              <c16:uniqueId val="{00000002-96E3-4716-B3DB-4B2A327FD25B}"/>
            </c:ext>
          </c:extLst>
        </c:ser>
        <c:dLbls>
          <c:showLegendKey val="0"/>
          <c:showVal val="0"/>
          <c:showCatName val="0"/>
          <c:showSerName val="0"/>
          <c:showPercent val="0"/>
          <c:showBubbleSize val="0"/>
        </c:dLbls>
        <c:marker val="1"/>
        <c:smooth val="0"/>
        <c:axId val="193844400"/>
        <c:axId val="1192251135"/>
      </c:lineChart>
      <c:catAx>
        <c:axId val="935014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528399"/>
        <c:crosses val="autoZero"/>
        <c:auto val="1"/>
        <c:lblAlgn val="ctr"/>
        <c:lblOffset val="100"/>
        <c:noMultiLvlLbl val="0"/>
      </c:catAx>
      <c:valAx>
        <c:axId val="912528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014831"/>
        <c:crosses val="autoZero"/>
        <c:crossBetween val="between"/>
      </c:valAx>
      <c:valAx>
        <c:axId val="119225113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MMs of HHs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44400"/>
        <c:crosses val="max"/>
        <c:crossBetween val="between"/>
      </c:valAx>
      <c:catAx>
        <c:axId val="193844400"/>
        <c:scaling>
          <c:orientation val="minMax"/>
        </c:scaling>
        <c:delete val="1"/>
        <c:axPos val="b"/>
        <c:majorTickMark val="out"/>
        <c:minorTickMark val="none"/>
        <c:tickLblPos val="nextTo"/>
        <c:crossAx val="119225113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56</xdr:col>
      <xdr:colOff>254000</xdr:colOff>
      <xdr:row>49</xdr:row>
      <xdr:rowOff>175656</xdr:rowOff>
    </xdr:from>
    <xdr:to>
      <xdr:col>66</xdr:col>
      <xdr:colOff>282862</xdr:colOff>
      <xdr:row>71</xdr:row>
      <xdr:rowOff>11546</xdr:rowOff>
    </xdr:to>
    <xdr:graphicFrame macro="">
      <xdr:nvGraphicFramePr>
        <xdr:cNvPr id="2" name="Chart 1">
          <a:extLst>
            <a:ext uri="{FF2B5EF4-FFF2-40B4-BE49-F238E27FC236}">
              <a16:creationId xmlns:a16="http://schemas.microsoft.com/office/drawing/2014/main" id="{C0E96C8A-5DF0-E0DF-DE51-0C9AD1609A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52</xdr:col>
      <xdr:colOff>548325</xdr:colOff>
      <xdr:row>15</xdr:row>
      <xdr:rowOff>16823</xdr:rowOff>
    </xdr:from>
    <xdr:to>
      <xdr:col>62</xdr:col>
      <xdr:colOff>577273</xdr:colOff>
      <xdr:row>36</xdr:row>
      <xdr:rowOff>103910</xdr:rowOff>
    </xdr:to>
    <xdr:graphicFrame macro="">
      <xdr:nvGraphicFramePr>
        <xdr:cNvPr id="6" name="Chart 5">
          <a:extLst>
            <a:ext uri="{FF2B5EF4-FFF2-40B4-BE49-F238E27FC236}">
              <a16:creationId xmlns:a16="http://schemas.microsoft.com/office/drawing/2014/main" id="{A0C2785F-2572-17D6-9779-CD96ED4A2A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41</xdr:col>
      <xdr:colOff>372341</xdr:colOff>
      <xdr:row>3</xdr:row>
      <xdr:rowOff>26390</xdr:rowOff>
    </xdr:from>
    <xdr:to>
      <xdr:col>56</xdr:col>
      <xdr:colOff>5773</xdr:colOff>
      <xdr:row>33</xdr:row>
      <xdr:rowOff>991</xdr:rowOff>
    </xdr:to>
    <xdr:graphicFrame macro="">
      <xdr:nvGraphicFramePr>
        <xdr:cNvPr id="8" name="Chart 7">
          <a:extLst>
            <a:ext uri="{FF2B5EF4-FFF2-40B4-BE49-F238E27FC236}">
              <a16:creationId xmlns:a16="http://schemas.microsoft.com/office/drawing/2014/main" id="{9CB340CD-D34C-7AF2-B69E-B01185497B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41</xdr:col>
      <xdr:colOff>368628</xdr:colOff>
      <xdr:row>68</xdr:row>
      <xdr:rowOff>128648</xdr:rowOff>
    </xdr:from>
    <xdr:to>
      <xdr:col>56</xdr:col>
      <xdr:colOff>2060</xdr:colOff>
      <xdr:row>98</xdr:row>
      <xdr:rowOff>103249</xdr:rowOff>
    </xdr:to>
    <xdr:graphicFrame macro="">
      <xdr:nvGraphicFramePr>
        <xdr:cNvPr id="9" name="Chart 8">
          <a:extLst>
            <a:ext uri="{FF2B5EF4-FFF2-40B4-BE49-F238E27FC236}">
              <a16:creationId xmlns:a16="http://schemas.microsoft.com/office/drawing/2014/main" id="{2264CC0C-00B0-4F3B-B89D-B4DF009BD9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41</xdr:col>
      <xdr:colOff>373578</xdr:colOff>
      <xdr:row>34</xdr:row>
      <xdr:rowOff>127825</xdr:rowOff>
    </xdr:from>
    <xdr:to>
      <xdr:col>55</xdr:col>
      <xdr:colOff>574387</xdr:colOff>
      <xdr:row>67</xdr:row>
      <xdr:rowOff>102425</xdr:rowOff>
    </xdr:to>
    <xdr:graphicFrame macro="">
      <xdr:nvGraphicFramePr>
        <xdr:cNvPr id="10" name="Chart 9">
          <a:extLst>
            <a:ext uri="{FF2B5EF4-FFF2-40B4-BE49-F238E27FC236}">
              <a16:creationId xmlns:a16="http://schemas.microsoft.com/office/drawing/2014/main" id="{19B11E28-A850-40FB-A219-2CB49B4C93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429781</xdr:colOff>
      <xdr:row>58</xdr:row>
      <xdr:rowOff>174502</xdr:rowOff>
    </xdr:from>
    <xdr:to>
      <xdr:col>20</xdr:col>
      <xdr:colOff>30308</xdr:colOff>
      <xdr:row>73</xdr:row>
      <xdr:rowOff>155451</xdr:rowOff>
    </xdr:to>
    <xdr:graphicFrame macro="">
      <xdr:nvGraphicFramePr>
        <xdr:cNvPr id="3" name="Chart 2">
          <a:extLst>
            <a:ext uri="{FF2B5EF4-FFF2-40B4-BE49-F238E27FC236}">
              <a16:creationId xmlns:a16="http://schemas.microsoft.com/office/drawing/2014/main" id="{75AD50A9-FC5F-AAF3-CCDB-494003CDA5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32</xdr:col>
      <xdr:colOff>554181</xdr:colOff>
      <xdr:row>86</xdr:row>
      <xdr:rowOff>123536</xdr:rowOff>
    </xdr:from>
    <xdr:to>
      <xdr:col>39</xdr:col>
      <xdr:colOff>461817</xdr:colOff>
      <xdr:row>101</xdr:row>
      <xdr:rowOff>95827</xdr:rowOff>
    </xdr:to>
    <xdr:graphicFrame macro="">
      <xdr:nvGraphicFramePr>
        <xdr:cNvPr id="4" name="Chart 3">
          <a:extLst>
            <a:ext uri="{FF2B5EF4-FFF2-40B4-BE49-F238E27FC236}">
              <a16:creationId xmlns:a16="http://schemas.microsoft.com/office/drawing/2014/main" id="{7613D199-AC7F-FA29-F026-E361CDC18E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138545</xdr:colOff>
      <xdr:row>1</xdr:row>
      <xdr:rowOff>31174</xdr:rowOff>
    </xdr:from>
    <xdr:to>
      <xdr:col>41</xdr:col>
      <xdr:colOff>300181</xdr:colOff>
      <xdr:row>16</xdr:row>
      <xdr:rowOff>3465</xdr:rowOff>
    </xdr:to>
    <xdr:graphicFrame macro="">
      <xdr:nvGraphicFramePr>
        <xdr:cNvPr id="5" name="Chart 4">
          <a:extLst>
            <a:ext uri="{FF2B5EF4-FFF2-40B4-BE49-F238E27FC236}">
              <a16:creationId xmlns:a16="http://schemas.microsoft.com/office/drawing/2014/main" id="{8B035087-086C-F73B-6031-CE60FEC3E0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35</xdr:col>
      <xdr:colOff>334818</xdr:colOff>
      <xdr:row>28</xdr:row>
      <xdr:rowOff>111990</xdr:rowOff>
    </xdr:from>
    <xdr:to>
      <xdr:col>43</xdr:col>
      <xdr:colOff>11546</xdr:colOff>
      <xdr:row>44</xdr:row>
      <xdr:rowOff>84281</xdr:rowOff>
    </xdr:to>
    <xdr:graphicFrame macro="">
      <xdr:nvGraphicFramePr>
        <xdr:cNvPr id="11" name="Chart 10">
          <a:extLst>
            <a:ext uri="{FF2B5EF4-FFF2-40B4-BE49-F238E27FC236}">
              <a16:creationId xmlns:a16="http://schemas.microsoft.com/office/drawing/2014/main" id="{5E0FD08C-8D0B-B45F-D41F-C222AD3D63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25</xdr:col>
      <xdr:colOff>69273</xdr:colOff>
      <xdr:row>54</xdr:row>
      <xdr:rowOff>92366</xdr:rowOff>
    </xdr:from>
    <xdr:to>
      <xdr:col>31</xdr:col>
      <xdr:colOff>207819</xdr:colOff>
      <xdr:row>69</xdr:row>
      <xdr:rowOff>64656</xdr:rowOff>
    </xdr:to>
    <xdr:graphicFrame macro="">
      <xdr:nvGraphicFramePr>
        <xdr:cNvPr id="12" name="Chart 11">
          <a:extLst>
            <a:ext uri="{FF2B5EF4-FFF2-40B4-BE49-F238E27FC236}">
              <a16:creationId xmlns:a16="http://schemas.microsoft.com/office/drawing/2014/main" id="{D8C7D628-D513-4531-9E30-B7356A9D7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25</xdr:col>
      <xdr:colOff>80817</xdr:colOff>
      <xdr:row>71</xdr:row>
      <xdr:rowOff>54264</xdr:rowOff>
    </xdr:from>
    <xdr:to>
      <xdr:col>31</xdr:col>
      <xdr:colOff>219363</xdr:colOff>
      <xdr:row>86</xdr:row>
      <xdr:rowOff>26555</xdr:rowOff>
    </xdr:to>
    <xdr:graphicFrame macro="">
      <xdr:nvGraphicFramePr>
        <xdr:cNvPr id="13" name="Chart 12">
          <a:extLst>
            <a:ext uri="{FF2B5EF4-FFF2-40B4-BE49-F238E27FC236}">
              <a16:creationId xmlns:a16="http://schemas.microsoft.com/office/drawing/2014/main" id="{87E6C6FA-42FE-C07A-C99D-A86F9DF78F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28</xdr:col>
      <xdr:colOff>276225</xdr:colOff>
      <xdr:row>18</xdr:row>
      <xdr:rowOff>25400</xdr:rowOff>
    </xdr:from>
    <xdr:to>
      <xdr:col>35</xdr:col>
      <xdr:colOff>581025</xdr:colOff>
      <xdr:row>33</xdr:row>
      <xdr:rowOff>6350</xdr:rowOff>
    </xdr:to>
    <xdr:graphicFrame macro="">
      <xdr:nvGraphicFramePr>
        <xdr:cNvPr id="2" name="Chart 1">
          <a:extLst>
            <a:ext uri="{FF2B5EF4-FFF2-40B4-BE49-F238E27FC236}">
              <a16:creationId xmlns:a16="http://schemas.microsoft.com/office/drawing/2014/main" id="{F06A15D0-B992-FA2C-76E5-4B5A84DDA3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212725</xdr:colOff>
      <xdr:row>35</xdr:row>
      <xdr:rowOff>53975</xdr:rowOff>
    </xdr:from>
    <xdr:to>
      <xdr:col>35</xdr:col>
      <xdr:colOff>517525</xdr:colOff>
      <xdr:row>50</xdr:row>
      <xdr:rowOff>34925</xdr:rowOff>
    </xdr:to>
    <xdr:graphicFrame macro="">
      <xdr:nvGraphicFramePr>
        <xdr:cNvPr id="3" name="Chart 2">
          <a:extLst>
            <a:ext uri="{FF2B5EF4-FFF2-40B4-BE49-F238E27FC236}">
              <a16:creationId xmlns:a16="http://schemas.microsoft.com/office/drawing/2014/main" id="{82E71503-24EF-A789-A5EA-0FE1287D89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36</xdr:col>
      <xdr:colOff>253386</xdr:colOff>
      <xdr:row>35</xdr:row>
      <xdr:rowOff>64326</xdr:rowOff>
    </xdr:from>
    <xdr:to>
      <xdr:col>40</xdr:col>
      <xdr:colOff>595912</xdr:colOff>
      <xdr:row>50</xdr:row>
      <xdr:rowOff>45276</xdr:rowOff>
    </xdr:to>
    <xdr:graphicFrame macro="">
      <xdr:nvGraphicFramePr>
        <xdr:cNvPr id="4" name="Chart 3">
          <a:extLst>
            <a:ext uri="{FF2B5EF4-FFF2-40B4-BE49-F238E27FC236}">
              <a16:creationId xmlns:a16="http://schemas.microsoft.com/office/drawing/2014/main" id="{12150717-3678-EE44-9C08-681ADDF3F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172358</xdr:colOff>
      <xdr:row>18</xdr:row>
      <xdr:rowOff>52613</xdr:rowOff>
    </xdr:from>
    <xdr:to>
      <xdr:col>41</xdr:col>
      <xdr:colOff>45356</xdr:colOff>
      <xdr:row>32</xdr:row>
      <xdr:rowOff>154214</xdr:rowOff>
    </xdr:to>
    <xdr:graphicFrame macro="">
      <xdr:nvGraphicFramePr>
        <xdr:cNvPr id="5" name="Chart 4">
          <a:extLst>
            <a:ext uri="{FF2B5EF4-FFF2-40B4-BE49-F238E27FC236}">
              <a16:creationId xmlns:a16="http://schemas.microsoft.com/office/drawing/2014/main" id="{A2737647-2AF5-E2AB-2F99-337AD9FC0E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35</xdr:col>
      <xdr:colOff>548822</xdr:colOff>
      <xdr:row>53</xdr:row>
      <xdr:rowOff>170543</xdr:rowOff>
    </xdr:from>
    <xdr:to>
      <xdr:col>40</xdr:col>
      <xdr:colOff>322036</xdr:colOff>
      <xdr:row>69</xdr:row>
      <xdr:rowOff>10886</xdr:rowOff>
    </xdr:to>
    <xdr:graphicFrame macro="">
      <xdr:nvGraphicFramePr>
        <xdr:cNvPr id="6" name="Chart 5">
          <a:extLst>
            <a:ext uri="{FF2B5EF4-FFF2-40B4-BE49-F238E27FC236}">
              <a16:creationId xmlns:a16="http://schemas.microsoft.com/office/drawing/2014/main" id="{A5A3D457-E186-6DFB-4852-62CF0EACFC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S7590\AppData\Local\Apps\2.0\J82E7OKZ.C00\DCRR28ZR.M27\firm..vsto_18db7d9f7a05c890_09be.0001_18030478fc7a635b\Resources\CORESamp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Supported"/>
      <sheetName val="Trends"/>
      <sheetName val="Yellowstone Best Correlation"/>
      <sheetName val="Yellowstone Cobrands"/>
      <sheetName val="Yellowstone Model"/>
      <sheetName val="Product"/>
      <sheetName val="Member Counts"/>
      <sheetName val="Aggregation"/>
      <sheetName val="SSS Bottom Up"/>
      <sheetName val="SSS Top Down"/>
      <sheetName val="App Annie Store Intel"/>
      <sheetName val="App Annie Usage Intel"/>
      <sheetName val="IMS"/>
      <sheetName val="FOA"/>
      <sheetName val="DRAM"/>
      <sheetName val="Actuals"/>
      <sheetName val="Consensus"/>
      <sheetName val="Quarter End Dates"/>
      <sheetName val="FAQ"/>
      <sheetName val="Total STZ Beer"/>
    </sheetNames>
    <sheetDataSet>
      <sheetData sheetId="0"/>
      <sheetData sheetId="1">
        <row r="9">
          <cell r="D9" t="str">
            <v>app_annie</v>
          </cell>
        </row>
        <row r="10">
          <cell r="D10" t="str">
            <v>dram</v>
          </cell>
        </row>
        <row r="11">
          <cell r="D11" t="str">
            <v>foa</v>
          </cell>
        </row>
        <row r="12">
          <cell r="D12" t="str">
            <v>fsq</v>
          </cell>
        </row>
        <row r="13">
          <cell r="D13" t="str">
            <v>ims</v>
          </cell>
        </row>
        <row r="14">
          <cell r="D14" t="str">
            <v>sliver</v>
          </cell>
        </row>
        <row r="15">
          <cell r="D15" t="str">
            <v>yellowstone_a</v>
          </cell>
        </row>
        <row r="16">
          <cell r="D16" t="str">
            <v>yellowstone_a_1010</v>
          </cell>
        </row>
        <row r="17">
          <cell r="D17" t="str">
            <v>yellowstone_c</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customProperty" Target="../customProperty2.bin"/><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usafacts.org/data/topics/people-society/population-and-demographics/population-data/households/" TargetMode="External"/><Relationship Id="rId7" Type="http://schemas.openxmlformats.org/officeDocument/2006/relationships/hyperlink" Target="https://apps.fas.usda.gov/psdonline/circulars/coffee.pdf" TargetMode="External"/><Relationship Id="rId2" Type="http://schemas.openxmlformats.org/officeDocument/2006/relationships/hyperlink" Target="https://www.ncbi.nlm.nih.gov/pmc/articles/PMC4997286/" TargetMode="External"/><Relationship Id="rId1" Type="http://schemas.openxmlformats.org/officeDocument/2006/relationships/hyperlink" Target="https://www.driveresearch.com/market-research-company-blog/coffee-survey/" TargetMode="External"/><Relationship Id="rId6" Type="http://schemas.openxmlformats.org/officeDocument/2006/relationships/hyperlink" Target="https://fullcoffeeroast.com/how-many-beans-are-in-a-cup-of-coffee/" TargetMode="External"/><Relationship Id="rId5" Type="http://schemas.openxmlformats.org/officeDocument/2006/relationships/hyperlink" Target="https://www.quora.com/About-how-many-pounds-of-green-coffee-beans-does-it-take-to-yield-one-pounds-of-ground-roasted-coffee" TargetMode="External"/><Relationship Id="rId4" Type="http://schemas.openxmlformats.org/officeDocument/2006/relationships/hyperlink" Target="https://apps.fas.usda.gov/psdonline/circulars/coffee.pdf" TargetMode="External"/><Relationship Id="rId9"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8" Type="http://schemas.openxmlformats.org/officeDocument/2006/relationships/vmlDrawing" Target="../drawings/vmlDrawing4.vml"/><Relationship Id="rId3" Type="http://schemas.openxmlformats.org/officeDocument/2006/relationships/hyperlink" Target="../../../../../Downloads/KDP%202021%20Investor%20Day%20Presentation%20(1).pdf" TargetMode="External"/><Relationship Id="rId7" Type="http://schemas.openxmlformats.org/officeDocument/2006/relationships/drawing" Target="../drawings/drawing2.xml"/><Relationship Id="rId2" Type="http://schemas.openxmlformats.org/officeDocument/2006/relationships/hyperlink" Target="../../../../../Downloads/Investor+Day+3.20.2018%20(1).pdf" TargetMode="External"/><Relationship Id="rId1" Type="http://schemas.openxmlformats.org/officeDocument/2006/relationships/hyperlink" Target="https://fred.stlouisfed.org/series/TTLHH" TargetMode="External"/><Relationship Id="rId6" Type="http://schemas.openxmlformats.org/officeDocument/2006/relationships/customProperty" Target="../customProperty9.bin"/><Relationship Id="rId5" Type="http://schemas.openxmlformats.org/officeDocument/2006/relationships/printerSettings" Target="../printerSettings/printerSettings5.bin"/><Relationship Id="rId4" Type="http://schemas.openxmlformats.org/officeDocument/2006/relationships/hyperlink" Target="https://www.ncbi.nlm.nih.gov/pmc/articles/PMC4997286/" TargetMode="External"/><Relationship Id="rId9"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13.bin"/><Relationship Id="rId2" Type="http://schemas.openxmlformats.org/officeDocument/2006/relationships/customProperty" Target="../customProperty12.bin"/><Relationship Id="rId1" Type="http://schemas.openxmlformats.org/officeDocument/2006/relationships/printerSettings" Target="../printerSettings/printerSettings7.bin"/><Relationship Id="rId5" Type="http://schemas.openxmlformats.org/officeDocument/2006/relationships/comments" Target="../comments5.xml"/><Relationship Id="rId4"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CF46-E41E-43D1-8064-83CCC541FE1F}">
  <dimension ref="B1:G24"/>
  <sheetViews>
    <sheetView tabSelected="1" workbookViewId="0">
      <selection activeCell="P39" sqref="P39"/>
    </sheetView>
  </sheetViews>
  <sheetFormatPr defaultRowHeight="14.5"/>
  <cols>
    <col min="2" max="2" width="26" customWidth="1"/>
    <col min="3" max="3" width="22.1796875" customWidth="1"/>
    <col min="6" max="6" width="27.54296875" customWidth="1"/>
  </cols>
  <sheetData>
    <row r="1" spans="2:7" ht="15" thickBot="1"/>
    <row r="2" spans="2:7">
      <c r="B2" t="s">
        <v>0</v>
      </c>
      <c r="C2" t="s">
        <v>2</v>
      </c>
      <c r="F2" t="s">
        <v>619</v>
      </c>
      <c r="G2" s="297" cm="1">
        <f t="array" ref="G2">_xll.BDP(bbg_ticker, "PX_last")</f>
        <v>33.590000000000003</v>
      </c>
    </row>
    <row r="3" spans="2:7">
      <c r="B3" t="s">
        <v>1</v>
      </c>
      <c r="C3" t="s">
        <v>3</v>
      </c>
      <c r="F3" t="s">
        <v>620</v>
      </c>
      <c r="G3" s="298">
        <f>G4*G2</f>
        <v>47983.315000000002</v>
      </c>
    </row>
    <row r="4" spans="2:7" ht="15" thickBot="1">
      <c r="B4" t="s">
        <v>55</v>
      </c>
      <c r="C4" t="s">
        <v>56</v>
      </c>
      <c r="F4" t="s">
        <v>621</v>
      </c>
      <c r="G4" s="299" cm="1">
        <f t="array" ref="G4">_xll.BDP(bbg_ticker,"IS_SH_FOR_DILUTED_EPS")</f>
        <v>1428.5</v>
      </c>
    </row>
    <row r="5" spans="2:7">
      <c r="B5" t="s">
        <v>351</v>
      </c>
      <c r="C5" t="s">
        <v>352</v>
      </c>
    </row>
    <row r="6" spans="2:7" ht="15" thickBot="1"/>
    <row r="7" spans="2:7">
      <c r="B7" t="s">
        <v>4</v>
      </c>
      <c r="C7" t="s">
        <v>8</v>
      </c>
      <c r="F7" t="s">
        <v>860</v>
      </c>
      <c r="G7" s="297">
        <f ca="1">Tower!AP359</f>
        <v>1.8299351011552107</v>
      </c>
    </row>
    <row r="8" spans="2:7">
      <c r="C8" s="1">
        <v>45134</v>
      </c>
      <c r="F8" t="s">
        <v>861</v>
      </c>
      <c r="G8" s="572">
        <f>Tower!AP373</f>
        <v>20</v>
      </c>
    </row>
    <row r="9" spans="2:7" ht="15" thickBot="1">
      <c r="F9" t="s">
        <v>862</v>
      </c>
      <c r="G9" s="573">
        <f ca="1">G7*G8</f>
        <v>36.598702023104217</v>
      </c>
    </row>
    <row r="10" spans="2:7" ht="15" thickBot="1">
      <c r="B10" t="s">
        <v>5</v>
      </c>
      <c r="C10" t="s">
        <v>6</v>
      </c>
    </row>
    <row r="11" spans="2:7" ht="15" thickBot="1">
      <c r="C11" s="1">
        <v>45239</v>
      </c>
      <c r="F11" t="s">
        <v>863</v>
      </c>
      <c r="G11" s="571">
        <f ca="1">G9/G2-1</f>
        <v>9.7083393977944077E-2</v>
      </c>
    </row>
    <row r="13" spans="2:7">
      <c r="B13" t="s">
        <v>7</v>
      </c>
      <c r="C13" s="2">
        <f ca="1">TODAY()-C11</f>
        <v>-49</v>
      </c>
    </row>
    <row r="16" spans="2:7" ht="15" thickBot="1">
      <c r="B16" t="s">
        <v>622</v>
      </c>
    </row>
    <row r="17" spans="2:3">
      <c r="B17" s="300" t="s">
        <v>623</v>
      </c>
      <c r="C17" s="301" t="s">
        <v>624</v>
      </c>
    </row>
    <row r="18" spans="2:3">
      <c r="B18" s="300" t="s">
        <v>625</v>
      </c>
      <c r="C18" s="302" t="s">
        <v>624</v>
      </c>
    </row>
    <row r="19" spans="2:3">
      <c r="B19" s="300" t="s">
        <v>626</v>
      </c>
      <c r="C19" s="303" t="s">
        <v>624</v>
      </c>
    </row>
    <row r="20" spans="2:3">
      <c r="B20" s="300" t="s">
        <v>627</v>
      </c>
      <c r="C20" s="304" t="s">
        <v>624</v>
      </c>
    </row>
    <row r="21" spans="2:3">
      <c r="B21" s="9" t="s">
        <v>628</v>
      </c>
      <c r="C21" s="305" t="s">
        <v>624</v>
      </c>
    </row>
    <row r="22" spans="2:3">
      <c r="B22" s="9" t="s">
        <v>629</v>
      </c>
      <c r="C22" s="306" t="s">
        <v>624</v>
      </c>
    </row>
    <row r="23" spans="2:3">
      <c r="B23" s="9" t="s">
        <v>105</v>
      </c>
      <c r="C23" s="307" t="s">
        <v>630</v>
      </c>
    </row>
    <row r="24" spans="2:3" ht="15" thickBot="1">
      <c r="B24" s="9" t="s">
        <v>631</v>
      </c>
      <c r="C24" s="308"/>
    </row>
  </sheetData>
  <pageMargins left="0.7" right="0.7" top="0.75" bottom="0.75" header="0.3" footer="0.3"/>
  <customProperties>
    <customPr name="UniqueWorksheetId" r:id="rId1"/>
  </customPropertie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D0977-F13D-4A36-AFB7-233DC155B050}">
  <dimension ref="A1:BB469"/>
  <sheetViews>
    <sheetView zoomScale="55" zoomScaleNormal="55" workbookViewId="0">
      <pane xSplit="3" ySplit="11" topLeftCell="D380" activePane="bottomRight" state="frozen"/>
      <selection pane="topRight" activeCell="D1" sqref="D1"/>
      <selection pane="bottomLeft" activeCell="A12" sqref="A12"/>
      <selection pane="bottomRight" activeCell="AN446" sqref="AN446"/>
    </sheetView>
  </sheetViews>
  <sheetFormatPr defaultRowHeight="14.5" outlineLevelRow="1" outlineLevelCol="1"/>
  <cols>
    <col min="1" max="1" width="3.6328125" customWidth="1"/>
    <col min="2" max="2" width="56" customWidth="1"/>
    <col min="3" max="3" width="10.7265625" customWidth="1"/>
    <col min="4" max="4" width="11.54296875" customWidth="1"/>
    <col min="5" max="7" width="11.453125" customWidth="1"/>
    <col min="8" max="8" width="10.26953125" hidden="1" customWidth="1" outlineLevel="1"/>
    <col min="9" max="10" width="13" hidden="1" customWidth="1" outlineLevel="1"/>
    <col min="11" max="11" width="11.6328125" hidden="1" customWidth="1" outlineLevel="1"/>
    <col min="12" max="12" width="11.54296875" customWidth="1" collapsed="1"/>
    <col min="13" max="15" width="10.26953125" customWidth="1" outlineLevel="1"/>
    <col min="16" max="16" width="11.453125" customWidth="1" outlineLevel="1"/>
    <col min="17" max="17" width="11" customWidth="1"/>
    <col min="18" max="20" width="10.26953125" customWidth="1" outlineLevel="1"/>
    <col min="21" max="21" width="13.08984375" customWidth="1" outlineLevel="1"/>
    <col min="22" max="22" width="11.81640625" customWidth="1"/>
    <col min="23" max="25" width="10.26953125" customWidth="1" outlineLevel="1"/>
    <col min="26" max="26" width="13" customWidth="1" outlineLevel="1"/>
    <col min="27" max="27" width="11.08984375" customWidth="1"/>
    <col min="28" max="31" width="11.08984375" customWidth="1" outlineLevel="1"/>
    <col min="32" max="32" width="11.08984375" customWidth="1"/>
    <col min="33" max="36" width="11.08984375" customWidth="1" outlineLevel="1"/>
    <col min="37" max="37" width="11.08984375" customWidth="1"/>
    <col min="38" max="39" width="13.453125" customWidth="1" outlineLevel="1"/>
    <col min="40" max="41" width="14.7265625" customWidth="1" outlineLevel="1"/>
    <col min="42" max="42" width="14.7265625" customWidth="1"/>
    <col min="43" max="46" width="14.7265625" customWidth="1" outlineLevel="1"/>
    <col min="47" max="47" width="14.7265625" customWidth="1"/>
    <col min="48" max="51" width="14.7265625" customWidth="1" outlineLevel="1"/>
    <col min="52" max="52" width="14.7265625" customWidth="1"/>
    <col min="53" max="53" width="3.81640625" customWidth="1"/>
    <col min="54" max="54" width="30.26953125" style="20" customWidth="1"/>
  </cols>
  <sheetData>
    <row r="1" spans="2:54" ht="15" customHeight="1">
      <c r="B1" s="84"/>
      <c r="C1" s="84"/>
      <c r="D1" s="84"/>
      <c r="E1" s="24">
        <v>2014</v>
      </c>
      <c r="F1" s="24">
        <v>2015</v>
      </c>
      <c r="G1" s="24">
        <v>2016</v>
      </c>
      <c r="H1" s="24">
        <v>2017</v>
      </c>
      <c r="I1" s="24">
        <v>2017</v>
      </c>
      <c r="J1" s="24">
        <v>2017</v>
      </c>
      <c r="K1" s="24">
        <v>2017</v>
      </c>
      <c r="L1" s="24">
        <v>2017</v>
      </c>
      <c r="M1" s="24">
        <v>2018</v>
      </c>
      <c r="N1" s="24">
        <v>2018</v>
      </c>
      <c r="O1" s="24">
        <v>2018</v>
      </c>
      <c r="P1" s="24">
        <v>2018</v>
      </c>
      <c r="Q1" s="24">
        <v>2018</v>
      </c>
      <c r="R1" s="24">
        <v>2019</v>
      </c>
      <c r="S1" s="24">
        <v>2019</v>
      </c>
      <c r="T1" s="24">
        <v>2019</v>
      </c>
      <c r="U1" s="24">
        <v>2019</v>
      </c>
      <c r="V1" s="24">
        <v>2019</v>
      </c>
      <c r="W1" s="24">
        <v>2020</v>
      </c>
      <c r="X1" s="24">
        <v>2020</v>
      </c>
      <c r="Y1" s="24">
        <v>2020</v>
      </c>
      <c r="Z1" s="24">
        <v>2020</v>
      </c>
      <c r="AA1" s="24">
        <v>2020</v>
      </c>
      <c r="AB1" s="24">
        <v>2021</v>
      </c>
      <c r="AC1" s="24">
        <v>2021</v>
      </c>
      <c r="AD1" s="24">
        <v>2021</v>
      </c>
      <c r="AE1" s="24">
        <v>2021</v>
      </c>
      <c r="AF1" s="24">
        <v>2021</v>
      </c>
      <c r="AG1" s="24">
        <v>2022</v>
      </c>
      <c r="AH1" s="24">
        <v>2022</v>
      </c>
      <c r="AI1" s="24">
        <v>2022</v>
      </c>
      <c r="AJ1" s="24">
        <v>2022</v>
      </c>
      <c r="AK1" s="24">
        <v>2022</v>
      </c>
      <c r="AL1" s="24">
        <v>2023</v>
      </c>
      <c r="AM1" s="24">
        <v>2023</v>
      </c>
      <c r="AN1" s="290">
        <v>2023</v>
      </c>
      <c r="AO1" s="290">
        <v>2023</v>
      </c>
      <c r="AP1" s="290">
        <v>2023</v>
      </c>
      <c r="AQ1" s="290">
        <v>2024</v>
      </c>
      <c r="AR1" s="290">
        <v>2024</v>
      </c>
      <c r="AS1" s="290">
        <v>2024</v>
      </c>
      <c r="AT1" s="290">
        <v>2024</v>
      </c>
      <c r="AU1" s="290">
        <v>2024</v>
      </c>
      <c r="AV1" s="290">
        <v>2025</v>
      </c>
      <c r="AW1" s="290">
        <v>2025</v>
      </c>
      <c r="AX1" s="290">
        <v>2025</v>
      </c>
      <c r="AY1" s="290">
        <v>2025</v>
      </c>
      <c r="AZ1" s="290">
        <v>2025</v>
      </c>
    </row>
    <row r="2" spans="2:54">
      <c r="B2" s="84"/>
      <c r="C2" s="84"/>
      <c r="D2" s="84"/>
      <c r="E2" s="24" t="s">
        <v>73</v>
      </c>
      <c r="F2" s="24" t="s">
        <v>73</v>
      </c>
      <c r="G2" s="24" t="s">
        <v>73</v>
      </c>
      <c r="H2" s="24" t="s">
        <v>74</v>
      </c>
      <c r="I2" s="24" t="s">
        <v>75</v>
      </c>
      <c r="J2" s="24" t="s">
        <v>76</v>
      </c>
      <c r="K2" s="24" t="s">
        <v>73</v>
      </c>
      <c r="L2" s="24" t="s">
        <v>77</v>
      </c>
      <c r="M2" s="24" t="s">
        <v>469</v>
      </c>
      <c r="N2" s="24" t="s">
        <v>470</v>
      </c>
      <c r="O2" s="24" t="s">
        <v>471</v>
      </c>
      <c r="P2" s="24" t="s">
        <v>73</v>
      </c>
      <c r="Q2" s="24" t="s">
        <v>77</v>
      </c>
      <c r="R2" s="24" t="s">
        <v>469</v>
      </c>
      <c r="S2" s="24" t="s">
        <v>470</v>
      </c>
      <c r="T2" s="24" t="s">
        <v>471</v>
      </c>
      <c r="U2" s="24" t="s">
        <v>73</v>
      </c>
      <c r="V2" s="24" t="s">
        <v>77</v>
      </c>
      <c r="W2" s="24" t="s">
        <v>469</v>
      </c>
      <c r="X2" s="24" t="s">
        <v>470</v>
      </c>
      <c r="Y2" s="24" t="s">
        <v>471</v>
      </c>
      <c r="Z2" s="24" t="s">
        <v>73</v>
      </c>
      <c r="AA2" s="24" t="s">
        <v>77</v>
      </c>
      <c r="AB2" s="24" t="s">
        <v>469</v>
      </c>
      <c r="AC2" s="24" t="s">
        <v>470</v>
      </c>
      <c r="AD2" s="24" t="s">
        <v>471</v>
      </c>
      <c r="AE2" s="24" t="s">
        <v>73</v>
      </c>
      <c r="AF2" s="24" t="s">
        <v>77</v>
      </c>
      <c r="AG2" s="24" t="s">
        <v>469</v>
      </c>
      <c r="AH2" s="24" t="s">
        <v>470</v>
      </c>
      <c r="AI2" s="24" t="s">
        <v>471</v>
      </c>
      <c r="AJ2" s="24" t="s">
        <v>73</v>
      </c>
      <c r="AK2" s="24" t="s">
        <v>77</v>
      </c>
      <c r="AL2" s="24" t="str">
        <f>AG2</f>
        <v>Q1</v>
      </c>
      <c r="AM2" s="24" t="str">
        <f t="shared" ref="AM2:AN2" si="0">AH2</f>
        <v>Q2</v>
      </c>
      <c r="AN2" s="290" t="str">
        <f t="shared" si="0"/>
        <v>Q3</v>
      </c>
      <c r="AO2" s="290" t="str">
        <f>AJ2</f>
        <v>Q4</v>
      </c>
      <c r="AP2" s="290" t="s">
        <v>77</v>
      </c>
      <c r="AQ2" s="290" t="s">
        <v>469</v>
      </c>
      <c r="AR2" s="290" t="s">
        <v>470</v>
      </c>
      <c r="AS2" s="290" t="s">
        <v>471</v>
      </c>
      <c r="AT2" s="290" t="s">
        <v>73</v>
      </c>
      <c r="AU2" s="290" t="s">
        <v>73</v>
      </c>
      <c r="AV2" s="290" t="s">
        <v>469</v>
      </c>
      <c r="AW2" s="290" t="s">
        <v>470</v>
      </c>
      <c r="AX2" s="290" t="s">
        <v>471</v>
      </c>
      <c r="AY2" s="290" t="s">
        <v>73</v>
      </c>
      <c r="AZ2" s="290" t="s">
        <v>73</v>
      </c>
    </row>
    <row r="3" spans="2:54">
      <c r="B3" s="84"/>
      <c r="C3" s="84"/>
      <c r="D3" s="84"/>
      <c r="E3" s="24"/>
      <c r="F3" s="24"/>
      <c r="G3" s="24"/>
      <c r="H3" s="24" t="str">
        <f t="shared" ref="H3" si="1">H1&amp;H2</f>
        <v xml:space="preserve">2017Q1 </v>
      </c>
      <c r="I3" s="24" t="str">
        <f t="shared" ref="I3" si="2">I1&amp;I2</f>
        <v xml:space="preserve">2017Q2 </v>
      </c>
      <c r="J3" s="24" t="str">
        <f t="shared" ref="J3" si="3">J1&amp;J2</f>
        <v xml:space="preserve">2017Q3 </v>
      </c>
      <c r="K3" s="24" t="str">
        <f t="shared" ref="K3" si="4">K1&amp;K2</f>
        <v>2017Q4</v>
      </c>
      <c r="L3" s="24"/>
      <c r="M3" s="24" t="str">
        <f t="shared" ref="M3" si="5">M1&amp;M2</f>
        <v>2018Q1</v>
      </c>
      <c r="N3" s="24" t="str">
        <f t="shared" ref="N3" si="6">N1&amp;N2</f>
        <v>2018Q2</v>
      </c>
      <c r="O3" s="24" t="str">
        <f t="shared" ref="O3" si="7">O1&amp;O2</f>
        <v>2018Q3</v>
      </c>
      <c r="P3" s="24" t="str">
        <f t="shared" ref="P3" si="8">P1&amp;P2</f>
        <v>2018Q4</v>
      </c>
      <c r="Q3" s="24"/>
      <c r="R3" s="24" t="str">
        <f t="shared" ref="R3" si="9">R1&amp;R2</f>
        <v>2019Q1</v>
      </c>
      <c r="S3" s="24" t="str">
        <f t="shared" ref="S3" si="10">S1&amp;S2</f>
        <v>2019Q2</v>
      </c>
      <c r="T3" s="24" t="str">
        <f t="shared" ref="T3" si="11">T1&amp;T2</f>
        <v>2019Q3</v>
      </c>
      <c r="U3" s="24" t="str">
        <f t="shared" ref="U3" si="12">U1&amp;U2</f>
        <v>2019Q4</v>
      </c>
      <c r="V3" s="24"/>
      <c r="W3" s="24" t="str">
        <f t="shared" ref="W3" si="13">W1&amp;W2</f>
        <v>2020Q1</v>
      </c>
      <c r="X3" s="24" t="str">
        <f t="shared" ref="X3" si="14">X1&amp;X2</f>
        <v>2020Q2</v>
      </c>
      <c r="Y3" s="24" t="str">
        <f t="shared" ref="Y3" si="15">Y1&amp;Y2</f>
        <v>2020Q3</v>
      </c>
      <c r="Z3" s="24" t="str">
        <f t="shared" ref="Z3" si="16">Z1&amp;Z2</f>
        <v>2020Q4</v>
      </c>
      <c r="AA3" s="24"/>
      <c r="AB3" s="24" t="str">
        <f t="shared" ref="AB3" si="17">AB1&amp;AB2</f>
        <v>2021Q1</v>
      </c>
      <c r="AC3" s="24" t="str">
        <f t="shared" ref="AC3" si="18">AC1&amp;AC2</f>
        <v>2021Q2</v>
      </c>
      <c r="AD3" s="24" t="str">
        <f t="shared" ref="AD3" si="19">AD1&amp;AD2</f>
        <v>2021Q3</v>
      </c>
      <c r="AE3" s="24" t="str">
        <f t="shared" ref="AE3" si="20">AE1&amp;AE2</f>
        <v>2021Q4</v>
      </c>
      <c r="AF3" s="24"/>
      <c r="AG3" s="24" t="str">
        <f t="shared" ref="AG3:AJ3" si="21">AG1&amp;AG2</f>
        <v>2022Q1</v>
      </c>
      <c r="AH3" s="24" t="str">
        <f t="shared" si="21"/>
        <v>2022Q2</v>
      </c>
      <c r="AI3" s="24" t="str">
        <f t="shared" si="21"/>
        <v>2022Q3</v>
      </c>
      <c r="AJ3" s="24" t="str">
        <f t="shared" si="21"/>
        <v>2022Q4</v>
      </c>
      <c r="AK3" s="24"/>
      <c r="AL3" s="24" t="str">
        <f>AL1&amp;AL2</f>
        <v>2023Q1</v>
      </c>
      <c r="AM3" s="24" t="str">
        <f>AM1&amp;AM2</f>
        <v>2023Q2</v>
      </c>
      <c r="AN3" s="290" t="str">
        <f>AN1&amp;AN2</f>
        <v>2023Q3</v>
      </c>
      <c r="AO3" s="290" t="str">
        <f>AO1&amp;AO2</f>
        <v>2023Q4</v>
      </c>
      <c r="AP3" s="290"/>
      <c r="AQ3" s="290" t="str">
        <f t="shared" ref="AQ3" si="22">AQ1&amp;AQ2</f>
        <v>2024Q1</v>
      </c>
      <c r="AR3" s="290" t="str">
        <f t="shared" ref="AR3:AS3" si="23">AR1&amp;AR2</f>
        <v>2024Q2</v>
      </c>
      <c r="AS3" s="290" t="str">
        <f t="shared" si="23"/>
        <v>2024Q3</v>
      </c>
      <c r="AT3" s="290" t="str">
        <f t="shared" ref="AT3" si="24">AT1&amp;AT2</f>
        <v>2024Q4</v>
      </c>
      <c r="AU3" s="290"/>
      <c r="AV3" s="290" t="str">
        <f t="shared" ref="AV3" si="25">AV1&amp;AV2</f>
        <v>2025Q1</v>
      </c>
      <c r="AW3" s="290" t="str">
        <f t="shared" ref="AW3:AX3" si="26">AW1&amp;AW2</f>
        <v>2025Q2</v>
      </c>
      <c r="AX3" s="290" t="str">
        <f t="shared" si="26"/>
        <v>2025Q3</v>
      </c>
      <c r="AY3" s="290" t="str">
        <f t="shared" ref="AY3" si="27">AY1&amp;AY2</f>
        <v>2025Q4</v>
      </c>
      <c r="AZ3" s="290"/>
    </row>
    <row r="4" spans="2:54">
      <c r="B4" s="84"/>
      <c r="C4" s="375"/>
      <c r="D4" s="84"/>
      <c r="E4" s="24" t="s">
        <v>51</v>
      </c>
      <c r="F4" s="24" t="s">
        <v>50</v>
      </c>
      <c r="G4" s="24" t="s">
        <v>49</v>
      </c>
      <c r="H4" s="24" t="s">
        <v>48</v>
      </c>
      <c r="I4" s="24" t="s">
        <v>47</v>
      </c>
      <c r="J4" s="24" t="s">
        <v>46</v>
      </c>
      <c r="K4" s="24" t="s">
        <v>45</v>
      </c>
      <c r="L4" s="24" t="s">
        <v>44</v>
      </c>
      <c r="M4" s="24" t="s">
        <v>43</v>
      </c>
      <c r="N4" s="24" t="s">
        <v>42</v>
      </c>
      <c r="O4" s="24" t="s">
        <v>41</v>
      </c>
      <c r="P4" s="24" t="s">
        <v>40</v>
      </c>
      <c r="Q4" s="24" t="s">
        <v>39</v>
      </c>
      <c r="R4" s="24" t="s">
        <v>38</v>
      </c>
      <c r="S4" s="24" t="s">
        <v>37</v>
      </c>
      <c r="T4" s="24" t="s">
        <v>36</v>
      </c>
      <c r="U4" s="24" t="s">
        <v>35</v>
      </c>
      <c r="V4" s="24" t="s">
        <v>34</v>
      </c>
      <c r="W4" s="24" t="s">
        <v>33</v>
      </c>
      <c r="X4" s="24" t="s">
        <v>32</v>
      </c>
      <c r="Y4" s="24" t="s">
        <v>31</v>
      </c>
      <c r="Z4" s="24" t="s">
        <v>30</v>
      </c>
      <c r="AA4" s="24" t="s">
        <v>16</v>
      </c>
      <c r="AB4" s="24" t="s">
        <v>23</v>
      </c>
      <c r="AC4" s="24" t="s">
        <v>22</v>
      </c>
      <c r="AD4" s="24" t="s">
        <v>21</v>
      </c>
      <c r="AE4" s="24" t="s">
        <v>20</v>
      </c>
      <c r="AF4" s="24" t="s">
        <v>17</v>
      </c>
      <c r="AG4" s="24" t="s">
        <v>24</v>
      </c>
      <c r="AH4" s="24" t="s">
        <v>25</v>
      </c>
      <c r="AI4" s="24" t="s">
        <v>26</v>
      </c>
      <c r="AJ4" s="24" t="s">
        <v>27</v>
      </c>
      <c r="AK4" s="24" t="s">
        <v>18</v>
      </c>
      <c r="AL4" s="24" t="s">
        <v>28</v>
      </c>
      <c r="AM4" s="24" t="s">
        <v>29</v>
      </c>
      <c r="AN4" s="290" t="s">
        <v>465</v>
      </c>
      <c r="AO4" s="290" t="s">
        <v>468</v>
      </c>
      <c r="AP4" s="290" t="s">
        <v>467</v>
      </c>
      <c r="AQ4" s="290" t="s">
        <v>472</v>
      </c>
      <c r="AR4" s="290" t="s">
        <v>473</v>
      </c>
      <c r="AS4" s="290" t="s">
        <v>474</v>
      </c>
      <c r="AT4" s="290" t="s">
        <v>466</v>
      </c>
      <c r="AU4" s="290" t="s">
        <v>485</v>
      </c>
      <c r="AV4" s="290" t="s">
        <v>572</v>
      </c>
      <c r="AW4" s="290" t="s">
        <v>573</v>
      </c>
      <c r="AX4" s="290" t="s">
        <v>574</v>
      </c>
      <c r="AY4" s="290" t="s">
        <v>575</v>
      </c>
      <c r="AZ4" s="290" t="s">
        <v>576</v>
      </c>
    </row>
    <row r="5" spans="2:54">
      <c r="B5" s="84"/>
      <c r="C5" s="84"/>
      <c r="D5" s="84"/>
      <c r="E5" s="24" t="s">
        <v>653</v>
      </c>
      <c r="F5" s="24" t="s">
        <v>654</v>
      </c>
      <c r="G5" s="24" t="s">
        <v>655</v>
      </c>
      <c r="H5" s="24" t="s">
        <v>665</v>
      </c>
      <c r="I5" s="24" t="s">
        <v>666</v>
      </c>
      <c r="J5" s="24" t="s">
        <v>667</v>
      </c>
      <c r="K5" s="24" t="str">
        <f>K2&amp;"CY"&amp;K1</f>
        <v>Q4CY2017</v>
      </c>
      <c r="L5" s="24" t="s">
        <v>656</v>
      </c>
      <c r="M5" s="24" t="str">
        <f t="shared" ref="M5:P5" si="28">M2&amp;"CY"&amp;M1</f>
        <v>Q1CY2018</v>
      </c>
      <c r="N5" s="24" t="str">
        <f t="shared" si="28"/>
        <v>Q2CY2018</v>
      </c>
      <c r="O5" s="24" t="str">
        <f t="shared" si="28"/>
        <v>Q3CY2018</v>
      </c>
      <c r="P5" s="24" t="str">
        <f t="shared" si="28"/>
        <v>Q4CY2018</v>
      </c>
      <c r="Q5" s="24" t="s">
        <v>657</v>
      </c>
      <c r="R5" s="24" t="str">
        <f t="shared" ref="R5:U5" si="29">R2&amp;"CY"&amp;R1</f>
        <v>Q1CY2019</v>
      </c>
      <c r="S5" s="24" t="str">
        <f t="shared" si="29"/>
        <v>Q2CY2019</v>
      </c>
      <c r="T5" s="24" t="str">
        <f t="shared" si="29"/>
        <v>Q3CY2019</v>
      </c>
      <c r="U5" s="24" t="str">
        <f t="shared" si="29"/>
        <v>Q4CY2019</v>
      </c>
      <c r="V5" s="24" t="s">
        <v>658</v>
      </c>
      <c r="W5" s="24" t="str">
        <f t="shared" ref="W5:Z5" si="30">W2&amp;"CY"&amp;W1</f>
        <v>Q1CY2020</v>
      </c>
      <c r="X5" s="24" t="str">
        <f t="shared" si="30"/>
        <v>Q2CY2020</v>
      </c>
      <c r="Y5" s="24" t="str">
        <f t="shared" si="30"/>
        <v>Q3CY2020</v>
      </c>
      <c r="Z5" s="24" t="str">
        <f t="shared" si="30"/>
        <v>Q4CY2020</v>
      </c>
      <c r="AA5" s="24" t="s">
        <v>659</v>
      </c>
      <c r="AB5" s="24" t="str">
        <f t="shared" ref="AB5:AE5" si="31">AB2&amp;"CY"&amp;AB1</f>
        <v>Q1CY2021</v>
      </c>
      <c r="AC5" s="24" t="str">
        <f t="shared" si="31"/>
        <v>Q2CY2021</v>
      </c>
      <c r="AD5" s="24" t="str">
        <f t="shared" si="31"/>
        <v>Q3CY2021</v>
      </c>
      <c r="AE5" s="24" t="str">
        <f t="shared" si="31"/>
        <v>Q4CY2021</v>
      </c>
      <c r="AF5" s="24" t="s">
        <v>660</v>
      </c>
      <c r="AG5" s="24" t="str">
        <f t="shared" ref="AG5:AJ5" si="32">AG2&amp;"CY"&amp;AG1</f>
        <v>Q1CY2022</v>
      </c>
      <c r="AH5" s="24" t="str">
        <f t="shared" si="32"/>
        <v>Q2CY2022</v>
      </c>
      <c r="AI5" s="24" t="str">
        <f t="shared" si="32"/>
        <v>Q3CY2022</v>
      </c>
      <c r="AJ5" s="24" t="str">
        <f t="shared" si="32"/>
        <v>Q4CY2022</v>
      </c>
      <c r="AK5" s="24" t="s">
        <v>661</v>
      </c>
      <c r="AL5" s="24" t="str">
        <f t="shared" ref="AL5:AO5" si="33">AL2&amp;"CY"&amp;AL1</f>
        <v>Q1CY2023</v>
      </c>
      <c r="AM5" s="24" t="str">
        <f t="shared" si="33"/>
        <v>Q2CY2023</v>
      </c>
      <c r="AN5" s="290" t="str">
        <f t="shared" si="33"/>
        <v>Q3CY2023</v>
      </c>
      <c r="AO5" s="290" t="str">
        <f t="shared" si="33"/>
        <v>Q4CY2023</v>
      </c>
      <c r="AP5" s="290" t="s">
        <v>662</v>
      </c>
      <c r="AQ5" s="290" t="str">
        <f t="shared" ref="AQ5:AT5" si="34">AQ2&amp;"CY"&amp;AQ1</f>
        <v>Q1CY2024</v>
      </c>
      <c r="AR5" s="290" t="str">
        <f t="shared" si="34"/>
        <v>Q2CY2024</v>
      </c>
      <c r="AS5" s="290" t="str">
        <f t="shared" si="34"/>
        <v>Q3CY2024</v>
      </c>
      <c r="AT5" s="290" t="str">
        <f t="shared" si="34"/>
        <v>Q4CY2024</v>
      </c>
      <c r="AU5" s="290" t="s">
        <v>663</v>
      </c>
      <c r="AV5" s="290" t="str">
        <f t="shared" ref="AV5:AY5" si="35">AV2&amp;"CY"&amp;AV1</f>
        <v>Q1CY2025</v>
      </c>
      <c r="AW5" s="290" t="str">
        <f t="shared" si="35"/>
        <v>Q2CY2025</v>
      </c>
      <c r="AX5" s="290" t="str">
        <f t="shared" si="35"/>
        <v>Q3CY2025</v>
      </c>
      <c r="AY5" s="290" t="str">
        <f t="shared" si="35"/>
        <v>Q4CY2025</v>
      </c>
      <c r="AZ5" s="290" t="s">
        <v>664</v>
      </c>
    </row>
    <row r="6" spans="2:54">
      <c r="B6" s="24" t="s">
        <v>78</v>
      </c>
      <c r="C6" s="24"/>
      <c r="D6" s="24"/>
      <c r="E6" s="288" cm="1">
        <f t="array" ref="E6">_xll.BQL(bbg_ticker, "IS_EPS(FPT="&amp;E2&amp;", FPR="&amp;E1&amp;").PERIOD_END_DATE")</f>
        <v>42004</v>
      </c>
      <c r="F6" s="288" cm="1">
        <f t="array" ref="F6">_xll.BQL(bbg_ticker, "IS_EPS(FPT="&amp;F2&amp;", FPR="&amp;F1&amp;").PERIOD_END_DATE")</f>
        <v>42369</v>
      </c>
      <c r="G6" s="288" cm="1">
        <f t="array" ref="G6">_xll.BQL(bbg_ticker, "IS_EPS(FPT="&amp;G2&amp;", FPR="&amp;G1&amp;").PERIOD_END_DATE")</f>
        <v>42735</v>
      </c>
      <c r="H6" s="288" cm="1">
        <f t="array" ref="H6">_xll.BQL(bbg_ticker, "IS_EPS(FPT="&amp;H2&amp;", FPR="&amp;H1&amp;").PERIOD_END_DATE")</f>
        <v>42825</v>
      </c>
      <c r="I6" s="288" cm="1">
        <f t="array" ref="I6">_xll.BQL(bbg_ticker, "IS_EPS(FPT="&amp;I2&amp;", FPR="&amp;I1&amp;").PERIOD_END_DATE")</f>
        <v>42916</v>
      </c>
      <c r="J6" s="288" cm="1">
        <f t="array" ref="J6">_xll.BQL(bbg_ticker, "IS_EPS(FPT="&amp;J2&amp;", FPR="&amp;J1&amp;").PERIOD_END_DATE")</f>
        <v>43008</v>
      </c>
      <c r="K6" s="288" cm="1">
        <f t="array" ref="K6">_xll.BQL(bbg_ticker, "IS_EPS(FPT="&amp;K2&amp;", FPR="&amp;K1&amp;").PERIOD_END_DATE")</f>
        <v>43100</v>
      </c>
      <c r="L6" s="288" cm="1">
        <f t="array" ref="L6">_xll.BQL(bbg_ticker, "IS_EPS(FPT="&amp;L2&amp;", FPR="&amp;L1&amp;").PERIOD_END_DATE")</f>
        <v>43100</v>
      </c>
      <c r="M6" s="288" cm="1">
        <f t="array" ref="M6">_xll.BQL(bbg_ticker, "IS_EPS(FPT="&amp;M2&amp;", FPR="&amp;M1&amp;").PERIOD_END_DATE")</f>
        <v>43190</v>
      </c>
      <c r="N6" s="288" cm="1">
        <f t="array" ref="N6">_xll.BQL(bbg_ticker, "IS_EPS(FPT="&amp;N2&amp;", FPR="&amp;N1&amp;").PERIOD_END_DATE")</f>
        <v>43281</v>
      </c>
      <c r="O6" s="288" cm="1">
        <f t="array" ref="O6">_xll.BQL(bbg_ticker, "IS_EPS(FPT="&amp;O2&amp;", FPR="&amp;O1&amp;").PERIOD_END_DATE")</f>
        <v>43373</v>
      </c>
      <c r="P6" s="288" cm="1">
        <f t="array" ref="P6">_xll.BQL(bbg_ticker, "IS_EPS(FPT="&amp;P2&amp;", FPR="&amp;P1&amp;").PERIOD_END_DATE")</f>
        <v>43465</v>
      </c>
      <c r="Q6" s="288" cm="1">
        <f t="array" ref="Q6">_xll.BQL(bbg_ticker, "IS_EPS(FPT="&amp;Q2&amp;", FPR="&amp;Q1&amp;").PERIOD_END_DATE")</f>
        <v>43465</v>
      </c>
      <c r="R6" s="288" cm="1">
        <f t="array" ref="R6">_xll.BQL(bbg_ticker, "IS_EPS(FPT="&amp;R2&amp;", FPR="&amp;R1&amp;").PERIOD_END_DATE")</f>
        <v>43555</v>
      </c>
      <c r="S6" s="288" cm="1">
        <f t="array" ref="S6">_xll.BQL(bbg_ticker, "IS_EPS(FPT="&amp;S2&amp;", FPR="&amp;S1&amp;").PERIOD_END_DATE")</f>
        <v>43646</v>
      </c>
      <c r="T6" s="288" cm="1">
        <f t="array" ref="T6">_xll.BQL(bbg_ticker, "IS_EPS(FPT="&amp;T2&amp;", FPR="&amp;T1&amp;").PERIOD_END_DATE")</f>
        <v>43738</v>
      </c>
      <c r="U6" s="288" cm="1">
        <f t="array" ref="U6">_xll.BQL(bbg_ticker, "IS_EPS(FPT="&amp;U2&amp;", FPR="&amp;U1&amp;").PERIOD_END_DATE")</f>
        <v>43830</v>
      </c>
      <c r="V6" s="288" cm="1">
        <f t="array" ref="V6">_xll.BQL(bbg_ticker, "IS_EPS(FPT="&amp;V2&amp;", FPR="&amp;V1&amp;").PERIOD_END_DATE")</f>
        <v>43830</v>
      </c>
      <c r="W6" s="288" cm="1">
        <f t="array" ref="W6">_xll.BQL(bbg_ticker, "IS_EPS(FPT="&amp;W2&amp;", FPR="&amp;W1&amp;").PERIOD_END_DATE")</f>
        <v>43921</v>
      </c>
      <c r="X6" s="288" cm="1">
        <f t="array" ref="X6">_xll.BQL(bbg_ticker, "IS_EPS(FPT="&amp;X2&amp;", FPR="&amp;X1&amp;").PERIOD_END_DATE")</f>
        <v>44012</v>
      </c>
      <c r="Y6" s="288" cm="1">
        <f t="array" ref="Y6">_xll.BQL(bbg_ticker, "IS_EPS(FPT="&amp;Y2&amp;", FPR="&amp;Y1&amp;").PERIOD_END_DATE")</f>
        <v>44104</v>
      </c>
      <c r="Z6" s="288" cm="1">
        <f t="array" ref="Z6">_xll.BQL(bbg_ticker, "IS_EPS(FPT="&amp;Z2&amp;", FPR="&amp;Z1&amp;").PERIOD_END_DATE")</f>
        <v>44196</v>
      </c>
      <c r="AA6" s="288" cm="1">
        <f t="array" ref="AA6">_xll.BQL(bbg_ticker, "IS_EPS(FPT="&amp;AA2&amp;", FPR="&amp;AA1&amp;").PERIOD_END_DATE")</f>
        <v>44196</v>
      </c>
      <c r="AB6" s="288" cm="1">
        <f t="array" ref="AB6">_xll.BQL(bbg_ticker, "IS_EPS(FPT="&amp;AB2&amp;", FPR="&amp;AB1&amp;").PERIOD_END_DATE")</f>
        <v>44286</v>
      </c>
      <c r="AC6" s="288" cm="1">
        <f t="array" ref="AC6">_xll.BQL(bbg_ticker, "IS_EPS(FPT="&amp;AC2&amp;", FPR="&amp;AC1&amp;").PERIOD_END_DATE")</f>
        <v>44377</v>
      </c>
      <c r="AD6" s="288" cm="1">
        <f t="array" ref="AD6">_xll.BQL(bbg_ticker, "IS_EPS(FPT="&amp;AD2&amp;", FPR="&amp;AD1&amp;").PERIOD_END_DATE")</f>
        <v>44469</v>
      </c>
      <c r="AE6" s="288" cm="1">
        <f t="array" ref="AE6">_xll.BQL(bbg_ticker, "IS_EPS(FPT="&amp;AE2&amp;", FPR="&amp;AE1&amp;").PERIOD_END_DATE")</f>
        <v>44561</v>
      </c>
      <c r="AF6" s="288" cm="1">
        <f t="array" ref="AF6">_xll.BQL(bbg_ticker, "IS_EPS(FPT="&amp;AF2&amp;", FPR="&amp;AF1&amp;").PERIOD_END_DATE")</f>
        <v>44561</v>
      </c>
      <c r="AG6" s="288" cm="1">
        <f t="array" ref="AG6">_xll.BQL(bbg_ticker, "IS_EPS(FPT="&amp;AG2&amp;", FPR="&amp;AG1&amp;").PERIOD_END_DATE")</f>
        <v>44651</v>
      </c>
      <c r="AH6" s="288" cm="1">
        <f t="array" ref="AH6">_xll.BQL(bbg_ticker, "IS_EPS(FPT="&amp;AH2&amp;", FPR="&amp;AH1&amp;").PERIOD_END_DATE")</f>
        <v>44742</v>
      </c>
      <c r="AI6" s="288" cm="1">
        <f t="array" ref="AI6">_xll.BQL(bbg_ticker, "IS_EPS(FPT="&amp;AI2&amp;", FPR="&amp;AI1&amp;").PERIOD_END_DATE")</f>
        <v>44834</v>
      </c>
      <c r="AJ6" s="288" cm="1">
        <f t="array" ref="AJ6">_xll.BQL(bbg_ticker, "IS_EPS(FPT="&amp;AJ2&amp;", FPR="&amp;AJ1&amp;").PERIOD_END_DATE")</f>
        <v>44926</v>
      </c>
      <c r="AK6" s="288" cm="1">
        <f t="array" ref="AK6">_xll.BQL(bbg_ticker, "IS_EPS(FPT="&amp;AK2&amp;", FPR="&amp;AK1&amp;").PERIOD_END_DATE")</f>
        <v>44926</v>
      </c>
      <c r="AL6" s="288" cm="1">
        <f t="array" ref="AL6">_xll.BQL(bbg_ticker, "IS_EPS(FPT="&amp;AL2&amp;", FPR="&amp;AL1&amp;").PERIOD_END_DATE")</f>
        <v>45016</v>
      </c>
      <c r="AM6" s="288" cm="1">
        <f t="array" ref="AM6">_xll.BQL(bbg_ticker, "IS_EPS(FPT="&amp;AM2&amp;", FPR="&amp;AM1&amp;").PERIOD_END_DATE")</f>
        <v>45107</v>
      </c>
      <c r="AN6" s="291" cm="1">
        <f t="array" ref="AN6">_xll.BQL(bbg_ticker, "IS_EPS(FPT="&amp;AN2&amp;", FPR="&amp;AN1&amp;").PERIOD_END_DATE")</f>
        <v>45199</v>
      </c>
      <c r="AO6" s="291" cm="1">
        <f t="array" ref="AO6">_xll.BQL(bbg_ticker, "IS_EPS(FPT="&amp;AO2&amp;", FPR="&amp;AO1&amp;").PERIOD_END_DATE")</f>
        <v>45291</v>
      </c>
      <c r="AP6" s="291" cm="1">
        <f t="array" ref="AP6">_xll.BQL(bbg_ticker, "IS_EPS(FPT="&amp;AP2&amp;", FPR="&amp;AP1&amp;").PERIOD_END_DATE")</f>
        <v>45291</v>
      </c>
      <c r="AQ6" s="291" cm="1">
        <f t="array" ref="AQ6">_xll.BQL(bbg_ticker, "IS_EPS(FPT="&amp;AQ2&amp;", FPR="&amp;AQ1&amp;").PERIOD_END_DATE")</f>
        <v>45382</v>
      </c>
      <c r="AR6" s="291" cm="1">
        <f t="array" ref="AR6">_xll.BQL(bbg_ticker, "IS_EPS(FPT="&amp;AR2&amp;", FPR="&amp;AR1&amp;").PERIOD_END_DATE")</f>
        <v>45473</v>
      </c>
      <c r="AS6" s="291" cm="1">
        <f t="array" ref="AS6">_xll.BQL(bbg_ticker, "IS_EPS(FPT="&amp;AS2&amp;", FPR="&amp;AS1&amp;").PERIOD_END_DATE")</f>
        <v>45565</v>
      </c>
      <c r="AT6" s="291" cm="1">
        <f t="array" ref="AT6">_xll.BQL(bbg_ticker, "IS_EPS(FPT="&amp;AT2&amp;", FPR="&amp;AT1&amp;").PERIOD_END_DATE")</f>
        <v>45657</v>
      </c>
      <c r="AU6" s="291" cm="1">
        <f t="array" ref="AU6">_xll.BQL(bbg_ticker, "IS_EPS(FPT="&amp;AU2&amp;", FPR="&amp;AU1&amp;").PERIOD_END_DATE")</f>
        <v>45657</v>
      </c>
      <c r="AV6" s="291" cm="1">
        <f t="array" ref="AV6">_xll.BQL(bbg_ticker, "IS_EPS(FPT="&amp;AV2&amp;", FPR="&amp;AV1&amp;").PERIOD_END_DATE")</f>
        <v>45747</v>
      </c>
      <c r="AW6" s="291" cm="1">
        <f t="array" ref="AW6">_xll.BQL(bbg_ticker, "IS_EPS(FPT="&amp;AW2&amp;", FPR="&amp;AW1&amp;").PERIOD_END_DATE")</f>
        <v>45838</v>
      </c>
      <c r="AX6" s="291" cm="1">
        <f t="array" ref="AX6">_xll.BQL(bbg_ticker, "IS_EPS(FPT="&amp;AX2&amp;", FPR="&amp;AX1&amp;").PERIOD_END_DATE")</f>
        <v>42369</v>
      </c>
      <c r="AY6" s="291" cm="1">
        <f t="array" ref="AY6">_xll.BQL(bbg_ticker, "IS_EPS(FPT="&amp;AY2&amp;", FPR="&amp;AY1&amp;").PERIOD_END_DATE")</f>
        <v>46022</v>
      </c>
      <c r="AZ6" s="291" cm="1">
        <f t="array" ref="AZ6">_xll.BQL(bbg_ticker, "IS_EPS(FPT="&amp;AZ2&amp;", FPR="&amp;AZ1&amp;").PERIOD_END_DATE")</f>
        <v>46022</v>
      </c>
    </row>
    <row r="7" spans="2:54">
      <c r="B7" s="24" t="s">
        <v>79</v>
      </c>
      <c r="C7" s="24"/>
      <c r="D7" s="24"/>
      <c r="E7" s="289" t="str" cm="1">
        <f t="array" ref="E7">_xll.BDP(bbg_ticker, "ANNOUNCEMENT_DT", "FUND_PER="&amp;E2, "EQY_FUND_YEAR="&amp;E1)</f>
        <v>2/12/2015</v>
      </c>
      <c r="F7" s="289" t="str" cm="1">
        <f t="array" ref="F7">_xll.BDP(bbg_ticker, "ANNOUNCEMENT_DT", "FUND_PER="&amp;F2, "EQY_FUND_YEAR="&amp;F1)</f>
        <v>2/17/2016</v>
      </c>
      <c r="G7" s="289" t="str" cm="1">
        <f t="array" ref="G7">_xll.BDP(bbg_ticker, "ANNOUNCEMENT_DT", "FUND_PER="&amp;G2, "EQY_FUND_YEAR="&amp;G1)</f>
        <v>2/14/2017</v>
      </c>
      <c r="H7" s="289" t="str" cm="1">
        <f t="array" ref="H7">_xll.BDP(bbg_ticker, "ANNOUNCEMENT_DT", "FUND_PER="&amp;H2, "EQY_FUND_YEAR="&amp;H1)</f>
        <v>4/26/2017</v>
      </c>
      <c r="I7" s="289" t="str" cm="1">
        <f t="array" ref="I7">_xll.BDP(bbg_ticker, "ANNOUNCEMENT_DT", "FUND_PER="&amp;I2, "EQY_FUND_YEAR="&amp;I1)</f>
        <v>7/27/2017</v>
      </c>
      <c r="J7" s="289" t="str" cm="1">
        <f t="array" ref="J7">_xll.BDP(bbg_ticker, "ANNOUNCEMENT_DT", "FUND_PER="&amp;J2, "EQY_FUND_YEAR="&amp;J1)</f>
        <v>10/25/2017</v>
      </c>
      <c r="K7" s="289" t="str" cm="1">
        <f t="array" ref="K7">_xll.BDP(bbg_ticker, "ANNOUNCEMENT_DT", "FUND_PER="&amp;K2, "EQY_FUND_YEAR="&amp;K1)</f>
        <v>2/14/2018</v>
      </c>
      <c r="L7" s="289" t="str" cm="1">
        <f t="array" ref="L7">_xll.BDP(bbg_ticker, "ANNOUNCEMENT_DT", "FUND_PER="&amp;L2, "EQY_FUND_YEAR="&amp;L1)</f>
        <v>2/14/2018</v>
      </c>
      <c r="M7" s="289" t="str" cm="1">
        <f t="array" ref="M7">_xll.BDP(bbg_ticker, "ANNOUNCEMENT_DT", "FUND_PER="&amp;M2, "EQY_FUND_YEAR="&amp;M1)</f>
        <v>4/25/2018</v>
      </c>
      <c r="N7" s="289" t="str" cm="1">
        <f t="array" ref="N7">_xll.BDP(bbg_ticker, "ANNOUNCEMENT_DT", "FUND_PER="&amp;N2, "EQY_FUND_YEAR="&amp;N1)</f>
        <v>8/8/2018</v>
      </c>
      <c r="O7" s="289" t="str" cm="1">
        <f t="array" ref="O7">_xll.BDP(bbg_ticker, "ANNOUNCEMENT_DT", "FUND_PER="&amp;O2, "EQY_FUND_YEAR="&amp;O1)</f>
        <v>11/7/2018</v>
      </c>
      <c r="P7" s="289" t="str" cm="1">
        <f t="array" ref="P7">_xll.BDP(bbg_ticker, "ANNOUNCEMENT_DT", "FUND_PER="&amp;P2, "EQY_FUND_YEAR="&amp;P1)</f>
        <v>2/28/2019</v>
      </c>
      <c r="Q7" s="289" t="str" cm="1">
        <f t="array" ref="Q7">_xll.BDP(bbg_ticker, "ANNOUNCEMENT_DT", "FUND_PER="&amp;Q2, "EQY_FUND_YEAR="&amp;Q1)</f>
        <v>2/28/2019</v>
      </c>
      <c r="R7" s="289" t="str" cm="1">
        <f t="array" ref="R7">_xll.BDP(bbg_ticker, "ANNOUNCEMENT_DT", "FUND_PER="&amp;R2, "EQY_FUND_YEAR="&amp;R1)</f>
        <v>5/9/2019</v>
      </c>
      <c r="S7" s="289" t="str" cm="1">
        <f t="array" ref="S7">_xll.BDP(bbg_ticker, "ANNOUNCEMENT_DT", "FUND_PER="&amp;S2, "EQY_FUND_YEAR="&amp;S1)</f>
        <v>8/8/2019</v>
      </c>
      <c r="T7" s="289" t="str" cm="1">
        <f t="array" ref="T7">_xll.BDP(bbg_ticker, "ANNOUNCEMENT_DT", "FUND_PER="&amp;T2, "EQY_FUND_YEAR="&amp;T1)</f>
        <v>11/7/2019</v>
      </c>
      <c r="U7" s="289" t="str" cm="1">
        <f t="array" ref="U7">_xll.BDP(bbg_ticker, "ANNOUNCEMENT_DT", "FUND_PER="&amp;U2, "EQY_FUND_YEAR="&amp;U1)</f>
        <v>2/27/2020</v>
      </c>
      <c r="V7" s="289" t="str" cm="1">
        <f t="array" ref="V7">_xll.BDP(bbg_ticker, "ANNOUNCEMENT_DT", "FUND_PER="&amp;V2, "EQY_FUND_YEAR="&amp;V1)</f>
        <v>2/27/2020</v>
      </c>
      <c r="W7" s="289" t="str" cm="1">
        <f t="array" ref="W7">_xll.BDP(bbg_ticker, "ANNOUNCEMENT_DT", "FUND_PER="&amp;W2, "EQY_FUND_YEAR="&amp;W1)</f>
        <v>4/27/2020</v>
      </c>
      <c r="X7" s="289" t="str" cm="1">
        <f t="array" ref="X7">_xll.BDP(bbg_ticker, "ANNOUNCEMENT_DT", "FUND_PER="&amp;X2, "EQY_FUND_YEAR="&amp;X1)</f>
        <v>7/30/2020</v>
      </c>
      <c r="Y7" s="289" t="str" cm="1">
        <f t="array" ref="Y7">_xll.BDP(bbg_ticker, "ANNOUNCEMENT_DT", "FUND_PER="&amp;Y2, "EQY_FUND_YEAR="&amp;Y1)</f>
        <v>10/29/2020</v>
      </c>
      <c r="Z7" s="289" t="str" cm="1">
        <f t="array" ref="Z7">_xll.BDP(bbg_ticker, "ANNOUNCEMENT_DT", "FUND_PER="&amp;Z2, "EQY_FUND_YEAR="&amp;Z1)</f>
        <v>2/25/2021</v>
      </c>
      <c r="AA7" s="289" t="str" cm="1">
        <f t="array" ref="AA7">_xll.BDP(bbg_ticker, "ANNOUNCEMENT_DT", "FUND_PER="&amp;AA2, "EQY_FUND_YEAR="&amp;AA1)</f>
        <v>2/25/2021</v>
      </c>
      <c r="AB7" s="289" t="str" cm="1">
        <f t="array" ref="AB7">_xll.BDP(bbg_ticker, "ANNOUNCEMENT_DT", "FUND_PER="&amp;AB2, "EQY_FUND_YEAR="&amp;AB1)</f>
        <v>4/29/2021</v>
      </c>
      <c r="AC7" s="289" t="str" cm="1">
        <f t="array" ref="AC7">_xll.BDP(bbg_ticker, "ANNOUNCEMENT_DT", "FUND_PER="&amp;AC2, "EQY_FUND_YEAR="&amp;AC1)</f>
        <v>7/29/2021</v>
      </c>
      <c r="AD7" s="289" t="str" cm="1">
        <f t="array" ref="AD7">_xll.BDP(bbg_ticker, "ANNOUNCEMENT_DT", "FUND_PER="&amp;AD2, "EQY_FUND_YEAR="&amp;AD1)</f>
        <v>10/28/2021</v>
      </c>
      <c r="AE7" s="289" t="str" cm="1">
        <f t="array" ref="AE7">_xll.BDP(bbg_ticker, "ANNOUNCEMENT_DT", "FUND_PER="&amp;AE2, "EQY_FUND_YEAR="&amp;AE1)</f>
        <v>2/24/2022</v>
      </c>
      <c r="AF7" s="289" t="str" cm="1">
        <f t="array" ref="AF7">_xll.BDP(bbg_ticker, "ANNOUNCEMENT_DT", "FUND_PER="&amp;AF2, "EQY_FUND_YEAR="&amp;AF1)</f>
        <v>2/24/2022</v>
      </c>
      <c r="AG7" s="289" t="str" cm="1">
        <f t="array" ref="AG7">_xll.BDP(bbg_ticker, "ANNOUNCEMENT_DT", "FUND_PER="&amp;AG2, "EQY_FUND_YEAR="&amp;AG1)</f>
        <v>4/28/2022</v>
      </c>
      <c r="AH7" s="289" t="str" cm="1">
        <f t="array" ref="AH7">_xll.BDP(bbg_ticker, "ANNOUNCEMENT_DT", "FUND_PER="&amp;AH2, "EQY_FUND_YEAR="&amp;AH1)</f>
        <v>7/28/2022</v>
      </c>
      <c r="AI7" s="289" t="str" cm="1">
        <f t="array" ref="AI7">_xll.BDP(bbg_ticker, "ANNOUNCEMENT_DT", "FUND_PER="&amp;AI2, "EQY_FUND_YEAR="&amp;AI1)</f>
        <v>10/27/2022</v>
      </c>
      <c r="AJ7" s="289" t="str" cm="1">
        <f t="array" ref="AJ7">_xll.BDP(bbg_ticker, "ANNOUNCEMENT_DT", "FUND_PER="&amp;AJ2, "EQY_FUND_YEAR="&amp;AJ1)</f>
        <v>2/23/2023</v>
      </c>
      <c r="AK7" s="289" t="str" cm="1">
        <f t="array" ref="AK7">_xll.BDP(bbg_ticker, "ANNOUNCEMENT_DT", "FUND_PER="&amp;AK2, "EQY_FUND_YEAR="&amp;AK1)</f>
        <v>2/23/2023</v>
      </c>
      <c r="AL7" s="289" t="str" cm="1">
        <f t="array" ref="AL7">_xll.BDP(bbg_ticker, "ANNOUNCEMENT_DT", "FUND_PER="&amp;AL2, "EQY_FUND_YEAR="&amp;AL1)</f>
        <v>4/27/2023</v>
      </c>
      <c r="AM7" s="289" t="str" cm="1">
        <f t="array" ref="AM7">_xll.BDP(bbg_ticker, "ANNOUNCEMENT_DT", "FUND_PER="&amp;AM2, "EQY_FUND_YEAR="&amp;AM1)</f>
        <v>7/27/2023</v>
      </c>
      <c r="AN7" s="292" t="str" cm="1">
        <f t="array" ref="AN7">_xll.BDP(bbg_ticker, "ANNOUNCEMENT_DT", "FUND_PER="&amp;AN2, "EQY_FUND_YEAR="&amp;AN1)</f>
        <v>#N/A N/A</v>
      </c>
      <c r="AO7" s="292" t="str" cm="1">
        <f t="array" ref="AO7">_xll.BDP(bbg_ticker, "ANNOUNCEMENT_DT", "FUND_PER="&amp;AO2, "EQY_FUND_YEAR="&amp;AO1)</f>
        <v>#N/A N/A</v>
      </c>
      <c r="AP7" s="292" t="str" cm="1">
        <f t="array" ref="AP7">_xll.BDP(bbg_ticker, "ANNOUNCEMENT_DT", "FUND_PER="&amp;AP2, "EQY_FUND_YEAR="&amp;AP1)</f>
        <v>#N/A N/A</v>
      </c>
      <c r="AQ7" s="292" t="str" cm="1">
        <f t="array" ref="AQ7">_xll.BDP(bbg_ticker, "ANNOUNCEMENT_DT", "FUND_PER="&amp;AQ2, "EQY_FUND_YEAR="&amp;AQ1)</f>
        <v>#N/A N/A</v>
      </c>
      <c r="AR7" s="292" t="str" cm="1">
        <f t="array" ref="AR7">_xll.BDP(bbg_ticker, "ANNOUNCEMENT_DT", "FUND_PER="&amp;AR2, "EQY_FUND_YEAR="&amp;AR1)</f>
        <v>#N/A N/A</v>
      </c>
      <c r="AS7" s="292" t="str" cm="1">
        <f t="array" ref="AS7">_xll.BDP(bbg_ticker, "ANNOUNCEMENT_DT", "FUND_PER="&amp;AS2, "EQY_FUND_YEAR="&amp;AS1)</f>
        <v>#N/A N/A</v>
      </c>
      <c r="AT7" s="292" t="str" cm="1">
        <f t="array" ref="AT7">_xll.BDP(bbg_ticker, "ANNOUNCEMENT_DT", "FUND_PER="&amp;AT2, "EQY_FUND_YEAR="&amp;AT1)</f>
        <v>#N/A N/A</v>
      </c>
      <c r="AU7" s="292" t="str" cm="1">
        <f t="array" ref="AU7">_xll.BDP(bbg_ticker, "ANNOUNCEMENT_DT", "FUND_PER="&amp;AU2, "EQY_FUND_YEAR="&amp;AU1)</f>
        <v>#N/A N/A</v>
      </c>
      <c r="AV7" s="292" t="str" cm="1">
        <f t="array" ref="AV7">_xll.BDP(bbg_ticker, "ANNOUNCEMENT_DT", "FUND_PER="&amp;AV2, "EQY_FUND_YEAR="&amp;AV1)</f>
        <v>#N/A N/A</v>
      </c>
      <c r="AW7" s="292" t="str" cm="1">
        <f t="array" ref="AW7">_xll.BDP(bbg_ticker, "ANNOUNCEMENT_DT", "FUND_PER="&amp;AW2, "EQY_FUND_YEAR="&amp;AW1)</f>
        <v>#N/A N/A</v>
      </c>
      <c r="AX7" s="292" t="str" cm="1">
        <f t="array" ref="AX7">_xll.BDP(bbg_ticker, "ANNOUNCEMENT_DT", "FUND_PER="&amp;AX2, "EQY_FUND_YEAR="&amp;AX1)</f>
        <v>#N/A N/A</v>
      </c>
      <c r="AY7" s="292" t="str" cm="1">
        <f t="array" ref="AY7">_xll.BDP(bbg_ticker, "ANNOUNCEMENT_DT", "FUND_PER="&amp;AY2, "EQY_FUND_YEAR="&amp;AY1)</f>
        <v>#N/A N/A</v>
      </c>
      <c r="AZ7" s="292" t="str" cm="1">
        <f t="array" ref="AZ7">_xll.BDP(bbg_ticker, "ANNOUNCEMENT_DT", "FUND_PER="&amp;AZ2, "EQY_FUND_YEAR="&amp;AZ1)</f>
        <v>#N/A N/A</v>
      </c>
    </row>
    <row r="8" spans="2:54">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spans="2:54">
      <c r="B9" s="24" t="s">
        <v>456</v>
      </c>
      <c r="C9" s="27"/>
      <c r="D9" s="27"/>
      <c r="E9" s="665" t="s">
        <v>456</v>
      </c>
      <c r="F9" s="665"/>
      <c r="G9" s="665"/>
      <c r="H9" s="665"/>
      <c r="I9" s="665"/>
      <c r="J9" s="665"/>
      <c r="K9" s="665"/>
      <c r="L9" s="665"/>
      <c r="M9" s="665"/>
      <c r="N9" s="665"/>
      <c r="O9" s="665"/>
      <c r="P9" s="665"/>
      <c r="Q9" s="665"/>
      <c r="R9" s="665"/>
      <c r="S9" s="665"/>
      <c r="T9" s="665"/>
      <c r="U9" s="665"/>
      <c r="V9" s="665"/>
      <c r="W9" s="665"/>
      <c r="X9" s="665"/>
      <c r="Y9" s="665"/>
      <c r="Z9" s="665"/>
      <c r="AA9" s="665"/>
      <c r="AB9" s="665"/>
      <c r="AC9" s="665"/>
      <c r="AD9" s="665"/>
      <c r="AE9" s="665"/>
      <c r="AF9" s="665"/>
      <c r="AG9" s="665"/>
      <c r="AH9" s="665"/>
      <c r="AI9" s="665"/>
      <c r="AJ9" s="665"/>
      <c r="AK9" s="665"/>
      <c r="AL9" s="665"/>
      <c r="AM9" s="665"/>
      <c r="AN9" s="196"/>
      <c r="AO9" s="196"/>
      <c r="AP9" s="196"/>
      <c r="AQ9" s="196"/>
      <c r="AR9" s="196"/>
      <c r="AS9" s="196"/>
      <c r="AT9" s="196"/>
      <c r="AU9" s="196"/>
      <c r="AV9" s="196"/>
      <c r="AW9" s="196"/>
      <c r="AX9" s="196"/>
      <c r="AY9" s="196"/>
      <c r="AZ9" s="196"/>
    </row>
    <row r="10" spans="2:54" s="11" customFormat="1">
      <c r="B10" s="171" t="s">
        <v>10</v>
      </c>
      <c r="C10" s="171" t="s">
        <v>57</v>
      </c>
      <c r="D10" s="171"/>
      <c r="E10" s="379"/>
      <c r="F10" s="383"/>
      <c r="G10" s="383"/>
      <c r="H10" s="384"/>
      <c r="I10" s="384"/>
      <c r="J10" s="384"/>
      <c r="K10" s="384"/>
      <c r="L10" s="383"/>
      <c r="M10" s="384"/>
      <c r="N10" s="384"/>
      <c r="O10" s="384">
        <f t="shared" ref="O10:U10" si="36">O17+O28+O53</f>
        <v>2856</v>
      </c>
      <c r="P10" s="384">
        <f t="shared" si="36"/>
        <v>2813</v>
      </c>
      <c r="Q10" s="383">
        <f t="shared" si="36"/>
        <v>11020</v>
      </c>
      <c r="R10" s="384">
        <f t="shared" si="36"/>
        <v>2504.0000000000005</v>
      </c>
      <c r="S10" s="384">
        <f t="shared" si="36"/>
        <v>2812</v>
      </c>
      <c r="T10" s="384">
        <f t="shared" si="36"/>
        <v>2870</v>
      </c>
      <c r="U10" s="384">
        <f t="shared" si="36"/>
        <v>2934</v>
      </c>
      <c r="V10" s="383">
        <f>SUM(R10:U10)</f>
        <v>11120</v>
      </c>
      <c r="W10" s="384">
        <f>W17+W28+W53</f>
        <v>2612.9999999999995</v>
      </c>
      <c r="X10" s="384">
        <f>X17+X28+X53</f>
        <v>2864</v>
      </c>
      <c r="Y10" s="384">
        <f>Y17+Y28+Y53</f>
        <v>3020</v>
      </c>
      <c r="Z10" s="384">
        <f>Z17+Z28+Z53</f>
        <v>3121</v>
      </c>
      <c r="AA10" s="383">
        <f>AA17+AA28+AA53</f>
        <v>11618</v>
      </c>
      <c r="AB10" s="580">
        <v>2902</v>
      </c>
      <c r="AC10" s="580">
        <v>3140</v>
      </c>
      <c r="AD10" s="580">
        <v>3250</v>
      </c>
      <c r="AE10" s="580">
        <v>3391</v>
      </c>
      <c r="AF10" s="383">
        <f>AF17+AF28+AF53</f>
        <v>12683</v>
      </c>
      <c r="AG10" s="384">
        <f>AG17+AG28+AG53</f>
        <v>3078</v>
      </c>
      <c r="AH10" s="384">
        <f>AH17+AH28+AH53</f>
        <v>3554</v>
      </c>
      <c r="AI10" s="384">
        <f>AI17+AI28+AI53</f>
        <v>3622</v>
      </c>
      <c r="AJ10" s="384">
        <f>AK10-SUM(AG10:AI10)</f>
        <v>3803</v>
      </c>
      <c r="AK10" s="383">
        <f>AK17+AK28+AK53</f>
        <v>14057</v>
      </c>
      <c r="AL10" s="384">
        <f>AL17+AL28+AL53</f>
        <v>3353</v>
      </c>
      <c r="AM10" s="384">
        <f>AM17+AM28+AM53</f>
        <v>3789</v>
      </c>
      <c r="AN10" s="384">
        <f>AN17+AN28+AN53</f>
        <v>3796.6320230143879</v>
      </c>
      <c r="AO10" s="384">
        <f>AO17+AO28+AO53</f>
        <v>3918.022304459198</v>
      </c>
      <c r="AP10" s="385">
        <f>SUM(AL10:AO10)</f>
        <v>14856.654327473587</v>
      </c>
      <c r="AQ10" s="384">
        <f>AQ17+AQ28+AQ53</f>
        <v>3418.8211361175349</v>
      </c>
      <c r="AR10" s="384">
        <f>AR17+AR28+AR53</f>
        <v>3894.2372799139403</v>
      </c>
      <c r="AS10" s="384">
        <f>AS17+AS28+AS53</f>
        <v>3870.316288387301</v>
      </c>
      <c r="AT10" s="384">
        <f>AT17+AT28+AT53</f>
        <v>3980.9458178933883</v>
      </c>
      <c r="AU10" s="385">
        <f>SUM(AQ10:AT10)</f>
        <v>15164.320522312166</v>
      </c>
      <c r="AV10" s="384">
        <f>AV17+AV28+AV53</f>
        <v>3488.075805093134</v>
      </c>
      <c r="AW10" s="384">
        <f>AW17+AW28+AW53</f>
        <v>3976.1074599151975</v>
      </c>
      <c r="AX10" s="384">
        <f>AX17+AX28+AX53</f>
        <v>3950.6791366851012</v>
      </c>
      <c r="AY10" s="384">
        <f>AY17+AY28+AY53</f>
        <v>4053.7244845515293</v>
      </c>
      <c r="AZ10" s="385">
        <f>SUM(AV10:AY10)</f>
        <v>15468.586886244962</v>
      </c>
      <c r="BB10" s="257"/>
    </row>
    <row r="11" spans="2:54" s="11" customFormat="1">
      <c r="B11" s="451" t="s">
        <v>59</v>
      </c>
      <c r="C11" s="233" t="s">
        <v>460</v>
      </c>
      <c r="D11" s="233"/>
      <c r="E11" s="452"/>
      <c r="F11" s="453"/>
      <c r="G11" s="453"/>
      <c r="H11" s="454"/>
      <c r="I11" s="454"/>
      <c r="J11" s="454"/>
      <c r="K11" s="454"/>
      <c r="L11" s="455"/>
      <c r="M11" s="454"/>
      <c r="N11" s="454"/>
      <c r="O11" s="454" cm="1">
        <f t="array" ref="O11">IFERROR(_xll.VAData("KDP_US", O$4, $C11, "VA Actuals", "CD", "IMPL","","")/100, "")</f>
        <v>3.4933866709971978E-2</v>
      </c>
      <c r="P11" s="454" cm="1">
        <f t="array" ref="P11">IFERROR(_xll.VAData("KDP_US", P$4, $C11, "VA Actuals", "CD", "IMPL","","")/100, "")</f>
        <v>2.672754639175258E-2</v>
      </c>
      <c r="Q11" s="455" cm="1">
        <f t="array" ref="Q11">IFERROR(_xll.VAData("KDP_US", Q$4, $C11, "VA Actuals", "CD", "IMPL","","")/100, "")</f>
        <v>3.7000000000000005E-2</v>
      </c>
      <c r="R11" s="454" cm="1">
        <f t="array" ref="R11">IFERROR(_xll.VAData("KDP_US", R$4, $C11, "VA Actuals", "CD", "IMPL","","")/100, "")</f>
        <v>1.3871739473961671E-2</v>
      </c>
      <c r="S11" s="454" cm="1">
        <f t="array" ref="S11">IFERROR(_xll.VAData("KDP_US", S$4, $C11, "VA Actuals", "CD", "IMPL","","")/100, "")</f>
        <v>2.1000000000000001E-2</v>
      </c>
      <c r="T11" s="454" cm="1">
        <f t="array" ref="T11">IFERROR(_xll.VAData("KDP_US", T$4, $C11, "VA Actuals", "CD", "IMPL","","")/100, "")</f>
        <v>1.4999999999999999E-2</v>
      </c>
      <c r="U11" s="454" cm="1">
        <f t="array" ref="U11">IFERROR(_xll.VAData("KDP_US", U$4, $C11, "VA Actuals", "CD", "IMPL","","")/100, "")</f>
        <v>5.2999999999999999E-2</v>
      </c>
      <c r="V11" s="455" cm="1">
        <f t="array" ref="V11">IFERROR(_xll.VAData("KDP_US", V$4, $C11, "VA Actuals", "CD", "IMPL","","")/100, "")</f>
        <v>2.6295294957183069E-2</v>
      </c>
      <c r="W11" s="454" cm="1">
        <f t="array" ref="W11">IFERROR(_xll.VAData("KDP_US", W$4, $C11, "VA Actuals", "CD", "IMPL","","")/100, "")</f>
        <v>0.05</v>
      </c>
      <c r="X11" s="454" cm="1">
        <f t="array" ref="X11">IFERROR(_xll.VAData("KDP_US", X$4, $C11, "VA Actuals", "CD", "IMPL","","")/100, "")</f>
        <v>4.2999999999999997E-2</v>
      </c>
      <c r="Y11" s="454" cm="1">
        <f t="array" ref="Y11">IFERROR(_xll.VAData("KDP_US", Y$4, $C11, "VA Actuals", "CD", "IMPL","","")/100, "")</f>
        <v>6.6000000000000003E-2</v>
      </c>
      <c r="Z11" s="454" cm="1">
        <f t="array" ref="Z11">IFERROR(_xll.VAData("KDP_US", Z$4, $C11, "VA Actuals", "CD", "IMPL","","")/100, "")</f>
        <v>6.3E-2</v>
      </c>
      <c r="AA11" s="455" cm="1">
        <f t="array" ref="AA11">IFERROR(_xll.VAData("KDP_US", AA$4, $C11, "VA Actuals", "CD", "IMPL","","")/100, "")</f>
        <v>5.5999999999999994E-2</v>
      </c>
      <c r="AB11" s="454" cm="1">
        <f t="array" ref="AB11">IFERROR(_xll.VAData("KDP_US", AB$4, $C11, "VA Actuals", "CD", "IMPL","","")/100, "")</f>
        <v>0.10300000000000001</v>
      </c>
      <c r="AC11" s="454" cm="1">
        <f t="array" ref="AC11">IFERROR(_xll.VAData("KDP_US", AC$4, $C11, "VA Actuals", "CD", "IMPL","","")/100, "")</f>
        <v>6.0999999999999999E-2</v>
      </c>
      <c r="AD11" s="454" cm="1">
        <f t="array" ref="AD11">IFERROR(_xll.VAData("KDP_US", AD$4, $C11, "VA Actuals", "CD", "IMPL","","")/100, "")</f>
        <v>3.2000000000000001E-2</v>
      </c>
      <c r="AE11" s="454" cm="1">
        <f t="array" ref="AE11">IFERROR(_xll.VAData("KDP_US", AE$4, $C11, "VA Actuals", "CD", "IMPL","","")/100, "")</f>
        <v>4.4000000000000004E-2</v>
      </c>
      <c r="AF11" s="455" cm="1">
        <f t="array" ref="AF11">IFERROR(_xll.VAData("KDP_US", AF$4, $C11, "VA Actuals", "CD", "IMPL","","")/100, "")</f>
        <v>5.7000000000000002E-2</v>
      </c>
      <c r="AG11" s="454" cm="1">
        <f t="array" ref="AG11">IFERROR(_xll.VAData("KDP_US", AG$4, $C11, "VA Actuals", "CD", "IMPL","","")/100, "")</f>
        <v>-2E-3</v>
      </c>
      <c r="AH11" s="454" cm="1">
        <f t="array" ref="AH11">IFERROR(_xll.VAData("KDP_US", AH$4, $C11, "VA Actuals", "CD", "IMPL","","")/100, "")</f>
        <v>3.1E-2</v>
      </c>
      <c r="AI11" s="454" cm="1">
        <f t="array" ref="AI11">IFERROR(_xll.VAData("KDP_US", AI$4, $C11, "VA Actuals", "CD", "IMPL","","")/100, "")</f>
        <v>-3.0000000000000001E-3</v>
      </c>
      <c r="AJ11" s="454" cm="1">
        <f t="array" ref="AJ11">IFERROR(_xll.VAData("KDP_US", AJ$4, $C11, "VA Actuals", "CD", "IMPL","","")/100, "")</f>
        <v>-6.9999999999999993E-3</v>
      </c>
      <c r="AK11" s="455" cm="1">
        <f t="array" ref="AK11">IFERROR(_xll.VAData("KDP_US", AK$4, $C11, "VA Actuals", "CD", "IMPL","","")/100, "")</f>
        <v>5.0000000000000001E-3</v>
      </c>
      <c r="AL11" s="454" cm="1">
        <f t="array" ref="AL11">IFERROR(_xll.VAData("KDP_US", AL$4, $C11, "VA Actuals", "CD", "IMPL","","")/100, "")</f>
        <v>-0.01</v>
      </c>
      <c r="AM11" s="454" cm="1">
        <f t="array" ref="AM11">IFERROR(_xll.VAData("KDP_US", AM$4, $C11, "VA Actuals", "CD", "IMPL","","")/100, "")</f>
        <v>-2.1000000000000001E-2</v>
      </c>
      <c r="AN11" s="601">
        <f t="shared" ref="AN11:AZ11" si="37">(AN22*AN17+AN45*AN28+AN57*AN53)/(AN17+AN28+AN53)</f>
        <v>-3.2078681768894857E-3</v>
      </c>
      <c r="AO11" s="601">
        <f t="shared" si="37"/>
        <v>-6.3025062935642071E-3</v>
      </c>
      <c r="AP11" s="603">
        <f t="shared" si="37"/>
        <v>-7.0055214059634805E-3</v>
      </c>
      <c r="AQ11" s="601">
        <f t="shared" si="37"/>
        <v>4.5434178509969518E-3</v>
      </c>
      <c r="AR11" s="601">
        <f t="shared" si="37"/>
        <v>4.43988413761275E-3</v>
      </c>
      <c r="AS11" s="601">
        <f t="shared" si="37"/>
        <v>4.3077758209143441E-3</v>
      </c>
      <c r="AT11" s="601">
        <f t="shared" si="37"/>
        <v>2.5270280254654776E-3</v>
      </c>
      <c r="AU11" s="603">
        <f t="shared" si="37"/>
        <v>3.9295281473720753E-3</v>
      </c>
      <c r="AV11" s="601">
        <f t="shared" si="37"/>
        <v>3.9696166242843296E-3</v>
      </c>
      <c r="AW11" s="601">
        <f t="shared" si="37"/>
        <v>4.1128637213363505E-3</v>
      </c>
      <c r="AX11" s="601">
        <f t="shared" si="37"/>
        <v>3.9328672159725719E-3</v>
      </c>
      <c r="AY11" s="601">
        <f t="shared" si="37"/>
        <v>2.2516232878094186E-3</v>
      </c>
      <c r="AZ11" s="603">
        <f t="shared" si="37"/>
        <v>3.5480675401359262E-3</v>
      </c>
      <c r="BB11" s="257" t="s">
        <v>882</v>
      </c>
    </row>
    <row r="12" spans="2:54" s="11" customFormat="1">
      <c r="B12" s="451" t="s">
        <v>60</v>
      </c>
      <c r="C12" s="233" t="s">
        <v>461</v>
      </c>
      <c r="D12" s="233"/>
      <c r="E12" s="452"/>
      <c r="F12" s="453"/>
      <c r="G12" s="453"/>
      <c r="H12" s="454"/>
      <c r="I12" s="454"/>
      <c r="J12" s="454"/>
      <c r="K12" s="454"/>
      <c r="L12" s="455"/>
      <c r="M12" s="454"/>
      <c r="N12" s="454"/>
      <c r="O12" s="454" cm="1">
        <f t="array" ref="O12">IFERROR(_xll.VAData("KDP_US", O$4, $C12, "VA Actuals", "CD", "IMPL","","")/100, "")</f>
        <v>-1.08361464857143E-3</v>
      </c>
      <c r="P12" s="454" cm="1">
        <f t="array" ref="P12">IFERROR(_xll.VAData("KDP_US", P$4, $C12, "VA Actuals", "CD", "IMPL","","")/100, "")</f>
        <v>1.4887943016353E-4</v>
      </c>
      <c r="Q12" s="455" cm="1">
        <f t="array" ref="Q12">IFERROR(_xll.VAData("KDP_US", Q$4, $C12, "VA Actuals", "CD", "IMPL","","")/100, "")</f>
        <v>-8.0000000000000002E-3</v>
      </c>
      <c r="R12" s="454" cm="1">
        <f t="array" ref="R12">IFERROR(_xll.VAData("KDP_US", R$4, $C12, "VA Actuals", "CD", "IMPL","","")/100, "")</f>
        <v>1.1000000000000001E-2</v>
      </c>
      <c r="S12" s="454" cm="1">
        <f t="array" ref="S12">IFERROR(_xll.VAData("KDP_US", S$4, $C12, "VA Actuals", "CD", "IMPL","","")/100, "")</f>
        <v>5.0000000000000001E-3</v>
      </c>
      <c r="T12" s="454" cm="1">
        <f t="array" ref="T12">IFERROR(_xll.VAData("KDP_US", T$4, $C12, "VA Actuals", "CD", "IMPL","","")/100, "")</f>
        <v>1.6E-2</v>
      </c>
      <c r="U12" s="454" cm="1">
        <f t="array" ref="U12">IFERROR(_xll.VAData("KDP_US", U$4, $C12, "VA Actuals", "CD", "IMPL","","")/100, "")</f>
        <v>-6.9999999999999993E-3</v>
      </c>
      <c r="V12" s="455" cm="1">
        <f t="array" ref="V12">IFERROR(_xll.VAData("KDP_US", V$4, $C12, "VA Actuals", "CD", "IMPL","","")/100, "")</f>
        <v>6.0000000000000001E-3</v>
      </c>
      <c r="W12" s="454" cm="1">
        <f t="array" ref="W12">IFERROR(_xll.VAData("KDP_US", W$4, $C12, "VA Actuals", "CD", "IMPL","","")/100, "")</f>
        <v>-5.0000000000000001E-3</v>
      </c>
      <c r="X12" s="454" cm="1">
        <f t="array" ref="X12">IFERROR(_xll.VAData("KDP_US", X$4, $C12, "VA Actuals", "CD", "IMPL","","")/100, "")</f>
        <v>-1.3999999999999999E-2</v>
      </c>
      <c r="Y12" s="454" cm="1">
        <f t="array" ref="Y12">IFERROR(_xll.VAData("KDP_US", Y$4, $C12, "VA Actuals", "CD", "IMPL","","")/100, "")</f>
        <v>-8.0000000000000002E-3</v>
      </c>
      <c r="Z12" s="454" cm="1">
        <f t="array" ref="Z12">IFERROR(_xll.VAData("KDP_US", Z$4, $C12, "VA Actuals", "CD", "IMPL","","")/100, "")</f>
        <v>3.0000000000000001E-3</v>
      </c>
      <c r="AA12" s="455" cm="1">
        <f t="array" ref="AA12">IFERROR(_xll.VAData("KDP_US", AA$4, $C12, "VA Actuals", "CD", "IMPL","","")/100, "")</f>
        <v>-6.0000000000000001E-3</v>
      </c>
      <c r="AB12" s="454" cm="1">
        <f t="array" ref="AB12">IFERROR(_xll.VAData("KDP_US", AB$4, $C12, "VA Actuals", "CD", "IMPL","","")/100, "")</f>
        <v>5.0000000000000001E-3</v>
      </c>
      <c r="AC12" s="454" cm="1">
        <f t="array" ref="AC12">IFERROR(_xll.VAData("KDP_US", AC$4, $C12, "VA Actuals", "CD", "IMPL","","")/100, "")</f>
        <v>0.02</v>
      </c>
      <c r="AD12" s="454" cm="1">
        <f t="array" ref="AD12">IFERROR(_xll.VAData("KDP_US", AD$4, $C12, "VA Actuals", "CD", "IMPL","","")/100, "")</f>
        <v>3.6000000000000004E-2</v>
      </c>
      <c r="AE12" s="454" cm="1">
        <f t="array" ref="AE12">IFERROR(_xll.VAData("KDP_US", AE$4, $C12, "VA Actuals", "CD", "IMPL","","")/100, "")</f>
        <v>4.0999999999999995E-2</v>
      </c>
      <c r="AF12" s="455" cm="1">
        <f t="array" ref="AF12">IFERROR(_xll.VAData("KDP_US", AF$4, $C12, "VA Actuals", "CD", "IMPL","","")/100, "")</f>
        <v>2.7000000000000003E-2</v>
      </c>
      <c r="AG12" s="454" cm="1">
        <f t="array" ref="AG12">IFERROR(_xll.VAData("KDP_US", AG$4, $C12, "VA Actuals", "CD", "IMPL","","")/100, "")</f>
        <v>6.3E-2</v>
      </c>
      <c r="AH12" s="454" cm="1">
        <f t="array" ref="AH12">IFERROR(_xll.VAData("KDP_US", AH$4, $C12, "VA Actuals", "CD", "IMPL","","")/100, "")</f>
        <v>0.10400000000000001</v>
      </c>
      <c r="AI12" s="454" cm="1">
        <f t="array" ref="AI12">IFERROR(_xll.VAData("KDP_US", AI$4, $C12, "VA Actuals", "CD", "IMPL","","")/100, "")</f>
        <v>0.121</v>
      </c>
      <c r="AJ12" s="454" cm="1">
        <f t="array" ref="AJ12">IFERROR(_xll.VAData("KDP_US", AJ$4, $C12, "VA Actuals", "CD", "IMPL","","")/100, "")</f>
        <v>0.13100000000000001</v>
      </c>
      <c r="AK12" s="455" cm="1">
        <f t="array" ref="AK12">IFERROR(_xll.VAData("KDP_US", AK$4, $C12, "VA Actuals", "CD", "IMPL","","")/100, "")</f>
        <v>0.106</v>
      </c>
      <c r="AL12" s="454" cm="1">
        <f t="array" ref="AL12">IFERROR(_xll.VAData("KDP_US", AL$4, $C12, "VA Actuals", "CD", "IMPL","","")/100, "")</f>
        <v>9.9000000000000005E-2</v>
      </c>
      <c r="AM12" s="454" cm="1">
        <f t="array" ref="AM12">IFERROR(_xll.VAData("KDP_US", AM$4, $C12, "VA Actuals", "CD", "IMPL","","")/100, "")</f>
        <v>8.199999999999999E-2</v>
      </c>
      <c r="AN12" s="601">
        <f t="shared" ref="AN12:AZ12" si="38">(AN24*AN17+AN47*AN28+AN58*AN53)/(AN28+AN17+AN53)</f>
        <v>5.4747242623664982E-2</v>
      </c>
      <c r="AO12" s="601">
        <f t="shared" si="38"/>
        <v>3.9800587403491801E-2</v>
      </c>
      <c r="AP12" s="457">
        <f t="shared" si="38"/>
        <v>6.6625755615808649E-2</v>
      </c>
      <c r="AQ12" s="601">
        <f t="shared" si="38"/>
        <v>2.6604238135506313E-2</v>
      </c>
      <c r="AR12" s="601">
        <f t="shared" si="38"/>
        <v>2.2508815144373261E-2</v>
      </c>
      <c r="AS12" s="601">
        <f t="shared" si="38"/>
        <v>1.5729012603445416E-2</v>
      </c>
      <c r="AT12" s="601">
        <f t="shared" si="38"/>
        <v>1.4187510274226165E-2</v>
      </c>
      <c r="AU12" s="457">
        <f t="shared" si="38"/>
        <v>1.9691081134267121E-2</v>
      </c>
      <c r="AV12" s="601">
        <f t="shared" si="38"/>
        <v>1.6988572912614297E-2</v>
      </c>
      <c r="AW12" s="601">
        <f t="shared" si="38"/>
        <v>1.7361572715813314E-2</v>
      </c>
      <c r="AX12" s="601">
        <f t="shared" si="38"/>
        <v>1.7142259027524663E-2</v>
      </c>
      <c r="AY12" s="601">
        <f t="shared" si="38"/>
        <v>1.6101679252048865E-2</v>
      </c>
      <c r="AZ12" s="457">
        <f t="shared" si="38"/>
        <v>1.6098323812460145E-2</v>
      </c>
      <c r="BB12" s="257"/>
    </row>
    <row r="13" spans="2:54" s="11" customFormat="1">
      <c r="B13" s="377" t="s">
        <v>459</v>
      </c>
      <c r="C13" s="171"/>
      <c r="D13" s="171"/>
      <c r="E13" s="379"/>
      <c r="F13" s="383"/>
      <c r="G13" s="383"/>
      <c r="H13" s="458"/>
      <c r="I13" s="458"/>
      <c r="J13" s="458"/>
      <c r="K13" s="458"/>
      <c r="L13" s="459"/>
      <c r="M13" s="458"/>
      <c r="N13" s="458"/>
      <c r="O13" s="458">
        <f t="shared" ref="O13:AL13" si="39">O11+O12</f>
        <v>3.3850252061400549E-2</v>
      </c>
      <c r="P13" s="458">
        <f t="shared" si="39"/>
        <v>2.687642582191611E-2</v>
      </c>
      <c r="Q13" s="459">
        <f t="shared" si="39"/>
        <v>2.9000000000000005E-2</v>
      </c>
      <c r="R13" s="458">
        <f t="shared" si="39"/>
        <v>2.4871739473961672E-2</v>
      </c>
      <c r="S13" s="458">
        <f t="shared" si="39"/>
        <v>2.6000000000000002E-2</v>
      </c>
      <c r="T13" s="458">
        <f t="shared" si="39"/>
        <v>3.1E-2</v>
      </c>
      <c r="U13" s="458">
        <f t="shared" si="39"/>
        <v>4.5999999999999999E-2</v>
      </c>
      <c r="V13" s="459">
        <f t="shared" si="39"/>
        <v>3.2295294957183071E-2</v>
      </c>
      <c r="W13" s="458">
        <f t="shared" si="39"/>
        <v>4.5000000000000005E-2</v>
      </c>
      <c r="X13" s="458">
        <f t="shared" si="39"/>
        <v>2.8999999999999998E-2</v>
      </c>
      <c r="Y13" s="458">
        <f t="shared" si="39"/>
        <v>5.8000000000000003E-2</v>
      </c>
      <c r="Z13" s="458">
        <f t="shared" si="39"/>
        <v>6.6000000000000003E-2</v>
      </c>
      <c r="AA13" s="459">
        <f t="shared" si="39"/>
        <v>4.9999999999999996E-2</v>
      </c>
      <c r="AB13" s="458">
        <f t="shared" si="39"/>
        <v>0.10800000000000001</v>
      </c>
      <c r="AC13" s="458">
        <f t="shared" si="39"/>
        <v>8.1000000000000003E-2</v>
      </c>
      <c r="AD13" s="458">
        <f t="shared" si="39"/>
        <v>6.8000000000000005E-2</v>
      </c>
      <c r="AE13" s="458">
        <f t="shared" si="39"/>
        <v>8.4999999999999992E-2</v>
      </c>
      <c r="AF13" s="459">
        <f t="shared" si="39"/>
        <v>8.4000000000000005E-2</v>
      </c>
      <c r="AG13" s="458">
        <f t="shared" si="39"/>
        <v>6.0999999999999999E-2</v>
      </c>
      <c r="AH13" s="458">
        <f t="shared" si="39"/>
        <v>0.13500000000000001</v>
      </c>
      <c r="AI13" s="458">
        <f t="shared" si="39"/>
        <v>0.11799999999999999</v>
      </c>
      <c r="AJ13" s="458">
        <f t="shared" si="39"/>
        <v>0.124</v>
      </c>
      <c r="AK13" s="459">
        <f t="shared" si="39"/>
        <v>0.111</v>
      </c>
      <c r="AL13" s="458">
        <f t="shared" si="39"/>
        <v>8.900000000000001E-2</v>
      </c>
      <c r="AM13" s="381">
        <f>AM11+AM12</f>
        <v>6.0999999999999985E-2</v>
      </c>
      <c r="AN13" s="381"/>
      <c r="AO13" s="381"/>
      <c r="AP13" s="382"/>
      <c r="AQ13" s="381"/>
      <c r="AR13" s="381"/>
      <c r="AS13" s="381"/>
      <c r="AT13" s="381"/>
      <c r="AU13" s="382"/>
      <c r="AV13" s="381"/>
      <c r="AW13" s="381"/>
      <c r="AX13" s="381"/>
      <c r="AY13" s="381"/>
      <c r="AZ13" s="382"/>
      <c r="BB13" s="257"/>
    </row>
    <row r="14" spans="2:54" s="11" customFormat="1">
      <c r="B14" s="451" t="s">
        <v>61</v>
      </c>
      <c r="C14" s="233" t="s">
        <v>462</v>
      </c>
      <c r="D14" s="233"/>
      <c r="E14" s="379"/>
      <c r="F14" s="383"/>
      <c r="G14" s="383"/>
      <c r="H14" s="454"/>
      <c r="I14" s="454"/>
      <c r="J14" s="454"/>
      <c r="K14" s="454"/>
      <c r="L14" s="455"/>
      <c r="M14" s="454"/>
      <c r="N14" s="454"/>
      <c r="O14" s="454" cm="1">
        <f t="array" ref="O14">IFERROR(_xll.VAData("KDP_US", O$4, $C14, "VA Actuals", "CD", "IMPL","","")/100, "")</f>
        <v>-4.9360410107002796E-3</v>
      </c>
      <c r="P14" s="454" cm="1">
        <f t="array" ref="P14">IFERROR(_xll.VAData("KDP_US", P$4, $C14, "VA Actuals", "CD", "IMPL","","")/100, "")</f>
        <v>-4.0433927231994298E-3</v>
      </c>
      <c r="Q14" s="455" cm="1">
        <f t="array" ref="Q14">IFERROR(_xll.VAData("KDP_US", Q$4, $C14, "VA Actuals", "CD", "IMPL","","")/100, "")</f>
        <v>-1E-3</v>
      </c>
      <c r="R14" s="454" cm="1">
        <f t="array" ref="R14">IFERROR(_xll.VAData("KDP_US", R$4, $C14, "VA Actuals", "CD", "IMPL","","")/100, "")</f>
        <v>-5.0000000000000001E-3</v>
      </c>
      <c r="S14" s="454" cm="1">
        <f t="array" ref="S14">IFERROR(_xll.VAData("KDP_US", S$4, $C14, "VA Actuals", "CD", "IMPL","","")/100, "")</f>
        <v>-2E-3</v>
      </c>
      <c r="T14" s="454" cm="1">
        <f t="array" ref="T14">IFERROR(_xll.VAData("KDP_US", T$4, $C14, "VA Actuals", "CD", "IMPL","","")/100, "")</f>
        <v>-2E-3</v>
      </c>
      <c r="U14" s="454" cm="1">
        <f t="array" ref="U14">IFERROR(_xll.VAData("KDP_US", U$4, $C14, "VA Actuals", "CD", "IMPL","","")/100, "")</f>
        <v>1E-3</v>
      </c>
      <c r="V14" s="455" cm="1">
        <f t="array" ref="V14">IFERROR(_xll.VAData("KDP_US", V$4, $C14, "VA Actuals", "CD", "IMPL","","")/100, "")</f>
        <v>-2E-3</v>
      </c>
      <c r="W14" s="454" cm="1">
        <f t="array" ref="W14">IFERROR(_xll.VAData("KDP_US", W$4, $C14, "VA Actuals", "CD", "IMPL","","")/100, "")</f>
        <v>-1E-3</v>
      </c>
      <c r="X14" s="454" cm="1">
        <f t="array" ref="X14">IFERROR(_xll.VAData("KDP_US", X$4, $C14, "VA Actuals", "CD", "IMPL","","")/100, "")</f>
        <v>-1.1000000000000001E-2</v>
      </c>
      <c r="Y14" s="454" cm="1">
        <f t="array" ref="Y14">IFERROR(_xll.VAData("KDP_US", Y$4, $C14, "VA Actuals", "CD", "IMPL","","")/100, "")</f>
        <v>-6.0000000000000001E-3</v>
      </c>
      <c r="Z14" s="454" cm="1">
        <f t="array" ref="Z14">IFERROR(_xll.VAData("KDP_US", Z$4, $C14, "VA Actuals", "CD", "IMPL","","")/100, "")</f>
        <v>-2E-3</v>
      </c>
      <c r="AA14" s="455" cm="1">
        <f t="array" ref="AA14">IFERROR(_xll.VAData("KDP_US", AA$4, $C14, "VA Actuals", "CD", "IMPL","","")/100, "")</f>
        <v>-5.0000000000000001E-3</v>
      </c>
      <c r="AB14" s="454" cm="1">
        <f t="array" ref="AB14">IFERROR(_xll.VAData("KDP_US", AB$4, $C14, "VA Actuals", "CD", "IMPL","","")/100, "")</f>
        <v>3.0000000000000001E-3</v>
      </c>
      <c r="AC14" s="454" cm="1">
        <f t="array" ref="AC14">IFERROR(_xll.VAData("KDP_US", AC$4, $C14, "VA Actuals", "CD", "IMPL","","")/100, "")</f>
        <v>1.4999999999999999E-2</v>
      </c>
      <c r="AD14" s="454" cm="1">
        <f t="array" ref="AD14">IFERROR(_xll.VAData("KDP_US", AD$4, $C14, "VA Actuals", "CD", "IMPL","","")/100, "")</f>
        <v>8.0000000000000002E-3</v>
      </c>
      <c r="AE14" s="454" cm="1">
        <f t="array" ref="AE14">IFERROR(_xll.VAData("KDP_US", AE$4, $C14, "VA Actuals", "CD", "IMPL","","")/100, "")</f>
        <v>2E-3</v>
      </c>
      <c r="AF14" s="455" cm="1">
        <f t="array" ref="AF14">IFERROR(_xll.VAData("KDP_US", AF$4, $C14, "VA Actuals", "CD", "IMPL","","")/100, "")</f>
        <v>8.0000000000000002E-3</v>
      </c>
      <c r="AG14" s="454" cm="1">
        <f t="array" ref="AG14">IFERROR(_xll.VAData("KDP_US", AG$4, $C14, "VA Actuals", "CD", "IMPL","","")/100, "")</f>
        <v>0</v>
      </c>
      <c r="AH14" s="454" cm="1">
        <f t="array" ref="AH14">IFERROR(_xll.VAData("KDP_US", AH$4, $C14, "VA Actuals", "CD", "IMPL","","")/100, "")</f>
        <v>-3.0000000000000001E-3</v>
      </c>
      <c r="AI14" s="454" cm="1">
        <f t="array" ref="AI14">IFERROR(_xll.VAData("KDP_US", AI$4, $C14, "VA Actuals", "CD", "IMPL","","")/100, "")</f>
        <v>-4.0000000000000001E-3</v>
      </c>
      <c r="AJ14" s="454" cm="1">
        <f t="array" ref="AJ14">IFERROR(_xll.VAData("KDP_US", AJ$4, $C14, "VA Actuals", "CD", "IMPL","","")/100, "")</f>
        <v>-3.0000000000000001E-3</v>
      </c>
      <c r="AK14" s="455" cm="1">
        <f t="array" ref="AK14">IFERROR(_xll.VAData("KDP_US", AK$4, $C14, "VA Actuals", "CD", "IMPL","","")/100, "")</f>
        <v>-3.0000000000000001E-3</v>
      </c>
      <c r="AL14" s="454" cm="1">
        <f t="array" ref="AL14">IFERROR(_xll.VAData("KDP_US", AL$4, $C14, "VA Actuals", "CD", "IMPL","","")/100, "")</f>
        <v>0</v>
      </c>
      <c r="AM14" s="454" cm="1">
        <f t="array" ref="AM14">IFERROR(_xll.VAData("KDP_US", AM$4, $C14, "VA Actuals", "CD", "IMPL","","")/100, "")</f>
        <v>5.0000000000000001E-3</v>
      </c>
      <c r="AN14" s="456"/>
      <c r="AO14" s="456"/>
      <c r="AP14" s="457"/>
      <c r="AQ14" s="456"/>
      <c r="AR14" s="456"/>
      <c r="AS14" s="456"/>
      <c r="AT14" s="456"/>
      <c r="AU14" s="457"/>
      <c r="AV14" s="456"/>
      <c r="AW14" s="456"/>
      <c r="AX14" s="456"/>
      <c r="AY14" s="456"/>
      <c r="AZ14" s="457"/>
      <c r="BB14" s="257"/>
    </row>
    <row r="15" spans="2:54" s="11" customFormat="1">
      <c r="B15" s="377" t="s">
        <v>70</v>
      </c>
      <c r="C15" s="171"/>
      <c r="D15" s="171"/>
      <c r="E15" s="379"/>
      <c r="F15" s="383"/>
      <c r="G15" s="383"/>
      <c r="H15" s="458"/>
      <c r="I15" s="458"/>
      <c r="J15" s="458"/>
      <c r="K15" s="458"/>
      <c r="L15" s="459"/>
      <c r="M15" s="458"/>
      <c r="N15" s="458"/>
      <c r="O15" s="458">
        <f t="shared" ref="O15:AL15" si="40">O13+O14</f>
        <v>2.8914211050700269E-2</v>
      </c>
      <c r="P15" s="458">
        <f t="shared" si="40"/>
        <v>2.283303309871668E-2</v>
      </c>
      <c r="Q15" s="459">
        <f t="shared" si="40"/>
        <v>2.8000000000000004E-2</v>
      </c>
      <c r="R15" s="458">
        <f t="shared" si="40"/>
        <v>1.9871739473961671E-2</v>
      </c>
      <c r="S15" s="458">
        <f t="shared" si="40"/>
        <v>2.4E-2</v>
      </c>
      <c r="T15" s="458">
        <f t="shared" si="40"/>
        <v>2.8999999999999998E-2</v>
      </c>
      <c r="U15" s="458">
        <f t="shared" si="40"/>
        <v>4.7E-2</v>
      </c>
      <c r="V15" s="459">
        <f t="shared" si="40"/>
        <v>3.0295294957183069E-2</v>
      </c>
      <c r="W15" s="458">
        <f t="shared" si="40"/>
        <v>4.4000000000000004E-2</v>
      </c>
      <c r="X15" s="458">
        <f t="shared" si="40"/>
        <v>1.7999999999999995E-2</v>
      </c>
      <c r="Y15" s="458">
        <f t="shared" si="40"/>
        <v>5.2000000000000005E-2</v>
      </c>
      <c r="Z15" s="458">
        <f t="shared" si="40"/>
        <v>6.4000000000000001E-2</v>
      </c>
      <c r="AA15" s="459">
        <f t="shared" si="40"/>
        <v>4.4999999999999998E-2</v>
      </c>
      <c r="AB15" s="458">
        <f t="shared" si="40"/>
        <v>0.11100000000000002</v>
      </c>
      <c r="AC15" s="458">
        <f t="shared" si="40"/>
        <v>9.6000000000000002E-2</v>
      </c>
      <c r="AD15" s="458">
        <f t="shared" si="40"/>
        <v>7.6000000000000012E-2</v>
      </c>
      <c r="AE15" s="458">
        <f t="shared" si="40"/>
        <v>8.6999999999999994E-2</v>
      </c>
      <c r="AF15" s="459">
        <f t="shared" si="40"/>
        <v>9.1999999999999998E-2</v>
      </c>
      <c r="AG15" s="458">
        <f t="shared" si="40"/>
        <v>6.0999999999999999E-2</v>
      </c>
      <c r="AH15" s="458">
        <f t="shared" si="40"/>
        <v>0.13200000000000001</v>
      </c>
      <c r="AI15" s="458">
        <f t="shared" si="40"/>
        <v>0.11399999999999999</v>
      </c>
      <c r="AJ15" s="458">
        <f t="shared" si="40"/>
        <v>0.121</v>
      </c>
      <c r="AK15" s="459">
        <f t="shared" si="40"/>
        <v>0.108</v>
      </c>
      <c r="AL15" s="458">
        <f t="shared" si="40"/>
        <v>8.900000000000001E-2</v>
      </c>
      <c r="AM15" s="381">
        <f>AM13+AM14</f>
        <v>6.5999999999999989E-2</v>
      </c>
      <c r="AN15" s="381">
        <f>AN10/AI10-1</f>
        <v>4.8214252626832543E-2</v>
      </c>
      <c r="AO15" s="381">
        <f t="shared" ref="AO15:AZ15" si="41">AO10/AJ10-1</f>
        <v>3.0245149739468236E-2</v>
      </c>
      <c r="AP15" s="382">
        <f t="shared" si="41"/>
        <v>5.6886556695851631E-2</v>
      </c>
      <c r="AQ15" s="381">
        <f t="shared" si="41"/>
        <v>1.9630520762760284E-2</v>
      </c>
      <c r="AR15" s="381">
        <f>AR10/AM10-1</f>
        <v>2.7774420668762234E-2</v>
      </c>
      <c r="AS15" s="381">
        <f t="shared" si="41"/>
        <v>1.9407797470561983E-2</v>
      </c>
      <c r="AT15" s="381">
        <f t="shared" si="41"/>
        <v>1.6060019199629183E-2</v>
      </c>
      <c r="AU15" s="382">
        <f t="shared" si="41"/>
        <v>2.0708982524391795E-2</v>
      </c>
      <c r="AV15" s="381">
        <f t="shared" si="41"/>
        <v>2.0256885697812699E-2</v>
      </c>
      <c r="AW15" s="381">
        <f t="shared" si="41"/>
        <v>2.1023418481337819E-2</v>
      </c>
      <c r="AX15" s="381">
        <f t="shared" si="41"/>
        <v>2.0763896878124743E-2</v>
      </c>
      <c r="AY15" s="381">
        <f t="shared" si="41"/>
        <v>1.8281752625473713E-2</v>
      </c>
      <c r="AZ15" s="382">
        <f t="shared" si="41"/>
        <v>2.0064622314274638E-2</v>
      </c>
      <c r="BB15" s="257"/>
    </row>
    <row r="16" spans="2:54" s="11" customFormat="1">
      <c r="B16" s="396"/>
      <c r="C16" s="396"/>
      <c r="D16" s="396"/>
      <c r="E16" s="396"/>
      <c r="F16" s="397"/>
      <c r="G16" s="397"/>
      <c r="H16" s="397"/>
      <c r="I16" s="397"/>
      <c r="J16" s="397"/>
      <c r="K16" s="397"/>
      <c r="L16" s="397"/>
      <c r="M16" s="397"/>
      <c r="N16" s="397"/>
      <c r="O16" s="397"/>
      <c r="P16" s="397"/>
      <c r="Q16" s="397"/>
      <c r="R16" s="397"/>
      <c r="S16" s="397"/>
      <c r="T16" s="397"/>
      <c r="U16" s="397"/>
      <c r="V16" s="397"/>
      <c r="W16" s="397"/>
      <c r="X16" s="397"/>
      <c r="Y16" s="397"/>
      <c r="Z16" s="397"/>
      <c r="AA16" s="397"/>
      <c r="AB16" s="397"/>
      <c r="AC16" s="397"/>
      <c r="AD16" s="397"/>
      <c r="AE16" s="397"/>
      <c r="AF16" s="397"/>
      <c r="AG16" s="397"/>
      <c r="AH16" s="397"/>
      <c r="AI16" s="397"/>
      <c r="AJ16" s="397"/>
      <c r="AK16" s="397"/>
      <c r="AL16" s="397"/>
      <c r="AM16" s="397"/>
      <c r="AN16" s="397"/>
      <c r="AO16" s="397"/>
      <c r="AP16" s="397"/>
      <c r="AQ16" s="397"/>
      <c r="AR16" s="397"/>
      <c r="AS16" s="397"/>
      <c r="AT16" s="397"/>
      <c r="AU16" s="397"/>
      <c r="AV16" s="397"/>
      <c r="AW16" s="397"/>
      <c r="AX16" s="397"/>
      <c r="AY16" s="397"/>
      <c r="AZ16" s="397"/>
      <c r="BB16" s="257"/>
    </row>
    <row r="17" spans="2:54" s="11" customFormat="1">
      <c r="B17" s="10" t="s">
        <v>739</v>
      </c>
      <c r="C17" s="33" t="s">
        <v>892</v>
      </c>
      <c r="D17" s="33"/>
      <c r="E17" s="36"/>
      <c r="F17" s="37"/>
      <c r="G17" s="37"/>
      <c r="H17" s="35"/>
      <c r="I17" s="35"/>
      <c r="J17" s="35"/>
      <c r="K17" s="35"/>
      <c r="L17" s="37"/>
      <c r="M17" s="387"/>
      <c r="N17" s="387"/>
      <c r="O17" s="387">
        <f t="shared" ref="O17:Q17" si="42">(O66+O67)*O77</f>
        <v>1600.32</v>
      </c>
      <c r="P17" s="387">
        <f t="shared" si="42"/>
        <v>1467.84</v>
      </c>
      <c r="Q17" s="31">
        <f t="shared" si="42"/>
        <v>6144.96</v>
      </c>
      <c r="R17" s="387">
        <f t="shared" ref="R17:U17" si="43">(R66+R67)*R77</f>
        <v>1363.2</v>
      </c>
      <c r="S17" s="387">
        <f t="shared" si="43"/>
        <v>1613.76</v>
      </c>
      <c r="T17" s="387">
        <f t="shared" si="43"/>
        <v>1600.32</v>
      </c>
      <c r="U17" s="387">
        <f t="shared" si="43"/>
        <v>1527.36</v>
      </c>
      <c r="V17" s="386">
        <f>SUM(R17:U17)</f>
        <v>6104.6399999999994</v>
      </c>
      <c r="W17" s="387">
        <f>(W66+W67)*W77</f>
        <v>1462.08</v>
      </c>
      <c r="X17" s="387">
        <f t="shared" ref="X17:Z17" si="44">(X66+X67)*X77</f>
        <v>1632.96</v>
      </c>
      <c r="Y17" s="387">
        <f t="shared" si="44"/>
        <v>1727.04</v>
      </c>
      <c r="Z17" s="387">
        <f t="shared" si="44"/>
        <v>1598.3999999999999</v>
      </c>
      <c r="AA17" s="386">
        <f>SUM(W17:Z17)</f>
        <v>6420.48</v>
      </c>
      <c r="AB17" s="578">
        <v>1579</v>
      </c>
      <c r="AC17" s="578">
        <v>1807</v>
      </c>
      <c r="AD17" s="578">
        <v>1874</v>
      </c>
      <c r="AE17" s="578">
        <v>1860</v>
      </c>
      <c r="AF17" s="579">
        <v>7120</v>
      </c>
      <c r="AG17" s="384">
        <f>SUM(AG18:AG21)</f>
        <v>1781</v>
      </c>
      <c r="AH17" s="384">
        <f>SUM(AH18:AH21)</f>
        <v>2084</v>
      </c>
      <c r="AI17" s="580">
        <v>2144</v>
      </c>
      <c r="AJ17" s="578">
        <v>2074</v>
      </c>
      <c r="AK17" s="31">
        <f>SUM(AG17:AJ17)</f>
        <v>8083</v>
      </c>
      <c r="AL17" s="384">
        <f>AL18+AL21</f>
        <v>2007</v>
      </c>
      <c r="AM17" s="384">
        <f>AM18+AM21</f>
        <v>2330</v>
      </c>
      <c r="AN17" s="384">
        <f>(1+AN26)*AI17</f>
        <v>2336.96</v>
      </c>
      <c r="AO17" s="384">
        <f>(1+AO26)*AJ17</f>
        <v>2219.1800000000003</v>
      </c>
      <c r="AP17" s="204">
        <f>SUM(AL17:AO17)</f>
        <v>8893.14</v>
      </c>
      <c r="AQ17" s="384">
        <f t="shared" ref="AQ17:AT17" si="45">(1+AQ26)*AL17</f>
        <v>2107.35</v>
      </c>
      <c r="AR17" s="384">
        <f t="shared" si="45"/>
        <v>2423.2000000000003</v>
      </c>
      <c r="AS17" s="384">
        <f t="shared" si="45"/>
        <v>2407.0688</v>
      </c>
      <c r="AT17" s="384">
        <f t="shared" si="45"/>
        <v>2285.7554000000005</v>
      </c>
      <c r="AU17" s="204">
        <f>SUM(AQ17:AT17)</f>
        <v>9223.3742000000002</v>
      </c>
      <c r="AV17" s="384">
        <f t="shared" ref="AV17:AY17" si="46">(1+AV26)*AQ17</f>
        <v>2170.5704999999998</v>
      </c>
      <c r="AW17" s="384">
        <f t="shared" si="46"/>
        <v>2495.8960000000002</v>
      </c>
      <c r="AX17" s="384">
        <f t="shared" si="46"/>
        <v>2479.2808640000003</v>
      </c>
      <c r="AY17" s="384">
        <f t="shared" si="46"/>
        <v>2354.3280620000005</v>
      </c>
      <c r="AZ17" s="204">
        <f>SUM(AV17:AY17)</f>
        <v>9500.0754260000012</v>
      </c>
      <c r="BB17" s="257"/>
    </row>
    <row r="18" spans="2:54" s="11" customFormat="1" hidden="1">
      <c r="B18" s="493" t="s">
        <v>259</v>
      </c>
      <c r="C18" s="378"/>
      <c r="D18" s="378"/>
      <c r="E18" s="383"/>
      <c r="F18" s="386"/>
      <c r="G18" s="386"/>
      <c r="H18" s="387"/>
      <c r="I18" s="387"/>
      <c r="J18" s="387"/>
      <c r="K18" s="387"/>
      <c r="L18" s="386"/>
      <c r="M18" s="387"/>
      <c r="N18" s="387"/>
      <c r="O18" s="387"/>
      <c r="P18" s="387"/>
      <c r="Q18" s="386">
        <f>SUM(Q19:Q20)</f>
        <v>2899</v>
      </c>
      <c r="R18" s="387">
        <f>SUM(R19:R20)</f>
        <v>1323</v>
      </c>
      <c r="S18" s="387">
        <f>SUM(S19:S20)</f>
        <v>1568</v>
      </c>
      <c r="T18" s="387">
        <f>SUM(T19:T20)</f>
        <v>1559</v>
      </c>
      <c r="U18" s="387">
        <f>V18-SUM(R18:T18)</f>
        <v>1484</v>
      </c>
      <c r="V18" s="386">
        <f>SUM(V19:V20)</f>
        <v>5934</v>
      </c>
      <c r="W18" s="387">
        <f>SUM(W19:W20)</f>
        <v>1429</v>
      </c>
      <c r="X18" s="387">
        <f>SUM(X19:X20)</f>
        <v>1589</v>
      </c>
      <c r="Y18" s="387">
        <f>SUM(Y19:Y20)</f>
        <v>1696</v>
      </c>
      <c r="Z18" s="387">
        <f t="shared" ref="Z18:Z21" si="47">AA18-SUM(W18:Y18)</f>
        <v>1566</v>
      </c>
      <c r="AA18" s="386">
        <f>SUM(AA19:AA20)</f>
        <v>6280</v>
      </c>
      <c r="AB18" s="387">
        <f>SUM(AB19:AB20)</f>
        <v>1531</v>
      </c>
      <c r="AC18" s="387">
        <f>SUM(AC19:AC20)</f>
        <v>1756</v>
      </c>
      <c r="AD18" s="387">
        <f>SUM(AD19:AD20)</f>
        <v>1821</v>
      </c>
      <c r="AE18" s="387">
        <f>AF18-SUM(AB18:AD18)</f>
        <v>1808</v>
      </c>
      <c r="AF18" s="386">
        <f>SUM(AF19:AF20)</f>
        <v>6916</v>
      </c>
      <c r="AG18" s="578">
        <v>1753</v>
      </c>
      <c r="AH18" s="578">
        <v>2052</v>
      </c>
      <c r="AI18" s="387">
        <f>SUM(AI19:AI20)</f>
        <v>2108</v>
      </c>
      <c r="AJ18" s="387">
        <f>AK18-SUM(AG18:AI18)</f>
        <v>1987</v>
      </c>
      <c r="AK18" s="386">
        <f>SUM(AK19:AK20)</f>
        <v>7900</v>
      </c>
      <c r="AL18" s="578">
        <v>1970</v>
      </c>
      <c r="AM18" s="578">
        <v>2296</v>
      </c>
      <c r="AN18" s="171"/>
      <c r="AO18" s="171"/>
      <c r="AP18" s="388"/>
      <c r="AQ18" s="171"/>
      <c r="AR18" s="171"/>
      <c r="AS18" s="171"/>
      <c r="AT18" s="171"/>
      <c r="AU18" s="388"/>
      <c r="AV18" s="389"/>
      <c r="AW18" s="389"/>
      <c r="AX18" s="389"/>
      <c r="AY18" s="389"/>
      <c r="AZ18" s="388"/>
      <c r="BB18" s="257"/>
    </row>
    <row r="19" spans="2:54" hidden="1">
      <c r="B19" s="409" t="s">
        <v>261</v>
      </c>
      <c r="C19" s="369"/>
      <c r="D19" s="369"/>
      <c r="E19" s="390"/>
      <c r="F19" s="391"/>
      <c r="G19" s="391"/>
      <c r="H19" s="392"/>
      <c r="I19" s="392"/>
      <c r="J19" s="392"/>
      <c r="K19" s="392"/>
      <c r="L19" s="391"/>
      <c r="M19" s="392"/>
      <c r="N19" s="392"/>
      <c r="O19" s="393">
        <f>505+311</f>
        <v>816</v>
      </c>
      <c r="P19" s="392"/>
      <c r="Q19" s="394">
        <f>1084+656</f>
        <v>1740</v>
      </c>
      <c r="R19" s="393">
        <f>522+298</f>
        <v>820</v>
      </c>
      <c r="S19" s="393">
        <f>541+362</f>
        <v>903</v>
      </c>
      <c r="T19" s="393">
        <f>577+352</f>
        <v>929</v>
      </c>
      <c r="U19" s="392">
        <f t="shared" ref="U19:U21" si="48">V19-SUM(R19:T19)</f>
        <v>952</v>
      </c>
      <c r="V19" s="394">
        <f>2219+1385</f>
        <v>3604</v>
      </c>
      <c r="W19" s="393">
        <f>563+302</f>
        <v>865</v>
      </c>
      <c r="X19" s="393">
        <f>621+304</f>
        <v>925</v>
      </c>
      <c r="Y19" s="393">
        <f>658+345</f>
        <v>1003</v>
      </c>
      <c r="Z19" s="392">
        <f t="shared" si="47"/>
        <v>1000</v>
      </c>
      <c r="AA19" s="394">
        <f>2489+1304</f>
        <v>3793</v>
      </c>
      <c r="AB19" s="393">
        <f>624+323</f>
        <v>947</v>
      </c>
      <c r="AC19" s="393">
        <f>711+368</f>
        <v>1079</v>
      </c>
      <c r="AD19" s="393">
        <f>728+386</f>
        <v>1114</v>
      </c>
      <c r="AE19" s="392">
        <f>AF19-SUM(AB19:AD19)</f>
        <v>1148</v>
      </c>
      <c r="AF19" s="394">
        <f>2825+1463</f>
        <v>4288</v>
      </c>
      <c r="AG19" s="393"/>
      <c r="AH19" s="393"/>
      <c r="AI19" s="393">
        <f>825+452</f>
        <v>1277</v>
      </c>
      <c r="AJ19" s="392"/>
      <c r="AK19" s="394">
        <f>3193+1700</f>
        <v>4893</v>
      </c>
      <c r="AL19" s="393"/>
      <c r="AM19" s="393"/>
      <c r="AN19" s="148"/>
      <c r="AO19" s="148"/>
      <c r="AP19" s="395"/>
      <c r="AQ19" s="148"/>
      <c r="AR19" s="148"/>
      <c r="AS19" s="148"/>
      <c r="AT19" s="148"/>
      <c r="AU19" s="395"/>
      <c r="AV19" s="220"/>
      <c r="AW19" s="220"/>
      <c r="AX19" s="220"/>
      <c r="AY19" s="220"/>
      <c r="AZ19" s="395"/>
    </row>
    <row r="20" spans="2:54" hidden="1">
      <c r="B20" s="7" t="s">
        <v>262</v>
      </c>
      <c r="C20" s="6"/>
      <c r="D20" s="6"/>
      <c r="E20" s="14"/>
      <c r="F20" s="28"/>
      <c r="G20" s="28"/>
      <c r="H20" s="29"/>
      <c r="I20" s="29"/>
      <c r="J20" s="29"/>
      <c r="K20" s="29"/>
      <c r="L20" s="28"/>
      <c r="M20" s="29"/>
      <c r="N20" s="29"/>
      <c r="O20" s="53">
        <f>649+2</f>
        <v>651</v>
      </c>
      <c r="P20" s="29"/>
      <c r="Q20" s="54">
        <f>1153+6</f>
        <v>1159</v>
      </c>
      <c r="R20" s="53">
        <f>501+2</f>
        <v>503</v>
      </c>
      <c r="S20" s="53">
        <f>662+3</f>
        <v>665</v>
      </c>
      <c r="T20" s="53">
        <f>626+4</f>
        <v>630</v>
      </c>
      <c r="U20" s="29">
        <f t="shared" si="48"/>
        <v>532</v>
      </c>
      <c r="V20" s="54">
        <f>2317+13</f>
        <v>2330</v>
      </c>
      <c r="W20" s="53">
        <f>562+2</f>
        <v>564</v>
      </c>
      <c r="X20" s="53">
        <f>662+2</f>
        <v>664</v>
      </c>
      <c r="Y20" s="53">
        <f>689+4</f>
        <v>693</v>
      </c>
      <c r="Z20" s="29">
        <f t="shared" si="47"/>
        <v>566</v>
      </c>
      <c r="AA20" s="54">
        <f>2477+10</f>
        <v>2487</v>
      </c>
      <c r="AB20" s="53">
        <f>581+3</f>
        <v>584</v>
      </c>
      <c r="AC20" s="53">
        <f>673+4</f>
        <v>677</v>
      </c>
      <c r="AD20" s="53">
        <f>705+2</f>
        <v>707</v>
      </c>
      <c r="AE20" s="29">
        <f>AF20-SUM(AB20:AD20)</f>
        <v>660</v>
      </c>
      <c r="AF20" s="54">
        <f>2617+11</f>
        <v>2628</v>
      </c>
      <c r="AG20" s="53"/>
      <c r="AH20" s="53"/>
      <c r="AI20" s="53">
        <f>827+4</f>
        <v>831</v>
      </c>
      <c r="AJ20" s="29"/>
      <c r="AK20" s="54">
        <f>2993+14</f>
        <v>3007</v>
      </c>
      <c r="AL20" s="53"/>
      <c r="AM20" s="53"/>
      <c r="AP20" s="199"/>
      <c r="AU20" s="199"/>
      <c r="AV20" s="83"/>
      <c r="AW20" s="83"/>
      <c r="AX20" s="83"/>
      <c r="AY20" s="83"/>
      <c r="AZ20" s="199"/>
    </row>
    <row r="21" spans="2:54" hidden="1">
      <c r="B21" s="7" t="s">
        <v>677</v>
      </c>
      <c r="C21" s="6"/>
      <c r="D21" s="6"/>
      <c r="E21" s="14"/>
      <c r="F21" s="28"/>
      <c r="G21" s="28"/>
      <c r="H21" s="29"/>
      <c r="I21" s="29"/>
      <c r="J21" s="29"/>
      <c r="K21" s="29"/>
      <c r="L21" s="28"/>
      <c r="M21" s="29"/>
      <c r="N21" s="29"/>
      <c r="O21" s="53">
        <f>84+4</f>
        <v>88</v>
      </c>
      <c r="P21" s="29"/>
      <c r="Q21" s="54">
        <f>178+7</f>
        <v>185</v>
      </c>
      <c r="R21" s="53">
        <f>93+4</f>
        <v>97</v>
      </c>
      <c r="S21" s="53">
        <f>108+5</f>
        <v>113</v>
      </c>
      <c r="T21" s="53">
        <f>104+4</f>
        <v>108</v>
      </c>
      <c r="U21" s="29">
        <f t="shared" si="48"/>
        <v>107</v>
      </c>
      <c r="V21" s="54">
        <f>409+16</f>
        <v>425</v>
      </c>
      <c r="W21" s="53">
        <f>92+2</f>
        <v>94</v>
      </c>
      <c r="X21" s="53">
        <f>109+3</f>
        <v>112</v>
      </c>
      <c r="Y21" s="53">
        <f>100+3</f>
        <v>103</v>
      </c>
      <c r="Z21" s="29">
        <f t="shared" si="47"/>
        <v>99</v>
      </c>
      <c r="AA21" s="54">
        <f>397+11</f>
        <v>408</v>
      </c>
      <c r="AB21" s="53">
        <f>102+2</f>
        <v>104</v>
      </c>
      <c r="AC21" s="53">
        <f>114+3</f>
        <v>117</v>
      </c>
      <c r="AD21" s="53">
        <f>114+4</f>
        <v>118</v>
      </c>
      <c r="AE21" s="29">
        <f>AF21-SUM(AB21:AD21)</f>
        <v>113</v>
      </c>
      <c r="AF21" s="54">
        <f>440+12</f>
        <v>452</v>
      </c>
      <c r="AG21" s="53">
        <v>28</v>
      </c>
      <c r="AH21" s="53">
        <v>32</v>
      </c>
      <c r="AI21" s="53">
        <f>104+3</f>
        <v>107</v>
      </c>
      <c r="AJ21" s="29">
        <f>AK21-SUM(AG21:AI21)</f>
        <v>265</v>
      </c>
      <c r="AK21" s="54">
        <f>421+11</f>
        <v>432</v>
      </c>
      <c r="AL21" s="53">
        <v>37</v>
      </c>
      <c r="AM21" s="53">
        <v>34</v>
      </c>
      <c r="AP21" s="199"/>
      <c r="AU21" s="199"/>
      <c r="AV21" s="83"/>
      <c r="AW21" s="83"/>
      <c r="AX21" s="83"/>
      <c r="AY21" s="83"/>
      <c r="AZ21" s="199"/>
    </row>
    <row r="22" spans="2:54" hidden="1" outlineLevel="1">
      <c r="B22" s="7" t="s">
        <v>59</v>
      </c>
      <c r="C22" s="6" t="s">
        <v>62</v>
      </c>
      <c r="D22" s="6"/>
      <c r="E22" s="12"/>
      <c r="F22" s="18"/>
      <c r="G22" s="18"/>
      <c r="H22" s="19"/>
      <c r="I22" s="19"/>
      <c r="J22" s="19"/>
      <c r="K22" s="19"/>
      <c r="L22" s="18"/>
      <c r="M22" s="19"/>
      <c r="N22" s="19"/>
      <c r="O22" s="19" cm="1">
        <f t="array" ref="O22">IFERROR(_xll.VAData("KDP_US", O$4, $C22, "VA Actuals", "CD", "IMPL","","")/100, "")</f>
        <v>3.1E-2</v>
      </c>
      <c r="P22" s="19" cm="1">
        <f t="array" ref="P22">IFERROR(_xll.VAData("KDP_US", P$4, $C22, "VA Actuals", "CD", "IMPL","","")/100, "")</f>
        <v>2.5249999999999998E-2</v>
      </c>
      <c r="Q22" s="18" cm="1">
        <f t="array" ref="Q22">IFERROR(_xll.VAData("KDP_US", Q$4, $C22, "VA Actuals", "CD", "IMPL","","")/100, "")</f>
        <v>0.03</v>
      </c>
      <c r="R22" s="19" cm="1">
        <f t="array" ref="R22">IFERROR(_xll.VAData("KDP_US", R$4, $C22, "VA Actuals", "CD", "IMPL","","")/100, "")</f>
        <v>-1.4499999999999999E-2</v>
      </c>
      <c r="S22" s="19" cm="1">
        <f t="array" ref="S22">IFERROR(_xll.VAData("KDP_US", S$4, $C22, "VA Actuals", "CD", "IMPL","","")/100, "")</f>
        <v>-1.0500000000000001E-2</v>
      </c>
      <c r="T22" s="19" cm="1">
        <f t="array" ref="T22">IFERROR(_xll.VAData("KDP_US", T$4, $C22, "VA Actuals", "CD", "IMPL","","")/100, "")</f>
        <v>1.3500000000000002E-2</v>
      </c>
      <c r="U22" s="19" cm="1">
        <f t="array" ref="U22">IFERROR(_xll.VAData("KDP_US", U$4, $C22, "VA Actuals", "CD", "IMPL","","")/100, "")</f>
        <v>4.2000000000000003E-2</v>
      </c>
      <c r="V22" s="18" cm="1">
        <f t="array" ref="V22">IFERROR(_xll.VAData("KDP_US", V$4, $C22, "VA Actuals", "CD", "IMPL","","")/100, "")</f>
        <v>8.0000000000000002E-3</v>
      </c>
      <c r="W22" s="19" cm="1">
        <f t="array" ref="W22">IFERROR(_xll.VAData("KDP_US", W$4, $C22, "VA Actuals", "CD", "IMPL","","")/100, "")</f>
        <v>3.5000000000000003E-2</v>
      </c>
      <c r="X22" s="19" cm="1">
        <f t="array" ref="X22">IFERROR(_xll.VAData("KDP_US", X$4, $C22, "VA Actuals", "CD", "IMPL","","")/100, "")</f>
        <v>-2.4E-2</v>
      </c>
      <c r="Y22" s="19" cm="1">
        <f t="array" ref="Y22">IFERROR(_xll.VAData("KDP_US", Y$4, $C22, "VA Actuals", "CD", "IMPL","","")/100, "")</f>
        <v>3.3000000000000002E-2</v>
      </c>
      <c r="Z22" s="19" cm="1">
        <f t="array" ref="Z22">IFERROR(_xll.VAData("KDP_US", Z$4, $C22, "VA Actuals", "CD", "IMPL","","")/100, "")</f>
        <v>8.0000000000000002E-3</v>
      </c>
      <c r="AA22" s="18" cm="1">
        <f t="array" ref="AA22">IFERROR(_xll.VAData("KDP_US", AA$4, $C22, "VA Actuals", "CD", "IMPL","","")/100, "")</f>
        <v>1.2E-2</v>
      </c>
      <c r="AB22" s="19" cm="1">
        <f t="array" ref="AB22">IFERROR(_xll.VAData("KDP_US", AB$4, $C22, "VA Actuals", "CD", "IMPL","","")/100, "")</f>
        <v>5.2999999999999999E-2</v>
      </c>
      <c r="AC22" s="19" cm="1">
        <f t="array" ref="AC22">IFERROR(_xll.VAData("KDP_US", AC$4, $C22, "VA Actuals", "CD", "IMPL","","")/100, "")</f>
        <v>6.7000000000000004E-2</v>
      </c>
      <c r="AD22" s="19" cm="1">
        <f t="array" ref="AD22">IFERROR(_xll.VAData("KDP_US", AD$4, $C22, "VA Actuals", "CD", "IMPL","","")/100, "")</f>
        <v>1.1000000000000001E-2</v>
      </c>
      <c r="AE22" s="19" cm="1">
        <f t="array" ref="AE22">IFERROR(_xll.VAData("KDP_US", AE$4, $C22, "VA Actuals", "CD", "IMPL","","")/100, "")</f>
        <v>8.199999999999999E-2</v>
      </c>
      <c r="AF22" s="18" cm="1">
        <f t="array" ref="AF22">IFERROR(_xll.VAData("KDP_US", AF$4, $C22, "VA Actuals", "CD", "IMPL","","")/100, "")</f>
        <v>5.2999999999999999E-2</v>
      </c>
      <c r="AG22" s="19" cm="1">
        <f t="array" ref="AG22">IFERROR(_xll.VAData("KDP_US", AG$4, $C22, "VA Actuals", "CD", "IMPL","","")/100, "")</f>
        <v>4.5999999999999999E-2</v>
      </c>
      <c r="AH22" s="19" cm="1">
        <f t="array" ref="AH22">IFERROR(_xll.VAData("KDP_US", AH$4, $C22, "VA Actuals", "CD", "IMPL","","")/100, "")</f>
        <v>2.3E-2</v>
      </c>
      <c r="AI22" s="19" cm="1">
        <f t="array" ref="AI22">IFERROR(_xll.VAData("KDP_US", AI$4, $C22, "VA Actuals", "CD", "IMPL","","")/100, "")</f>
        <v>1E-3</v>
      </c>
      <c r="AJ22" s="19" cm="1">
        <f t="array" ref="AJ22">IFERROR(_xll.VAData("KDP_US", AJ$4, $C22, "VA Actuals", "CD", "IMPL","","")/100, "")</f>
        <v>-3.7999999999999999E-2</v>
      </c>
      <c r="AK22" s="18" cm="1">
        <f t="array" ref="AK22">IFERROR(_xll.VAData("KDP_US", AK$4, $C22, "VA Actuals", "CD", "IMPL","","")/100, "")</f>
        <v>6.0000000000000001E-3</v>
      </c>
      <c r="AL22" s="19" cm="1">
        <f t="array" ref="AL22">IFERROR(_xll.VAData("KDP_US", AL$4, $C22, "VA Actuals", "CD", "IMPL","","")/100, "")</f>
        <v>2E-3</v>
      </c>
      <c r="AM22" s="19" cm="1">
        <f t="array" ref="AM22">IFERROR(_xll.VAData("KDP_US", AM$4, $C22, "VA Actuals", "CD", "IMPL","","")/100, "")</f>
        <v>-2E-3</v>
      </c>
      <c r="AN22" s="241">
        <v>0.01</v>
      </c>
      <c r="AO22" s="241">
        <v>0.01</v>
      </c>
      <c r="AP22" s="237">
        <f t="shared" ref="AP22" si="49">AVERAGE(AL22:AO22)</f>
        <v>5.0000000000000001E-3</v>
      </c>
      <c r="AQ22" s="241">
        <v>0.01</v>
      </c>
      <c r="AR22" s="241">
        <v>0.01</v>
      </c>
      <c r="AS22" s="241">
        <v>0.01</v>
      </c>
      <c r="AT22" s="241">
        <v>0.01</v>
      </c>
      <c r="AU22" s="237">
        <f t="shared" ref="AU22:AU24" si="50">AVERAGE(AQ22:AT22)</f>
        <v>0.01</v>
      </c>
      <c r="AV22" s="241">
        <v>0.01</v>
      </c>
      <c r="AW22" s="241">
        <v>0.01</v>
      </c>
      <c r="AX22" s="241">
        <v>0.01</v>
      </c>
      <c r="AY22" s="241">
        <v>0.01</v>
      </c>
      <c r="AZ22" s="237">
        <f t="shared" ref="AZ22:AZ24" si="51">AVERAGE(AV22:AY22)</f>
        <v>0.01</v>
      </c>
      <c r="BB22" s="20" t="s">
        <v>766</v>
      </c>
    </row>
    <row r="23" spans="2:54" hidden="1" outlineLevel="1">
      <c r="B23" s="310" t="s">
        <v>632</v>
      </c>
      <c r="C23" s="6" t="s">
        <v>62</v>
      </c>
      <c r="D23" s="6"/>
      <c r="E23" s="12"/>
      <c r="F23" s="18"/>
      <c r="G23" s="18"/>
      <c r="H23" s="19"/>
      <c r="I23" s="19"/>
      <c r="J23" s="19"/>
      <c r="K23" s="19"/>
      <c r="L23" s="18"/>
      <c r="M23" s="19"/>
      <c r="N23" s="19"/>
      <c r="O23" s="203" t="str" cm="1">
        <f t="array" ref="O23">_xll.VAData(va_ticker, O$4, $C23, "consensus", "CD", "IMPL","PreQ", "","")</f>
        <v>-</v>
      </c>
      <c r="P23" s="29" t="str" cm="1">
        <f t="array" ref="P23">_xll.VAData(va_ticker, P$4, $C23, "consensus", "CD", "IMPL","PreQ", "","")</f>
        <v>-</v>
      </c>
      <c r="Q23" s="28" t="str" cm="1">
        <f t="array" ref="Q23">_xll.VAData(va_ticker, Q$4, $C23, "consensus", "CD", "IMPL","PreQ", "","")</f>
        <v>-</v>
      </c>
      <c r="R23" s="29" t="str" cm="1">
        <f t="array" ref="R23">_xll.VAData(va_ticker, R$4, $C23, "consensus", "CD", "IMPL","PreQ", "","")</f>
        <v>-</v>
      </c>
      <c r="S23" s="29" t="str" cm="1">
        <f t="array" ref="S23">_xll.VAData(va_ticker, S$4, $C23, "consensus", "CD", "IMPL","PreQ", "","")</f>
        <v>-</v>
      </c>
      <c r="T23" s="29" t="str" cm="1">
        <f t="array" ref="T23">_xll.VAData(va_ticker, T$4, $C23, "consensus", "CD", "IMPL","PreQ", "","")</f>
        <v>-</v>
      </c>
      <c r="U23" s="29" t="str" cm="1">
        <f t="array" ref="U23">_xll.VAData(va_ticker, U$4, $C23, "consensus", "CD", "IMPL","PreQ", "","")</f>
        <v>-</v>
      </c>
      <c r="V23" s="28" t="str" cm="1">
        <f t="array" ref="V23">_xll.VAData(va_ticker, V$4, $C23, "consensus", "CD", "IMPL","PreQ", "","")</f>
        <v>-</v>
      </c>
      <c r="W23" s="35" t="str" cm="1">
        <f t="array" ref="W23">_xll.VAData(va_ticker, W$4, $C23, "consensus", "CD", "IMPL","PreQ", "","")</f>
        <v>-</v>
      </c>
      <c r="X23" s="29" t="str" cm="1">
        <f t="array" ref="X23">_xll.VAData(va_ticker, X$4, $C23, "consensus", "CD", "IMPL","PreQ", "","")</f>
        <v>-</v>
      </c>
      <c r="Y23" s="29" t="str" cm="1">
        <f t="array" ref="Y23">_xll.VAData(va_ticker, Y$4, $C23, "consensus", "CD", "IMPL","PreQ", "","")</f>
        <v>-</v>
      </c>
      <c r="Z23" s="29" t="str" cm="1">
        <f t="array" ref="Z23">_xll.VAData(va_ticker, Z$4, $C23, "consensus", "CD", "IMPL","PreQ", "","")</f>
        <v>-</v>
      </c>
      <c r="AA23" s="28" t="str" cm="1">
        <f t="array" ref="AA23">_xll.VAData(va_ticker, AA$4, $C23, "consensus", "CD", "IMPL","PreQ", "","")</f>
        <v>-</v>
      </c>
      <c r="AB23" s="29" t="str" cm="1">
        <f t="array" ref="AB23">_xll.VAData(va_ticker, AB$4, $C23, "consensus", "CD", "IMPL","PreQ", "","")</f>
        <v>-</v>
      </c>
      <c r="AC23" s="29" t="str" cm="1">
        <f t="array" ref="AC23">_xll.VAData(va_ticker, AC$4, $C23, "consensus", "CD", "IMPL","PreQ", "","")</f>
        <v>-</v>
      </c>
      <c r="AD23" s="29" t="str" cm="1">
        <f t="array" ref="AD23">_xll.VAData(va_ticker, AD$4, $C23, "consensus", "CD", "IMPL","PreQ", "","")</f>
        <v>-</v>
      </c>
      <c r="AE23" s="29" t="str" cm="1">
        <f t="array" ref="AE23">_xll.VAData(va_ticker, AE$4, $C23, "consensus", "CD", "IMPL","PreQ", "","")</f>
        <v>-</v>
      </c>
      <c r="AF23" s="28" t="str" cm="1">
        <f t="array" ref="AF23">_xll.VAData(va_ticker, AF$4, $C23, "consensus", "CD", "IMPL","PreQ", "","")</f>
        <v>-</v>
      </c>
      <c r="AG23" s="29" t="str" cm="1">
        <f t="array" ref="AG23">_xll.VAData(va_ticker, AG$4, $C23, "consensus", "CD", "IMPL","PreQ", "","")</f>
        <v>-</v>
      </c>
      <c r="AH23" s="29" t="str" cm="1">
        <f t="array" ref="AH23">_xll.VAData(va_ticker, AH$4, $C23, "consensus", "CD", "IMPL","PreQ", "","")</f>
        <v>-</v>
      </c>
      <c r="AI23" s="29" t="str" cm="1">
        <f t="array" ref="AI23">_xll.VAData(va_ticker, AI$4, $C23, "consensus", "CD", "IMPL","PreQ", "","")</f>
        <v>-</v>
      </c>
      <c r="AJ23" s="29" t="str" cm="1">
        <f t="array" ref="AJ23">_xll.VAData(va_ticker, AJ$4, $C23, "consensus", "CD", "IMPL","PreQ", "","")</f>
        <v>-</v>
      </c>
      <c r="AK23" s="28" t="str" cm="1">
        <f t="array" ref="AK23">_xll.VAData(va_ticker, AK$4, $C23, "consensus", "CD", "IMPL","PreQ", "","")</f>
        <v>-</v>
      </c>
      <c r="AL23" s="29" t="str" cm="1">
        <f t="array" ref="AL23">_xll.VAData(va_ticker, AL$4, $C23, "consensus", "CD", "IMPL","PreQ", "","")</f>
        <v>-</v>
      </c>
      <c r="AM23" s="29" t="str" cm="1">
        <f t="array" ref="AM23">_xll.VAData(va_ticker, AM$4, $C23, "VA Actuals", "CD", "IMPL","PreQ", "","")</f>
        <v>-</v>
      </c>
      <c r="AN23" s="311" cm="1">
        <f t="array" ref="AN23">_xll.VAData("KDP_US", AN$4, $C23, "Consensus", "CD", "IMPL","","")/100</f>
        <v>-2E-3</v>
      </c>
      <c r="AO23" s="312" cm="1">
        <f t="array" ref="AO23">_xll.VAData("KDP_US", AO$4, $C23, "Consensus", "CD", "IMPL","","")/100</f>
        <v>1.3000000000000001E-2</v>
      </c>
      <c r="AP23" s="313" cm="1">
        <f t="array" ref="AP23">_xll.VAData("KDP_US", AP$4, $C23, "Consensus", "CD", "IMPL","","")/100</f>
        <v>2.7586572975158803E-3</v>
      </c>
      <c r="AQ23" s="312" cm="1">
        <f t="array" ref="AQ23">_xll.VAData("KDP_US", AQ$4, $C23, "Consensus", "CD", "IMPL","","")/100</f>
        <v>1.4450000000000001E-2</v>
      </c>
      <c r="AR23" s="312" cm="1">
        <f t="array" ref="AR23">_xll.VAData("KDP_US", AR$4, $C23, "Consensus", "CD", "IMPL","","")/100</f>
        <v>1.7299999999999999E-2</v>
      </c>
      <c r="AS23" s="312" cm="1">
        <f t="array" ref="AS23">_xll.VAData("KDP_US", AS$4, $C23, "Consensus", "CD", "IMPL","","")/100</f>
        <v>1.865E-2</v>
      </c>
      <c r="AT23" s="312" cm="1">
        <f t="array" ref="AT23">_xll.VAData("KDP_US", AT$4, $C23, "Consensus", "CD", "IMPL","","")/100</f>
        <v>1.4499999999999999E-2</v>
      </c>
      <c r="AU23" s="313" cm="1">
        <f t="array" ref="AU23">_xll.VAData("KDP_US", AU$4, $C23, "Consensus", "CD", "IMPL","","")/100</f>
        <v>1.634802613463401E-2</v>
      </c>
      <c r="AV23" s="312" cm="1">
        <f t="array" ref="AV23">_xll.VAData("KDP_US", AV$4, $C23, "Consensus", "CD", "IMPL","","")/100</f>
        <v>1.55E-2</v>
      </c>
      <c r="AW23" s="312" cm="1">
        <f t="array" ref="AW23">_xll.VAData("KDP_US", AW$4, $C23, "Consensus", "CD", "IMPL","","")/100</f>
        <v>1.55E-2</v>
      </c>
      <c r="AX23" s="312" cm="1">
        <f t="array" ref="AX23">_xll.VAData("KDP_US", AX$4, $C23, "Consensus", "CD", "IMPL","","")/100</f>
        <v>1.55E-2</v>
      </c>
      <c r="AY23" s="312" cm="1">
        <f t="array" ref="AY23">_xll.VAData("KDP_US", AY$4, $C23, "Consensus", "CD", "IMPL","","")/100</f>
        <v>1.55E-2</v>
      </c>
      <c r="AZ23" s="313" cm="1">
        <f t="array" ref="AZ23">_xll.VAData("KDP_US", AZ$4, $C23, "Consensus", "CD", "IMPL","","")/100</f>
        <v>1.607142857142857E-2</v>
      </c>
    </row>
    <row r="24" spans="2:54" hidden="1" outlineLevel="1">
      <c r="B24" s="7" t="s">
        <v>60</v>
      </c>
      <c r="C24" s="6" t="s">
        <v>63</v>
      </c>
      <c r="D24" s="6"/>
      <c r="E24" s="12"/>
      <c r="F24" s="18"/>
      <c r="G24" s="18"/>
      <c r="H24" s="19"/>
      <c r="I24" s="19"/>
      <c r="J24" s="19"/>
      <c r="K24" s="19"/>
      <c r="L24" s="18"/>
      <c r="M24" s="19"/>
      <c r="N24" s="19"/>
      <c r="O24" s="19" cm="1">
        <f t="array" ref="O24">IFERROR(_xll.VAData("KDP_US", O$4, $C24, "VA Actuals", "CD", "IMPL","","")/100, "")</f>
        <v>1.1000000000000001E-2</v>
      </c>
      <c r="P24" s="19" cm="1">
        <f t="array" ref="P24">IFERROR(_xll.VAData("KDP_US", P$4, $C24, "VA Actuals", "CD", "IMPL","","")/100, "")</f>
        <v>2.1250000000000002E-2</v>
      </c>
      <c r="Q24" s="18" cm="1">
        <f t="array" ref="Q24">IFERROR(_xll.VAData("KDP_US", Q$4, $C24, "VA Actuals", "CD", "IMPL","","")/100, "")</f>
        <v>1.55E-2</v>
      </c>
      <c r="R24" s="19" cm="1">
        <f t="array" ref="R24">IFERROR(_xll.VAData("KDP_US", R$4, $C24, "VA Actuals", "CD", "IMPL","","")/100, "")</f>
        <v>4.7E-2</v>
      </c>
      <c r="S24" s="19" cm="1">
        <f t="array" ref="S24">IFERROR(_xll.VAData("KDP_US", S$4, $C24, "VA Actuals", "CD", "IMPL","","")/100, "")</f>
        <v>3.2000000000000001E-2</v>
      </c>
      <c r="T24" s="19" cm="1">
        <f t="array" ref="T24">IFERROR(_xll.VAData("KDP_US", T$4, $C24, "VA Actuals", "CD", "IMPL","","")/100, "")</f>
        <v>4.5999999999999999E-2</v>
      </c>
      <c r="U24" s="19" cm="1">
        <f t="array" ref="U24">IFERROR(_xll.VAData("KDP_US", U$4, $C24, "VA Actuals", "CD", "IMPL","","")/100, "")</f>
        <v>1.55E-2</v>
      </c>
      <c r="V24" s="18" cm="1">
        <f t="array" ref="V24">IFERROR(_xll.VAData("KDP_US", V$4, $C24, "VA Actuals", "CD", "IMPL","","")/100, "")</f>
        <v>3.5499999999999997E-2</v>
      </c>
      <c r="W24" s="19" cm="1">
        <f t="array" ref="W24">IFERROR(_xll.VAData("KDP_US", W$4, $C24, "VA Actuals", "CD", "IMPL","","")/100, "")</f>
        <v>1.3999999999999999E-2</v>
      </c>
      <c r="X24" s="19" cm="1">
        <f t="array" ref="X24">IFERROR(_xll.VAData("KDP_US", X$4, $C24, "VA Actuals", "CD", "IMPL","","")/100, "")</f>
        <v>-2.5499999999999998E-2</v>
      </c>
      <c r="Y24" s="19" cm="1">
        <f t="array" ref="Y24">IFERROR(_xll.VAData("KDP_US", Y$4, $C24, "VA Actuals", "CD", "IMPL","","")/100, "")</f>
        <v>9.4999999999999998E-3</v>
      </c>
      <c r="Z24" s="19" cm="1">
        <f t="array" ref="Z24">IFERROR(_xll.VAData("KDP_US", Z$4, $C24, "VA Actuals", "CD", "IMPL","","")/100, "")</f>
        <v>2.5000000000000001E-3</v>
      </c>
      <c r="AA24" s="18" cm="1">
        <f t="array" ref="AA24">IFERROR(_xll.VAData("KDP_US", AA$4, $C24, "VA Actuals", "CD", "IMPL","","")/100, "")</f>
        <v>-5.0000000000000001E-4</v>
      </c>
      <c r="AB24" s="19" cm="1">
        <f t="array" ref="AB24">IFERROR(_xll.VAData("KDP_US", AB$4, $C24, "VA Actuals", "CD", "IMPL","","")/100, "")</f>
        <v>1.3999999999999999E-2</v>
      </c>
      <c r="AC24" s="19" cm="1">
        <f t="array" ref="AC24">IFERROR(_xll.VAData("KDP_US", AC$4, $C24, "VA Actuals", "CD", "IMPL","","")/100, "")</f>
        <v>2.8999999999999998E-2</v>
      </c>
      <c r="AD24" s="19" cm="1">
        <f t="array" ref="AD24">IFERROR(_xll.VAData("KDP_US", AD$4, $C24, "VA Actuals", "CD", "IMPL","","")/100, "")</f>
        <v>6.8000000000000005E-2</v>
      </c>
      <c r="AE24" s="19" cm="1">
        <f t="array" ref="AE24">IFERROR(_xll.VAData("KDP_US", AE$4, $C24, "VA Actuals", "CD", "IMPL","","")/100, "")</f>
        <v>7.4999999999999997E-2</v>
      </c>
      <c r="AF24" s="18" cm="1">
        <f t="array" ref="AF24">IFERROR(_xll.VAData("KDP_US", AF$4, $C24, "VA Actuals", "CD", "IMPL","","")/100, "")</f>
        <v>4.7E-2</v>
      </c>
      <c r="AG24" s="19" cm="1">
        <f t="array" ref="AG24">IFERROR(_xll.VAData("KDP_US", AG$4, $C24, "VA Actuals", "CD", "IMPL","","")/100, "")</f>
        <v>8.199999999999999E-2</v>
      </c>
      <c r="AH24" s="19" cm="1">
        <f t="array" ref="AH24">IFERROR(_xll.VAData("KDP_US", AH$4, $C24, "VA Actuals", "CD", "IMPL","","")/100, "")</f>
        <v>0.13</v>
      </c>
      <c r="AI24" s="19" cm="1">
        <f t="array" ref="AI24">IFERROR(_xll.VAData("KDP_US", AI$4, $C24, "VA Actuals", "CD", "IMPL","","")/100, "")</f>
        <v>0.14300000000000002</v>
      </c>
      <c r="AJ24" s="19" cm="1">
        <f t="array" ref="AJ24">IFERROR(_xll.VAData("KDP_US", AJ$4, $C24, "VA Actuals", "CD", "IMPL","","")/100, "")</f>
        <v>0.153</v>
      </c>
      <c r="AK24" s="18" cm="1">
        <f t="array" ref="AK24">IFERROR(_xll.VAData("KDP_US", AK$4, $C24, "VA Actuals", "CD", "IMPL","","")/100, "")</f>
        <v>0.129</v>
      </c>
      <c r="AL24" s="19" cm="1">
        <f t="array" ref="AL24">IFERROR(_xll.VAData("KDP_US", AL$4, $C24, "VA Actuals", "CD", "IMPL","","")/100, "")</f>
        <v>0.125</v>
      </c>
      <c r="AM24" s="19" cm="1">
        <f t="array" ref="AM24">IFERROR(_xll.VAData("KDP_US", AM$4, $C24, "VA Actuals", "CD", "IMPL","","")/100, "")</f>
        <v>0.12</v>
      </c>
      <c r="AN24" s="241">
        <v>0.08</v>
      </c>
      <c r="AO24" s="241">
        <v>0.06</v>
      </c>
      <c r="AP24" s="237">
        <f t="shared" ref="AP24" si="52">AVERAGE(AL24:AO24)</f>
        <v>9.6250000000000002E-2</v>
      </c>
      <c r="AQ24" s="241">
        <v>0.04</v>
      </c>
      <c r="AR24" s="241">
        <v>0.03</v>
      </c>
      <c r="AS24" s="241">
        <v>0.02</v>
      </c>
      <c r="AT24" s="241">
        <v>0.02</v>
      </c>
      <c r="AU24" s="237">
        <f t="shared" si="50"/>
        <v>2.7500000000000004E-2</v>
      </c>
      <c r="AV24" s="241">
        <v>0.02</v>
      </c>
      <c r="AW24" s="241">
        <v>0.02</v>
      </c>
      <c r="AX24" s="241">
        <v>0.02</v>
      </c>
      <c r="AY24" s="241">
        <v>0.02</v>
      </c>
      <c r="AZ24" s="237">
        <f t="shared" si="51"/>
        <v>0.02</v>
      </c>
      <c r="BB24" s="20" t="s">
        <v>767</v>
      </c>
    </row>
    <row r="25" spans="2:54" hidden="1" outlineLevel="1">
      <c r="B25" s="310" t="s">
        <v>633</v>
      </c>
      <c r="C25" s="6" t="s">
        <v>63</v>
      </c>
      <c r="D25" s="6"/>
      <c r="E25" s="12"/>
      <c r="F25" s="18"/>
      <c r="G25" s="18"/>
      <c r="H25" s="19"/>
      <c r="I25" s="19"/>
      <c r="J25" s="19"/>
      <c r="K25" s="19"/>
      <c r="L25" s="18"/>
      <c r="M25" s="19"/>
      <c r="N25" s="19"/>
      <c r="O25" s="29" t="str" cm="1">
        <f t="array" ref="O25">_xll.VAData(va_ticker, O$4, $C25, "VA Actuals", "CD", "IMPL","PreQ", "","")</f>
        <v>-</v>
      </c>
      <c r="P25" s="29" t="str" cm="1">
        <f t="array" ref="P25">_xll.VAData(va_ticker, P$4, $C25, "VA Actuals", "CD", "IMPL","PreQ", "","")</f>
        <v>-</v>
      </c>
      <c r="Q25" s="28" t="str" cm="1">
        <f t="array" ref="Q25">_xll.VAData(va_ticker, Q$4, $C25, "VA Actuals", "CD", "IMPL","PreQ", "","")</f>
        <v>-</v>
      </c>
      <c r="R25" s="29" t="str" cm="1">
        <f t="array" ref="R25">_xll.VAData(va_ticker, R$4, $C25, "VA Actuals", "CD", "IMPL","PreQ", "","")</f>
        <v>-</v>
      </c>
      <c r="S25" s="29" t="str" cm="1">
        <f t="array" ref="S25">_xll.VAData(va_ticker, S$4, $C25, "VA Actuals", "CD", "IMPL","PreQ", "","")</f>
        <v>-</v>
      </c>
      <c r="T25" s="29" t="str" cm="1">
        <f t="array" ref="T25">_xll.VAData(va_ticker, T$4, $C25, "VA Actuals", "CD", "IMPL","PreQ", "","")</f>
        <v>-</v>
      </c>
      <c r="U25" s="29" t="str" cm="1">
        <f t="array" ref="U25">_xll.VAData(va_ticker, U$4, $C25, "VA Actuals", "CD", "IMPL","PreQ", "","")</f>
        <v>-</v>
      </c>
      <c r="V25" s="28" t="str" cm="1">
        <f t="array" ref="V25">_xll.VAData(va_ticker, V$4, $C25, "VA Actuals", "CD", "IMPL","PreQ", "","")</f>
        <v>-</v>
      </c>
      <c r="W25" s="29" t="str" cm="1">
        <f t="array" ref="W25">_xll.VAData(va_ticker, W$4, $C25, "VA Actuals", "CD", "IMPL","PreQ", "","")</f>
        <v>-</v>
      </c>
      <c r="X25" s="29" t="str" cm="1">
        <f t="array" ref="X25">_xll.VAData(va_ticker, X$4, $C25, "VA Actuals", "CD", "IMPL","PreQ", "","")</f>
        <v>-</v>
      </c>
      <c r="Y25" s="29" t="str" cm="1">
        <f t="array" ref="Y25">_xll.VAData(va_ticker, Y$4, $C25, "VA Actuals", "CD", "IMPL","PreQ", "","")</f>
        <v>-</v>
      </c>
      <c r="Z25" s="29" t="str" cm="1">
        <f t="array" ref="Z25">_xll.VAData(va_ticker, Z$4, $C25, "VA Actuals", "CD", "IMPL","PreQ", "","")</f>
        <v>-</v>
      </c>
      <c r="AA25" s="28" t="str" cm="1">
        <f t="array" ref="AA25">_xll.VAData(va_ticker, AA$4, $C25, "VA Actuals", "CD", "IMPL","PreQ", "","")</f>
        <v>-</v>
      </c>
      <c r="AB25" s="29" t="str" cm="1">
        <f t="array" ref="AB25">_xll.VAData(va_ticker, AB$4, $C25, "VA Actuals", "CD", "IMPL","PreQ", "","")</f>
        <v>-</v>
      </c>
      <c r="AC25" s="29" t="str" cm="1">
        <f t="array" ref="AC25">_xll.VAData(va_ticker, AC$4, $C25, "VA Actuals", "CD", "IMPL","PreQ", "","")</f>
        <v>-</v>
      </c>
      <c r="AD25" s="29" t="str" cm="1">
        <f t="array" ref="AD25">_xll.VAData(va_ticker, AD$4, $C25, "VA Actuals", "CD", "IMPL","PreQ", "","")</f>
        <v>-</v>
      </c>
      <c r="AE25" s="29" t="str" cm="1">
        <f t="array" ref="AE25">_xll.VAData(va_ticker, AE$4, $C25, "VA Actuals", "CD", "IMPL","PreQ", "","")</f>
        <v>-</v>
      </c>
      <c r="AF25" s="28" t="str" cm="1">
        <f t="array" ref="AF25">_xll.VAData(va_ticker, AF$4, $C25, "VA Actuals", "CD", "IMPL","PreQ", "","")</f>
        <v>-</v>
      </c>
      <c r="AG25" s="29" t="str" cm="1">
        <f t="array" ref="AG25">_xll.VAData(va_ticker, AG$4, $C25, "VA Actuals", "CD", "IMPL","PreQ", "","")</f>
        <v>-</v>
      </c>
      <c r="AH25" s="29" t="str" cm="1">
        <f t="array" ref="AH25">_xll.VAData(va_ticker, AH$4, $C25, "VA Actuals", "CD", "IMPL","PreQ", "","")</f>
        <v>-</v>
      </c>
      <c r="AI25" s="29" t="str" cm="1">
        <f t="array" ref="AI25">_xll.VAData(va_ticker, AI$4, $C25, "VA Actuals", "CD", "IMPL","PreQ", "","")</f>
        <v>-</v>
      </c>
      <c r="AJ25" s="29" t="str" cm="1">
        <f t="array" ref="AJ25">_xll.VAData(va_ticker, AJ$4, $C25, "VA Actuals", "CD", "IMPL","PreQ", "","")</f>
        <v>-</v>
      </c>
      <c r="AK25" s="28" t="str" cm="1">
        <f t="array" ref="AK25">_xll.VAData(va_ticker, AK$4, $C25, "VA Actuals", "CD", "IMPL","PreQ", "","")</f>
        <v>-</v>
      </c>
      <c r="AL25" s="29" t="str" cm="1">
        <f t="array" ref="AL25">_xll.VAData(va_ticker, AL$4, $C25, "VA Actuals", "CD", "IMPL","PreQ", "","")</f>
        <v>-</v>
      </c>
      <c r="AM25" s="29" t="str" cm="1">
        <f t="array" ref="AM25">_xll.VAData(va_ticker, AM$4, $C25, "VA Actuals", "CD", "IMPL","PreQ", "","")</f>
        <v>-</v>
      </c>
      <c r="AN25" s="311" cm="1">
        <f t="array" ref="AN25">_xll.VAData("KDP_US", AN$4, $C25, "Consensus", "CD", "IMPL","","")/100</f>
        <v>5.4000000000000006E-2</v>
      </c>
      <c r="AO25" s="312" cm="1">
        <f t="array" ref="AO25">_xll.VAData("KDP_US", AO$4, $C25, "Consensus", "CD", "IMPL","","")/100</f>
        <v>3.4000000000000002E-2</v>
      </c>
      <c r="AP25" s="313" cm="1">
        <f t="array" ref="AP25">_xll.VAData("KDP_US", AP$4, $C25, "Consensus", "CD", "IMPL","","")/100</f>
        <v>8.2084547572143923E-2</v>
      </c>
      <c r="AQ25" s="312" cm="1">
        <f t="array" ref="AQ25">_xll.VAData("KDP_US", AQ$4, $C25, "Consensus", "CD", "IMPL","","")/100</f>
        <v>2.8500000000000001E-2</v>
      </c>
      <c r="AR25" s="312" cm="1">
        <f t="array" ref="AR25">_xll.VAData("KDP_US", AR$4, $C25, "Consensus", "CD", "IMPL","","")/100</f>
        <v>2.9750000000000002E-2</v>
      </c>
      <c r="AS25" s="312" cm="1">
        <f t="array" ref="AS25">_xll.VAData("KDP_US", AS$4, $C25, "Consensus", "CD", "IMPL","","")/100</f>
        <v>2.8549999999999999E-2</v>
      </c>
      <c r="AT25" s="312" cm="1">
        <f t="array" ref="AT25">_xll.VAData("KDP_US", AT$4, $C25, "Consensus", "CD", "IMPL","","")/100</f>
        <v>2.605E-2</v>
      </c>
      <c r="AU25" s="313" cm="1">
        <f t="array" ref="AU25">_xll.VAData("KDP_US", AU$4, $C25, "Consensus", "CD", "IMPL","","")/100</f>
        <v>2.8145383139189791E-2</v>
      </c>
      <c r="AV25" s="312" cm="1">
        <f t="array" ref="AV25">_xll.VAData("KDP_US", AV$4, $C25, "Consensus", "CD", "IMPL","","")/100</f>
        <v>2.1000000000000001E-2</v>
      </c>
      <c r="AW25" s="312" cm="1">
        <f t="array" ref="AW25">_xll.VAData("KDP_US", AW$4, $C25, "Consensus", "CD", "IMPL","","")/100</f>
        <v>2.2499999999999999E-2</v>
      </c>
      <c r="AX25" s="312" cm="1">
        <f t="array" ref="AX25">_xll.VAData("KDP_US", AX$4, $C25, "Consensus", "CD", "IMPL","","")/100</f>
        <v>2.2499999999999999E-2</v>
      </c>
      <c r="AY25" s="312" cm="1">
        <f t="array" ref="AY25">_xll.VAData("KDP_US", AY$4, $C25, "Consensus", "CD", "IMPL","","")/100</f>
        <v>2.2499999999999999E-2</v>
      </c>
      <c r="AZ25" s="313" cm="1">
        <f t="array" ref="AZ25">_xll.VAData("KDP_US", AZ$4, $C25, "Consensus", "CD", "IMPL","","")/100</f>
        <v>2.0946428571428571E-2</v>
      </c>
    </row>
    <row r="26" spans="2:54" s="11" customFormat="1" hidden="1" outlineLevel="1">
      <c r="B26" s="189" t="s">
        <v>459</v>
      </c>
      <c r="C26" s="190" t="s">
        <v>669</v>
      </c>
      <c r="D26" s="190"/>
      <c r="E26" s="191"/>
      <c r="F26" s="192"/>
      <c r="G26" s="192"/>
      <c r="H26" s="193"/>
      <c r="I26" s="193"/>
      <c r="J26" s="193"/>
      <c r="K26" s="193"/>
      <c r="L26" s="192"/>
      <c r="M26" s="193"/>
      <c r="N26" s="193"/>
      <c r="O26" s="193">
        <f t="shared" ref="O26:AL26" si="53">O22+O24</f>
        <v>4.2000000000000003E-2</v>
      </c>
      <c r="P26" s="193">
        <f t="shared" si="53"/>
        <v>4.65E-2</v>
      </c>
      <c r="Q26" s="192">
        <f t="shared" si="53"/>
        <v>4.5499999999999999E-2</v>
      </c>
      <c r="R26" s="193">
        <f t="shared" si="53"/>
        <v>3.2500000000000001E-2</v>
      </c>
      <c r="S26" s="193">
        <f t="shared" si="53"/>
        <v>2.1499999999999998E-2</v>
      </c>
      <c r="T26" s="193">
        <f t="shared" si="53"/>
        <v>5.9499999999999997E-2</v>
      </c>
      <c r="U26" s="193">
        <f t="shared" si="53"/>
        <v>5.7500000000000002E-2</v>
      </c>
      <c r="V26" s="192">
        <f t="shared" si="53"/>
        <v>4.3499999999999997E-2</v>
      </c>
      <c r="W26" s="193">
        <f t="shared" si="53"/>
        <v>4.9000000000000002E-2</v>
      </c>
      <c r="X26" s="193">
        <f t="shared" si="53"/>
        <v>-4.9500000000000002E-2</v>
      </c>
      <c r="Y26" s="193">
        <f t="shared" si="53"/>
        <v>4.2500000000000003E-2</v>
      </c>
      <c r="Z26" s="193">
        <f t="shared" si="53"/>
        <v>1.0500000000000001E-2</v>
      </c>
      <c r="AA26" s="192">
        <f t="shared" si="53"/>
        <v>1.15E-2</v>
      </c>
      <c r="AB26" s="193">
        <f t="shared" si="53"/>
        <v>6.7000000000000004E-2</v>
      </c>
      <c r="AC26" s="193">
        <f t="shared" si="53"/>
        <v>9.6000000000000002E-2</v>
      </c>
      <c r="AD26" s="193">
        <f t="shared" si="53"/>
        <v>7.9000000000000001E-2</v>
      </c>
      <c r="AE26" s="193">
        <f t="shared" si="53"/>
        <v>0.15699999999999997</v>
      </c>
      <c r="AF26" s="192">
        <f t="shared" si="53"/>
        <v>0.1</v>
      </c>
      <c r="AG26" s="193">
        <f t="shared" si="53"/>
        <v>0.128</v>
      </c>
      <c r="AH26" s="193">
        <f t="shared" si="53"/>
        <v>0.153</v>
      </c>
      <c r="AI26" s="193">
        <f t="shared" si="53"/>
        <v>0.14400000000000002</v>
      </c>
      <c r="AJ26" s="193">
        <f t="shared" si="53"/>
        <v>0.11499999999999999</v>
      </c>
      <c r="AK26" s="192">
        <f t="shared" si="53"/>
        <v>0.13500000000000001</v>
      </c>
      <c r="AL26" s="193">
        <f t="shared" si="53"/>
        <v>0.127</v>
      </c>
      <c r="AM26" s="193">
        <f>AM22+AM24</f>
        <v>0.11799999999999999</v>
      </c>
      <c r="AN26" s="193">
        <f>AN22+AN24</f>
        <v>0.09</v>
      </c>
      <c r="AO26" s="193">
        <f>AO22+AO24</f>
        <v>6.9999999999999993E-2</v>
      </c>
      <c r="AP26" s="240">
        <f>AVERAGE(AL26:AO26)</f>
        <v>0.10124999999999999</v>
      </c>
      <c r="AQ26" s="193">
        <f t="shared" ref="AQ26:AT26" si="54">AQ22+AQ24</f>
        <v>0.05</v>
      </c>
      <c r="AR26" s="193">
        <f t="shared" si="54"/>
        <v>0.04</v>
      </c>
      <c r="AS26" s="193">
        <f t="shared" si="54"/>
        <v>0.03</v>
      </c>
      <c r="AT26" s="193">
        <f t="shared" si="54"/>
        <v>0.03</v>
      </c>
      <c r="AU26" s="240">
        <f>AVERAGE(AQ26:AT26)</f>
        <v>3.7499999999999999E-2</v>
      </c>
      <c r="AV26" s="193">
        <f t="shared" ref="AV26" si="55">AV22+AV24</f>
        <v>0.03</v>
      </c>
      <c r="AW26" s="193">
        <f t="shared" ref="AW26" si="56">AW22+AW24</f>
        <v>0.03</v>
      </c>
      <c r="AX26" s="193">
        <f t="shared" ref="AX26" si="57">AX22+AX24</f>
        <v>0.03</v>
      </c>
      <c r="AY26" s="193">
        <f t="shared" ref="AY26" si="58">AY22+AY24</f>
        <v>0.03</v>
      </c>
      <c r="AZ26" s="240">
        <f>AVERAGE(AV26:AY26)</f>
        <v>0.03</v>
      </c>
      <c r="BB26" s="257"/>
    </row>
    <row r="27" spans="2:54" s="11" customFormat="1" ht="15" collapsed="1" thickBot="1">
      <c r="B27" s="398"/>
      <c r="C27" s="399"/>
      <c r="D27" s="399"/>
      <c r="E27" s="400"/>
      <c r="F27" s="401"/>
      <c r="G27" s="401"/>
      <c r="H27" s="401"/>
      <c r="I27" s="401"/>
      <c r="J27" s="401"/>
      <c r="K27" s="401"/>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1"/>
      <c r="AO27" s="401"/>
      <c r="AP27" s="402"/>
      <c r="AQ27" s="401"/>
      <c r="AR27" s="401"/>
      <c r="AS27" s="401"/>
      <c r="AT27" s="401"/>
      <c r="AU27" s="402"/>
      <c r="AV27" s="401"/>
      <c r="AW27" s="401"/>
      <c r="AX27" s="401"/>
      <c r="AY27" s="401"/>
      <c r="AZ27" s="402"/>
      <c r="BB27" s="257"/>
    </row>
    <row r="28" spans="2:54" s="181" customFormat="1">
      <c r="B28" s="10" t="s">
        <v>740</v>
      </c>
      <c r="C28" s="10" t="s">
        <v>53</v>
      </c>
      <c r="D28" s="10"/>
      <c r="E28" s="16"/>
      <c r="F28" s="16"/>
      <c r="G28" s="16"/>
      <c r="H28" s="17"/>
      <c r="I28" s="17"/>
      <c r="J28" s="17"/>
      <c r="K28" s="17"/>
      <c r="L28" s="16"/>
      <c r="M28" s="17"/>
      <c r="N28" s="17"/>
      <c r="O28" s="17">
        <f t="shared" ref="O28:AA28" si="59">O65*O76</f>
        <v>905.58</v>
      </c>
      <c r="P28" s="17">
        <f t="shared" si="59"/>
        <v>1001.04</v>
      </c>
      <c r="Q28" s="16">
        <f>Q65*Q76</f>
        <v>3538.04</v>
      </c>
      <c r="R28" s="17">
        <f t="shared" si="59"/>
        <v>832.48</v>
      </c>
      <c r="S28" s="17">
        <f t="shared" si="59"/>
        <v>851.4</v>
      </c>
      <c r="T28" s="17">
        <f t="shared" si="59"/>
        <v>915.9</v>
      </c>
      <c r="U28" s="17">
        <f t="shared" si="59"/>
        <v>1040.5999999999999</v>
      </c>
      <c r="V28" s="16">
        <f t="shared" si="59"/>
        <v>3640.38</v>
      </c>
      <c r="W28" s="17">
        <f t="shared" si="59"/>
        <v>836.78</v>
      </c>
      <c r="X28" s="17">
        <f t="shared" si="59"/>
        <v>896.98</v>
      </c>
      <c r="Y28" s="17">
        <f t="shared" si="59"/>
        <v>943.42</v>
      </c>
      <c r="Z28" s="17">
        <f t="shared" si="59"/>
        <v>1135.2</v>
      </c>
      <c r="AA28" s="16">
        <f t="shared" si="59"/>
        <v>3812.38</v>
      </c>
      <c r="AB28" s="581">
        <v>997</v>
      </c>
      <c r="AC28" s="581">
        <v>955</v>
      </c>
      <c r="AD28" s="581">
        <v>1002</v>
      </c>
      <c r="AE28" s="581">
        <v>1135</v>
      </c>
      <c r="AF28" s="582">
        <v>4089</v>
      </c>
      <c r="AG28" s="494">
        <f>AG29+AG36+AG43</f>
        <v>943</v>
      </c>
      <c r="AH28" s="494">
        <f>AH29+AH36+AH43</f>
        <v>1029</v>
      </c>
      <c r="AI28" s="581">
        <v>1045</v>
      </c>
      <c r="AJ28" s="581">
        <v>1285</v>
      </c>
      <c r="AK28" s="16">
        <f>SUM(AG28:AJ28)</f>
        <v>4302</v>
      </c>
      <c r="AL28" s="17">
        <f>AL29+AL36+AL43</f>
        <v>931</v>
      </c>
      <c r="AM28" s="17">
        <f>AM29+AM36+AM43</f>
        <v>970</v>
      </c>
      <c r="AN28" s="17">
        <f>AN29+AN36+AN43</f>
        <v>991.01738957794623</v>
      </c>
      <c r="AO28" s="17">
        <f>AO29+AO36+AO43</f>
        <v>1216.0398870812553</v>
      </c>
      <c r="AP28" s="204">
        <f>SUM(AL28:AO28)</f>
        <v>4108.0572766592013</v>
      </c>
      <c r="AQ28" s="17">
        <f>AQ29+AQ36+AQ43</f>
        <v>873.76122944567669</v>
      </c>
      <c r="AR28" s="17">
        <f>AR29+AR36+AR43</f>
        <v>949.5316142998737</v>
      </c>
      <c r="AS28" s="17">
        <f>AS29+AS36+AS43</f>
        <v>964.40290853992235</v>
      </c>
      <c r="AT28" s="17">
        <f>AT29+AT36+AT43</f>
        <v>1181.7519925763725</v>
      </c>
      <c r="AU28" s="204">
        <f>SUM(AQ28:AT28)</f>
        <v>3969.4477448618454</v>
      </c>
      <c r="AV28" s="17">
        <f>AV29+AV36+AV43</f>
        <v>853.97051392763603</v>
      </c>
      <c r="AW28" s="17">
        <f>AW29+AW36+AW43</f>
        <v>927.93696002990077</v>
      </c>
      <c r="AX28" s="17">
        <f>AX29+AX36+AX43</f>
        <v>943.12186262672708</v>
      </c>
      <c r="AY28" s="17">
        <f>AY29+AY36+AY43</f>
        <v>1155.6651301408094</v>
      </c>
      <c r="AZ28" s="204">
        <f>SUM(AV28:AY28)</f>
        <v>3880.6944667250727</v>
      </c>
      <c r="BB28" s="20"/>
    </row>
    <row r="29" spans="2:54">
      <c r="B29" s="7" t="s">
        <v>874</v>
      </c>
      <c r="C29" s="6" t="s">
        <v>270</v>
      </c>
      <c r="D29" s="6"/>
      <c r="E29" s="14"/>
      <c r="F29" s="28"/>
      <c r="G29" s="28"/>
      <c r="H29" s="29"/>
      <c r="I29" s="29"/>
      <c r="J29" s="53"/>
      <c r="K29" s="29"/>
      <c r="L29" s="28"/>
      <c r="M29" s="53"/>
      <c r="N29" s="53"/>
      <c r="O29" s="439">
        <f>O28*O79</f>
        <v>674.37125178047756</v>
      </c>
      <c r="P29" s="439">
        <f>P28*P79</f>
        <v>735.83035244708083</v>
      </c>
      <c r="Q29" s="438"/>
      <c r="R29" s="439">
        <f>R28*R79</f>
        <v>654.73250197483424</v>
      </c>
      <c r="S29" s="439">
        <f>S28*S79</f>
        <v>644.40942346060444</v>
      </c>
      <c r="T29" s="439">
        <f>T28*T79</f>
        <v>682.05639425091033</v>
      </c>
      <c r="U29" s="439">
        <f>U28*U79</f>
        <v>764.9095588152644</v>
      </c>
      <c r="V29" s="438">
        <f>SUM(R29:U29)</f>
        <v>2746.1078785016134</v>
      </c>
      <c r="W29" s="439">
        <f>W28*W79</f>
        <v>658.11438473296869</v>
      </c>
      <c r="X29" s="439">
        <f>X28*X79</f>
        <v>678.90810976708121</v>
      </c>
      <c r="Y29" s="439">
        <f>Y28*Y79</f>
        <v>702.55010750539782</v>
      </c>
      <c r="Z29" s="439">
        <f>Z28*Z79</f>
        <v>834.44679143483393</v>
      </c>
      <c r="AA29" s="438">
        <f>SUM(W29:Z29)</f>
        <v>2874.0193934402819</v>
      </c>
      <c r="AB29" s="439">
        <f>AB28*AB79</f>
        <v>788.34588441330993</v>
      </c>
      <c r="AC29" s="439">
        <f>AC28*AC79</f>
        <v>720.80381471389649</v>
      </c>
      <c r="AD29" s="439">
        <f>AD28*AD79</f>
        <v>735.6675324675324</v>
      </c>
      <c r="AE29" s="439">
        <f>AE28*AE79</f>
        <v>830.15174506828521</v>
      </c>
      <c r="AF29" s="438">
        <f>SUM(AB29:AE29)</f>
        <v>3074.9689766630245</v>
      </c>
      <c r="AG29" s="583">
        <v>749</v>
      </c>
      <c r="AH29" s="583">
        <v>798</v>
      </c>
      <c r="AI29" s="439">
        <f>AI28*AI79</f>
        <v>789.15219189412744</v>
      </c>
      <c r="AJ29" s="439">
        <f>AJ28*AJ79</f>
        <v>949.25589225589215</v>
      </c>
      <c r="AK29" s="438">
        <f>SUM(AG29:AJ29)</f>
        <v>3285.4080841500199</v>
      </c>
      <c r="AL29" s="583">
        <v>771</v>
      </c>
      <c r="AM29" s="583">
        <v>761</v>
      </c>
      <c r="AN29" s="15">
        <f>AN32*AN34</f>
        <v>762.87492950712021</v>
      </c>
      <c r="AO29" s="15">
        <f t="shared" ref="AO29" si="60">AO32*AO34</f>
        <v>917.64748210454945</v>
      </c>
      <c r="AP29" s="244">
        <f>SUM(AL29:AO29)</f>
        <v>3212.5224116116697</v>
      </c>
      <c r="AQ29" s="15">
        <f t="shared" ref="AQ29:AT29" si="61">AQ32*AQ34</f>
        <v>713.65291536449217</v>
      </c>
      <c r="AR29" s="15">
        <f t="shared" si="61"/>
        <v>760.34048926684204</v>
      </c>
      <c r="AS29" s="15">
        <f t="shared" si="61"/>
        <v>751.91023018894953</v>
      </c>
      <c r="AT29" s="15">
        <f t="shared" si="61"/>
        <v>904.45825759057379</v>
      </c>
      <c r="AU29" s="244">
        <f>SUM(AQ29:AT29)</f>
        <v>3130.3618924108573</v>
      </c>
      <c r="AV29" s="15">
        <f t="shared" ref="AV29:AY29" si="62">AV32*AV34</f>
        <v>696.64441249811819</v>
      </c>
      <c r="AW29" s="15">
        <f t="shared" si="62"/>
        <v>742.21928060547168</v>
      </c>
      <c r="AX29" s="15">
        <f t="shared" si="62"/>
        <v>733.98994004497547</v>
      </c>
      <c r="AY29" s="15">
        <f t="shared" si="62"/>
        <v>882.90228754470365</v>
      </c>
      <c r="AZ29" s="244">
        <f>SUM(AV29:AY29)</f>
        <v>3055.7559206932688</v>
      </c>
    </row>
    <row r="30" spans="2:54" s="441" customFormat="1" hidden="1" outlineLevel="1">
      <c r="B30" s="435" t="s">
        <v>875</v>
      </c>
      <c r="C30" s="436"/>
      <c r="D30" s="436"/>
      <c r="E30" s="437"/>
      <c r="F30" s="438"/>
      <c r="G30" s="438"/>
      <c r="H30" s="439"/>
      <c r="I30" s="439"/>
      <c r="J30" s="439"/>
      <c r="K30" s="439"/>
      <c r="L30" s="438"/>
      <c r="M30" s="439"/>
      <c r="N30" s="439"/>
      <c r="O30" s="439"/>
      <c r="P30" s="434"/>
      <c r="Q30" s="440"/>
      <c r="R30" s="434"/>
      <c r="S30" s="434"/>
      <c r="T30" s="434">
        <f t="shared" ref="T30:AK30" si="63">T29/O29-1</f>
        <v>1.139601139601143E-2</v>
      </c>
      <c r="U30" s="434">
        <f t="shared" si="63"/>
        <v>3.9518900343642471E-2</v>
      </c>
      <c r="V30" s="440"/>
      <c r="W30" s="434">
        <f t="shared" si="63"/>
        <v>5.1652892561984132E-3</v>
      </c>
      <c r="X30" s="434">
        <f t="shared" si="63"/>
        <v>5.3535353535353547E-2</v>
      </c>
      <c r="Y30" s="434">
        <f t="shared" si="63"/>
        <v>3.0046948356807546E-2</v>
      </c>
      <c r="Z30" s="434">
        <f t="shared" si="63"/>
        <v>9.090909090909105E-2</v>
      </c>
      <c r="AA30" s="440">
        <f t="shared" si="63"/>
        <v>4.6579202492387894E-2</v>
      </c>
      <c r="AB30" s="434">
        <f t="shared" si="63"/>
        <v>0.19788581240810132</v>
      </c>
      <c r="AC30" s="434">
        <f t="shared" si="63"/>
        <v>6.1710420518012121E-2</v>
      </c>
      <c r="AD30" s="434">
        <f t="shared" si="63"/>
        <v>4.7138879644794685E-2</v>
      </c>
      <c r="AE30" s="434">
        <f t="shared" si="63"/>
        <v>-5.1471782390862808E-3</v>
      </c>
      <c r="AF30" s="440">
        <f t="shared" si="63"/>
        <v>6.9919355339561617E-2</v>
      </c>
      <c r="AG30" s="434">
        <f t="shared" si="63"/>
        <v>-4.9909418177011555E-2</v>
      </c>
      <c r="AH30" s="434">
        <f t="shared" si="63"/>
        <v>0.1070973595176441</v>
      </c>
      <c r="AI30" s="434">
        <f>AI29/AD29-1</f>
        <v>7.2702215424948813E-2</v>
      </c>
      <c r="AJ30" s="434">
        <f>AJ29/AE29-1</f>
        <v>0.14347274205610439</v>
      </c>
      <c r="AK30" s="440">
        <f t="shared" si="63"/>
        <v>6.8436172554613872E-2</v>
      </c>
      <c r="AL30" s="434">
        <f t="shared" ref="AL30" si="64">AL29/AG29-1</f>
        <v>2.9372496662216196E-2</v>
      </c>
      <c r="AM30" s="434">
        <f t="shared" ref="AM30" si="65">AM29/AH29-1</f>
        <v>-4.6365914786967388E-2</v>
      </c>
      <c r="AN30" s="243">
        <f>AN29/AI29-1</f>
        <v>-3.3298092125850109E-2</v>
      </c>
      <c r="AO30" s="243">
        <f>AO29/AJ29-1</f>
        <v>-3.3298092125850109E-2</v>
      </c>
      <c r="AP30" s="445">
        <f t="shared" ref="AP30" si="66">AP29/AK29-1</f>
        <v>-2.2184663418214789E-2</v>
      </c>
      <c r="AQ30" s="434">
        <f t="shared" ref="AQ30:AY30" si="67">AQ29/AL29-1</f>
        <v>-7.4380135714017914E-2</v>
      </c>
      <c r="AR30" s="434">
        <f t="shared" si="67"/>
        <v>-8.6663696867006479E-4</v>
      </c>
      <c r="AS30" s="434">
        <f t="shared" si="67"/>
        <v>-1.4372866238054005E-2</v>
      </c>
      <c r="AT30" s="434">
        <f t="shared" si="67"/>
        <v>-1.4372866238053894E-2</v>
      </c>
      <c r="AU30" s="445">
        <f t="shared" ref="AU30" si="68">AU29/AP29-1</f>
        <v>-2.5575080473786871E-2</v>
      </c>
      <c r="AV30" s="434">
        <f t="shared" si="67"/>
        <v>-2.3833018124345573E-2</v>
      </c>
      <c r="AW30" s="434">
        <f t="shared" si="67"/>
        <v>-2.3833018124345462E-2</v>
      </c>
      <c r="AX30" s="434">
        <f t="shared" si="67"/>
        <v>-2.3833018124345573E-2</v>
      </c>
      <c r="AY30" s="434">
        <f t="shared" si="67"/>
        <v>-2.3833018124345573E-2</v>
      </c>
      <c r="AZ30" s="445">
        <f t="shared" ref="AZ30" si="69">AZ29/AU29-1</f>
        <v>-2.3833018124345573E-2</v>
      </c>
    </row>
    <row r="31" spans="2:54" hidden="1" outlineLevel="1">
      <c r="B31" s="432" t="s">
        <v>876</v>
      </c>
      <c r="C31" s="6"/>
      <c r="D31" s="6"/>
      <c r="E31" s="14"/>
      <c r="F31" s="28"/>
      <c r="G31" s="28"/>
      <c r="H31" s="29"/>
      <c r="I31" s="29"/>
      <c r="J31" s="53"/>
      <c r="K31" s="29"/>
      <c r="L31" s="28"/>
      <c r="M31" s="53"/>
      <c r="N31" s="53"/>
      <c r="O31" s="53"/>
      <c r="P31" s="19"/>
      <c r="Q31" s="433"/>
      <c r="R31" s="434">
        <f>R29/V29</f>
        <v>0.23842198884483828</v>
      </c>
      <c r="S31" s="434">
        <f>S29/V29</f>
        <v>0.23466282169956851</v>
      </c>
      <c r="T31" s="434">
        <f>T29/V29</f>
        <v>0.24837203213701409</v>
      </c>
      <c r="U31" s="434">
        <f>U29/V29</f>
        <v>0.27854315731857909</v>
      </c>
      <c r="V31" s="440">
        <f>V29/V29</f>
        <v>1</v>
      </c>
      <c r="W31" s="434">
        <f>W29/AA29</f>
        <v>0.22898745437663429</v>
      </c>
      <c r="X31" s="434">
        <f>X29/AA29</f>
        <v>0.2362225221293337</v>
      </c>
      <c r="Y31" s="434">
        <f>Y29/AA29</f>
        <v>0.24444863145631932</v>
      </c>
      <c r="Z31" s="434">
        <f>Z29/AA29</f>
        <v>0.29034139203771264</v>
      </c>
      <c r="AA31" s="440">
        <f>AA29/AA29</f>
        <v>1</v>
      </c>
      <c r="AB31" s="434">
        <f>AB29/AF29</f>
        <v>0.2563752318791937</v>
      </c>
      <c r="AC31" s="434">
        <f>AC29/AF29</f>
        <v>0.23441010956023278</v>
      </c>
      <c r="AD31" s="434">
        <f>AD29/AF29</f>
        <v>0.23924388767846477</v>
      </c>
      <c r="AE31" s="434">
        <f>AE29/AF29</f>
        <v>0.26997077088210858</v>
      </c>
      <c r="AF31" s="440">
        <f>AF29/AF29</f>
        <v>1</v>
      </c>
      <c r="AG31" s="434">
        <f>AG29/AK29</f>
        <v>0.22797776739317197</v>
      </c>
      <c r="AH31" s="434">
        <f>AH29/AK29</f>
        <v>0.24289220077403367</v>
      </c>
      <c r="AI31" s="434">
        <f>AI29/AK29</f>
        <v>0.24019913864012177</v>
      </c>
      <c r="AJ31" s="434">
        <f>AJ29/AK29</f>
        <v>0.28893089319267251</v>
      </c>
      <c r="AK31" s="440">
        <f>AK29/AK29</f>
        <v>1</v>
      </c>
      <c r="AL31" s="434">
        <f>AL29/AP29</f>
        <v>0.23999832568115906</v>
      </c>
      <c r="AM31" s="434">
        <f>AM29/AP29</f>
        <v>0.23688550693043067</v>
      </c>
      <c r="AN31" s="434">
        <f>AN29/AP29</f>
        <v>0.23746913850303644</v>
      </c>
      <c r="AO31" s="434">
        <f>AO29/AP29</f>
        <v>0.28564702888537385</v>
      </c>
      <c r="AP31" s="237">
        <f>SUM(AL31:AO31)</f>
        <v>1</v>
      </c>
      <c r="AQ31" s="434">
        <f>AQ29/AU29</f>
        <v>0.22797776739317202</v>
      </c>
      <c r="AR31" s="434">
        <f>AR29/AU29</f>
        <v>0.2428922007740337</v>
      </c>
      <c r="AS31" s="434">
        <f>AS29/AU29</f>
        <v>0.2401991386401218</v>
      </c>
      <c r="AT31" s="434">
        <f>AT29/AU29</f>
        <v>0.28893089319267257</v>
      </c>
      <c r="AU31" s="237">
        <f>SUM(AQ31:AT31)</f>
        <v>1</v>
      </c>
      <c r="AV31" s="434">
        <f>AV29/AZ29</f>
        <v>0.22797776739317199</v>
      </c>
      <c r="AW31" s="434">
        <f>AW29/AZ29</f>
        <v>0.2428922007740337</v>
      </c>
      <c r="AX31" s="434">
        <f>AX29/AZ29</f>
        <v>0.2401991386401218</v>
      </c>
      <c r="AY31" s="434">
        <f>AY29/AZ29</f>
        <v>0.28893089319267257</v>
      </c>
      <c r="AZ31" s="237">
        <f>SUM(AV31:AY31)</f>
        <v>1</v>
      </c>
    </row>
    <row r="32" spans="2:54" hidden="1" outlineLevel="1">
      <c r="B32" s="432" t="s">
        <v>869</v>
      </c>
      <c r="C32" s="6"/>
      <c r="D32" s="6"/>
      <c r="E32" s="14"/>
      <c r="F32" s="28"/>
      <c r="G32" s="28"/>
      <c r="H32" s="29"/>
      <c r="I32" s="29"/>
      <c r="J32" s="53"/>
      <c r="K32" s="29"/>
      <c r="L32" s="28"/>
      <c r="M32" s="53"/>
      <c r="N32" s="53"/>
      <c r="O32" s="53"/>
      <c r="P32" s="19"/>
      <c r="Q32" s="438">
        <f>'Coffee Market TAM (new)'!R53</f>
        <v>13380.573317871093</v>
      </c>
      <c r="R32" s="439">
        <f>R31*V32</f>
        <v>3463.2152820857168</v>
      </c>
      <c r="S32" s="439">
        <f>S31*V32</f>
        <v>3408.611236676611</v>
      </c>
      <c r="T32" s="439">
        <f>T31*V32</f>
        <v>3607.7453321613548</v>
      </c>
      <c r="U32" s="439">
        <f>U31*V32</f>
        <v>4045.9981221526218</v>
      </c>
      <c r="V32" s="438">
        <f>'Coffee Market TAM (new)'!S53</f>
        <v>14525.569973076304</v>
      </c>
      <c r="W32" s="439">
        <f>W31*AA32</f>
        <v>3565.4345445211861</v>
      </c>
      <c r="X32" s="439">
        <f>X31*AA32</f>
        <v>3678.0877052266487</v>
      </c>
      <c r="Y32" s="439">
        <f>Y31*AA32</f>
        <v>3806.1718155168201</v>
      </c>
      <c r="Z32" s="439">
        <f>Z31*AA32</f>
        <v>4520.7421152993065</v>
      </c>
      <c r="AA32" s="438">
        <f>'Coffee Market TAM (new)'!T53</f>
        <v>15570.436180563962</v>
      </c>
      <c r="AB32" s="439">
        <f>AB31*AF32</f>
        <v>4203.4665006066361</v>
      </c>
      <c r="AC32" s="439">
        <f>AC31*AF32</f>
        <v>3843.3316499320363</v>
      </c>
      <c r="AD32" s="439">
        <f>AD31*AF32</f>
        <v>3922.5851107379845</v>
      </c>
      <c r="AE32" s="439">
        <f>AE31*AF32</f>
        <v>4426.3756807858372</v>
      </c>
      <c r="AF32" s="438">
        <f>'Coffee Market TAM (new)'!U53</f>
        <v>16395.758942062497</v>
      </c>
      <c r="AG32" s="439">
        <f>AG31*AK32</f>
        <v>3810.897816380073</v>
      </c>
      <c r="AH32" s="439">
        <f>AH31*AK32</f>
        <v>4060.2088884797035</v>
      </c>
      <c r="AI32" s="439">
        <f>AI31*AK32</f>
        <v>4015.1914083856859</v>
      </c>
      <c r="AJ32" s="439">
        <f>AJ31*AK32</f>
        <v>4829.7960039838417</v>
      </c>
      <c r="AK32" s="438">
        <f>'Coffee Market TAM (new)'!V53</f>
        <v>16716.094117229306</v>
      </c>
      <c r="AL32" s="439">
        <f>(AL33+1)*AG32</f>
        <v>3684.0021898080481</v>
      </c>
      <c r="AM32" s="439">
        <f t="shared" ref="AM32" si="70">(AM33+1)*AH32</f>
        <v>3925.0116788609107</v>
      </c>
      <c r="AN32" s="439">
        <f>(AN33+1)*AI32</f>
        <v>3881.4931949663373</v>
      </c>
      <c r="AO32" s="439">
        <f>(AO33+1)*AJ32</f>
        <v>4668.9730116941255</v>
      </c>
      <c r="AP32" s="618">
        <f>SUM(AL32:AO32)</f>
        <v>16159.480075329422</v>
      </c>
      <c r="AQ32" s="439">
        <f>(AQ33+1)*AL32</f>
        <v>3673.7707840439834</v>
      </c>
      <c r="AR32" s="439">
        <f>(AR33+1)*AM32</f>
        <v>3914.1109287945242</v>
      </c>
      <c r="AS32" s="439">
        <f>(AS33+1)*AN32</f>
        <v>3870.7133067355367</v>
      </c>
      <c r="AT32" s="439">
        <f>(AT33+1)*AO32</f>
        <v>4656.00609285888</v>
      </c>
      <c r="AU32" s="618">
        <f>SUM(AQ32:AT32)</f>
        <v>16114.601112432923</v>
      </c>
      <c r="AV32" s="439">
        <f>(AV33+1)*AQ32</f>
        <v>3628.9067590579716</v>
      </c>
      <c r="AW32" s="439">
        <f>(AW33+1)*AR32</f>
        <v>3866.3118741365302</v>
      </c>
      <c r="AX32" s="439">
        <f>(AX33+1)*AS32</f>
        <v>3823.4442230841291</v>
      </c>
      <c r="AY32" s="439">
        <f>(AY33+1)*AT32</f>
        <v>4599.1470273471477</v>
      </c>
      <c r="AZ32" s="618">
        <f>SUM(AV32:AY32)</f>
        <v>15917.809883625778</v>
      </c>
    </row>
    <row r="33" spans="1:54" hidden="1" outlineLevel="1">
      <c r="B33" s="604" t="s">
        <v>870</v>
      </c>
      <c r="C33" s="6"/>
      <c r="D33" s="6"/>
      <c r="E33" s="14"/>
      <c r="F33" s="28"/>
      <c r="G33" s="28"/>
      <c r="H33" s="29"/>
      <c r="I33" s="29"/>
      <c r="J33" s="53"/>
      <c r="K33" s="29"/>
      <c r="L33" s="28"/>
      <c r="M33" s="53"/>
      <c r="N33" s="53"/>
      <c r="O33" s="53"/>
      <c r="P33" s="19"/>
      <c r="Q33" s="433"/>
      <c r="R33" s="434"/>
      <c r="S33" s="434"/>
      <c r="T33" s="434"/>
      <c r="U33" s="434"/>
      <c r="V33" s="440">
        <f t="shared" ref="V33:W33" si="71">V32/Q32-1</f>
        <v>8.5571569170056039E-2</v>
      </c>
      <c r="W33" s="434">
        <f t="shared" si="71"/>
        <v>2.9515711299907377E-2</v>
      </c>
      <c r="X33" s="434">
        <f t="shared" ref="X33:Y33" si="72">X32/S32-1</f>
        <v>7.9057554481565484E-2</v>
      </c>
      <c r="Y33" s="434">
        <f t="shared" si="72"/>
        <v>5.5000135842900644E-2</v>
      </c>
      <c r="Z33" s="434">
        <f t="shared" ref="Z33" si="73">Z32/U32-1</f>
        <v>0.11733668153412369</v>
      </c>
      <c r="AA33" s="440">
        <f t="shared" ref="AA33" si="74">AA32/V32-1</f>
        <v>7.1932888652518123E-2</v>
      </c>
      <c r="AB33" s="434">
        <f t="shared" ref="AB33" si="75">AB32/W32-1</f>
        <v>0.17894928321314429</v>
      </c>
      <c r="AC33" s="434">
        <f t="shared" ref="AC33" si="76">AC32/X32-1</f>
        <v>4.4926591736943022E-2</v>
      </c>
      <c r="AD33" s="434">
        <f t="shared" ref="AD33" si="77">AD32/Y32-1</f>
        <v>3.0585402042697218E-2</v>
      </c>
      <c r="AE33" s="434">
        <f t="shared" ref="AE33" si="78">AE32/Z32-1</f>
        <v>-2.0874102549249596E-2</v>
      </c>
      <c r="AF33" s="440">
        <f t="shared" ref="AF33" si="79">AF32/AA32-1</f>
        <v>5.3005757316468616E-2</v>
      </c>
      <c r="AG33" s="434">
        <f t="shared" ref="AG33" si="80">AG32/AB32-1</f>
        <v>-9.3391652858398788E-2</v>
      </c>
      <c r="AH33" s="434">
        <f t="shared" ref="AH33" si="81">AH32/AC32-1</f>
        <v>5.6429488345483447E-2</v>
      </c>
      <c r="AI33" s="434">
        <f>AI32/AD32-1</f>
        <v>2.3608486504013371E-2</v>
      </c>
      <c r="AJ33" s="434">
        <f t="shared" ref="AJ33" si="82">AJ32/AE32-1</f>
        <v>9.1140100228994436E-2</v>
      </c>
      <c r="AK33" s="440">
        <f t="shared" ref="AK33" si="83">AK32/AF32-1</f>
        <v>1.9537685098858448E-2</v>
      </c>
      <c r="AL33" s="613">
        <f>'Coffee Market TAM (new)'!$W$57</f>
        <v>-3.3298092125850109E-2</v>
      </c>
      <c r="AM33" s="613">
        <f>'Coffee Market TAM (new)'!$W$57</f>
        <v>-3.3298092125850109E-2</v>
      </c>
      <c r="AN33" s="613">
        <f>'Coffee Market TAM (new)'!$W$57</f>
        <v>-3.3298092125850109E-2</v>
      </c>
      <c r="AO33" s="613">
        <f>'Coffee Market TAM (new)'!$W$57</f>
        <v>-3.3298092125850109E-2</v>
      </c>
      <c r="AP33" s="614">
        <f>'Coffee Market TAM (new)'!$W$57</f>
        <v>-3.3298092125850109E-2</v>
      </c>
      <c r="AQ33" s="613">
        <f>'Coffee Market TAM (new)'!$X$57</f>
        <v>-2.7772528996780066E-3</v>
      </c>
      <c r="AR33" s="613">
        <f>'Coffee Market TAM (new)'!$X$57</f>
        <v>-2.7772528996780066E-3</v>
      </c>
      <c r="AS33" s="613">
        <f>'Coffee Market TAM (new)'!$X$57</f>
        <v>-2.7772528996780066E-3</v>
      </c>
      <c r="AT33" s="613">
        <f>'Coffee Market TAM (new)'!$X$57</f>
        <v>-2.7772528996780066E-3</v>
      </c>
      <c r="AU33" s="614">
        <f>'Coffee Market TAM (new)'!$X$57</f>
        <v>-2.7772528996780066E-3</v>
      </c>
      <c r="AV33" s="613">
        <f>'Coffee Market TAM (new)'!$Y$57</f>
        <v>-1.2211982625825901E-2</v>
      </c>
      <c r="AW33" s="613">
        <f>'Coffee Market TAM (new)'!$Y$57</f>
        <v>-1.2211982625825901E-2</v>
      </c>
      <c r="AX33" s="613">
        <f>'Coffee Market TAM (new)'!$Y$57</f>
        <v>-1.2211982625825901E-2</v>
      </c>
      <c r="AY33" s="613">
        <f>'Coffee Market TAM (new)'!$Y$57</f>
        <v>-1.2211982625825901E-2</v>
      </c>
      <c r="AZ33" s="614">
        <f>'Coffee Market TAM (new)'!$Y$57</f>
        <v>-1.2211982625825901E-2</v>
      </c>
    </row>
    <row r="34" spans="1:54" hidden="1" outlineLevel="1">
      <c r="B34" s="432" t="s">
        <v>881</v>
      </c>
      <c r="C34" s="6"/>
      <c r="D34" s="6"/>
      <c r="E34" s="14"/>
      <c r="F34" s="28"/>
      <c r="G34" s="28"/>
      <c r="H34" s="29"/>
      <c r="I34" s="29"/>
      <c r="J34" s="53"/>
      <c r="K34" s="29"/>
      <c r="L34" s="28"/>
      <c r="M34" s="53"/>
      <c r="N34" s="53"/>
      <c r="O34" s="53"/>
      <c r="P34" s="19"/>
      <c r="Q34" s="606"/>
      <c r="R34" s="605">
        <f t="shared" ref="R34:AI34" si="84">R29/R32</f>
        <v>0.18905336476238996</v>
      </c>
      <c r="S34" s="605">
        <f t="shared" si="84"/>
        <v>0.18905336476238996</v>
      </c>
      <c r="T34" s="605">
        <f t="shared" si="84"/>
        <v>0.18905336476238996</v>
      </c>
      <c r="U34" s="605">
        <f t="shared" si="84"/>
        <v>0.18905336476238996</v>
      </c>
      <c r="V34" s="606">
        <f t="shared" si="84"/>
        <v>0.18905336476238996</v>
      </c>
      <c r="W34" s="605">
        <f t="shared" si="84"/>
        <v>0.18458181647010127</v>
      </c>
      <c r="X34" s="605">
        <f t="shared" si="84"/>
        <v>0.18458181647010127</v>
      </c>
      <c r="Y34" s="605">
        <f t="shared" si="84"/>
        <v>0.18458181647010127</v>
      </c>
      <c r="Z34" s="605">
        <f t="shared" si="84"/>
        <v>0.18458181647010125</v>
      </c>
      <c r="AA34" s="606">
        <f t="shared" si="84"/>
        <v>0.18458181647010127</v>
      </c>
      <c r="AB34" s="605">
        <f t="shared" si="84"/>
        <v>0.18754660809109278</v>
      </c>
      <c r="AC34" s="605">
        <f t="shared" si="84"/>
        <v>0.18754660809109275</v>
      </c>
      <c r="AD34" s="605">
        <f t="shared" si="84"/>
        <v>0.18754660809109275</v>
      </c>
      <c r="AE34" s="605">
        <f t="shared" si="84"/>
        <v>0.18754660809109275</v>
      </c>
      <c r="AF34" s="606">
        <f t="shared" si="84"/>
        <v>0.18754660809109275</v>
      </c>
      <c r="AG34" s="605">
        <f t="shared" si="84"/>
        <v>0.19654161200036224</v>
      </c>
      <c r="AH34" s="605">
        <f t="shared" si="84"/>
        <v>0.19654161200036224</v>
      </c>
      <c r="AI34" s="605">
        <f t="shared" si="84"/>
        <v>0.19654161200036221</v>
      </c>
      <c r="AJ34" s="605">
        <f>AJ29/AJ32</f>
        <v>0.19654161200036221</v>
      </c>
      <c r="AK34" s="606">
        <f>AK28/AK32</f>
        <v>0.25735677065648499</v>
      </c>
      <c r="AL34" s="607">
        <f>(1+AL35)*AG34</f>
        <v>0.19654161200036224</v>
      </c>
      <c r="AM34" s="605">
        <f>(1+AM35)*AH34</f>
        <v>0.19654161200036224</v>
      </c>
      <c r="AN34" s="605">
        <f>(1+AN35)*AI34</f>
        <v>0.19654161200036221</v>
      </c>
      <c r="AO34" s="605">
        <f t="shared" ref="AO34:AZ34" si="85">(1+AO35)*AJ34</f>
        <v>0.19654161200036221</v>
      </c>
      <c r="AP34" s="617">
        <f t="shared" si="85"/>
        <v>0.25735677065648499</v>
      </c>
      <c r="AQ34" s="605">
        <f t="shared" ref="AQ34:AY34" si="86">(1+AQ35)*AL34</f>
        <v>0.19425624441896266</v>
      </c>
      <c r="AR34" s="605">
        <f t="shared" si="86"/>
        <v>0.19425624441896266</v>
      </c>
      <c r="AS34" s="605">
        <f t="shared" si="86"/>
        <v>0.19425624441896264</v>
      </c>
      <c r="AT34" s="605">
        <f t="shared" si="86"/>
        <v>0.19425624441896264</v>
      </c>
      <c r="AU34" s="617">
        <f t="shared" si="86"/>
        <v>0.25436425006745611</v>
      </c>
      <c r="AV34" s="605">
        <f t="shared" si="86"/>
        <v>0.19197087683756311</v>
      </c>
      <c r="AW34" s="605">
        <f t="shared" si="86"/>
        <v>0.19197087683756311</v>
      </c>
      <c r="AX34" s="605">
        <f t="shared" si="86"/>
        <v>0.19197087683756309</v>
      </c>
      <c r="AY34" s="605">
        <f t="shared" si="86"/>
        <v>0.19197087683756309</v>
      </c>
      <c r="AZ34" s="617">
        <f t="shared" si="85"/>
        <v>0.25137172947842723</v>
      </c>
    </row>
    <row r="35" spans="1:54" hidden="1" outlineLevel="1">
      <c r="B35" s="604" t="s">
        <v>871</v>
      </c>
      <c r="C35" s="6"/>
      <c r="D35" s="6"/>
      <c r="E35" s="14"/>
      <c r="F35" s="28"/>
      <c r="G35" s="28"/>
      <c r="H35" s="29"/>
      <c r="I35" s="29"/>
      <c r="J35" s="53"/>
      <c r="K35" s="29"/>
      <c r="L35" s="28"/>
      <c r="M35" s="53"/>
      <c r="N35" s="53"/>
      <c r="O35" s="53"/>
      <c r="P35" s="19"/>
      <c r="Q35" s="433"/>
      <c r="R35" s="434"/>
      <c r="S35" s="434"/>
      <c r="T35" s="434"/>
      <c r="U35" s="434"/>
      <c r="V35" s="440"/>
      <c r="W35" s="434">
        <f t="shared" ref="W35" si="87">W34/R34-1</f>
        <v>-2.3652307367862613E-2</v>
      </c>
      <c r="X35" s="434">
        <f t="shared" ref="X35" si="88">X34/S34-1</f>
        <v>-2.3652307367862613E-2</v>
      </c>
      <c r="Y35" s="434">
        <f t="shared" ref="Y35" si="89">Y34/T34-1</f>
        <v>-2.3652307367862613E-2</v>
      </c>
      <c r="Z35" s="434">
        <f t="shared" ref="Z35" si="90">Z34/U34-1</f>
        <v>-2.3652307367862724E-2</v>
      </c>
      <c r="AA35" s="440">
        <f t="shared" ref="AA35" si="91">AA34/V34-1</f>
        <v>-2.3652307367862613E-2</v>
      </c>
      <c r="AB35" s="434">
        <f t="shared" ref="AB35" si="92">AB34/W34-1</f>
        <v>1.6062208497507946E-2</v>
      </c>
      <c r="AC35" s="434">
        <f t="shared" ref="AC35" si="93">AC34/X34-1</f>
        <v>1.6062208497507724E-2</v>
      </c>
      <c r="AD35" s="434">
        <f t="shared" ref="AD35" si="94">AD34/Y34-1</f>
        <v>1.6062208497507724E-2</v>
      </c>
      <c r="AE35" s="434">
        <f t="shared" ref="AE35" si="95">AE34/Z34-1</f>
        <v>1.6062208497507946E-2</v>
      </c>
      <c r="AF35" s="440">
        <f t="shared" ref="AF35" si="96">AF34/AA34-1</f>
        <v>1.6062208497507724E-2</v>
      </c>
      <c r="AG35" s="434">
        <f t="shared" ref="AG35" si="97">AG34/AB34-1</f>
        <v>4.7961432098524215E-2</v>
      </c>
      <c r="AH35" s="434">
        <f t="shared" ref="AH35" si="98">AH34/AC34-1</f>
        <v>4.7961432098524215E-2</v>
      </c>
      <c r="AI35" s="434">
        <f t="shared" ref="AI35" si="99">AI34/AD34-1</f>
        <v>4.7961432098524215E-2</v>
      </c>
      <c r="AJ35" s="434">
        <f t="shared" ref="AJ35" si="100">AJ34/AE34-1</f>
        <v>4.7961432098524215E-2</v>
      </c>
      <c r="AK35" s="440">
        <f t="shared" ref="AK35" si="101">AK34/AF34-1</f>
        <v>0.37222833980279146</v>
      </c>
      <c r="AL35" s="613">
        <f>'Coffee Market TAM (new)'!$W$65</f>
        <v>0</v>
      </c>
      <c r="AM35" s="613">
        <f>'Coffee Market TAM (new)'!$W$65</f>
        <v>0</v>
      </c>
      <c r="AN35" s="613">
        <f>'Coffee Market TAM (new)'!$W$65</f>
        <v>0</v>
      </c>
      <c r="AO35" s="613">
        <f>'Coffee Market TAM (new)'!$W$65</f>
        <v>0</v>
      </c>
      <c r="AP35" s="614">
        <f>'Coffee Market TAM (new)'!$W$65</f>
        <v>0</v>
      </c>
      <c r="AQ35" s="613">
        <f>'Coffee Market TAM (new)'!$X$65</f>
        <v>-1.1627906976744207E-2</v>
      </c>
      <c r="AR35" s="613">
        <f>'Coffee Market TAM (new)'!$X$65</f>
        <v>-1.1627906976744207E-2</v>
      </c>
      <c r="AS35" s="613">
        <f>'Coffee Market TAM (new)'!$X$65</f>
        <v>-1.1627906976744207E-2</v>
      </c>
      <c r="AT35" s="613">
        <f>'Coffee Market TAM (new)'!$X$65</f>
        <v>-1.1627906976744207E-2</v>
      </c>
      <c r="AU35" s="614">
        <f>'Coffee Market TAM (new)'!$X$65</f>
        <v>-1.1627906976744207E-2</v>
      </c>
      <c r="AV35" s="613">
        <f>'Coffee Market TAM (new)'!$Y$65</f>
        <v>-1.1764705882352899E-2</v>
      </c>
      <c r="AW35" s="613">
        <f>'Coffee Market TAM (new)'!$Y$65</f>
        <v>-1.1764705882352899E-2</v>
      </c>
      <c r="AX35" s="613">
        <f>'Coffee Market TAM (new)'!$Y$65</f>
        <v>-1.1764705882352899E-2</v>
      </c>
      <c r="AY35" s="613">
        <f>'Coffee Market TAM (new)'!$Y$65</f>
        <v>-1.1764705882352899E-2</v>
      </c>
      <c r="AZ35" s="614">
        <f>'Coffee Market TAM (new)'!$Y$65</f>
        <v>-1.1764705882352899E-2</v>
      </c>
      <c r="BA35" s="20"/>
    </row>
    <row r="36" spans="1:54" collapsed="1">
      <c r="B36" s="7" t="s">
        <v>873</v>
      </c>
      <c r="C36" s="6"/>
      <c r="D36" s="6"/>
      <c r="E36" s="14"/>
      <c r="F36" s="28"/>
      <c r="G36" s="28"/>
      <c r="H36" s="29"/>
      <c r="I36" s="29"/>
      <c r="J36" s="53"/>
      <c r="K36" s="29"/>
      <c r="L36" s="28"/>
      <c r="M36" s="53"/>
      <c r="N36" s="53"/>
      <c r="O36" s="439">
        <f t="shared" ref="O36:U36" si="102">O80*O28</f>
        <v>170.96941279445701</v>
      </c>
      <c r="P36" s="439">
        <f t="shared" si="102"/>
        <v>188.99182952777582</v>
      </c>
      <c r="Q36" s="438">
        <f t="shared" si="102"/>
        <v>667.96596793579874</v>
      </c>
      <c r="R36" s="439">
        <f t="shared" si="102"/>
        <v>157.16846304371737</v>
      </c>
      <c r="S36" s="439">
        <f t="shared" si="102"/>
        <v>160.74047356743822</v>
      </c>
      <c r="T36" s="439">
        <f t="shared" si="102"/>
        <v>172.917782171032</v>
      </c>
      <c r="U36" s="439">
        <f t="shared" si="102"/>
        <v>196.46057880464667</v>
      </c>
      <c r="V36" s="438">
        <f>SUM(R36:U36)</f>
        <v>687.28729758683426</v>
      </c>
      <c r="W36" s="439">
        <f>W80*W28</f>
        <v>157.98028361729027</v>
      </c>
      <c r="X36" s="439">
        <f>X80*X28</f>
        <v>169.34577164731118</v>
      </c>
      <c r="Y36" s="439">
        <f>Y80*Y28</f>
        <v>178.11343384189868</v>
      </c>
      <c r="Z36" s="439">
        <f>Z80*Z28</f>
        <v>214.32063142325094</v>
      </c>
      <c r="AA36" s="438">
        <f>SUM(W36:Z36)</f>
        <v>719.76012052975102</v>
      </c>
      <c r="AB36" s="439">
        <f>AB80*AB28</f>
        <v>151.90718038528897</v>
      </c>
      <c r="AC36" s="439">
        <f>AC80*AC28</f>
        <v>182.15258855585833</v>
      </c>
      <c r="AD36" s="439">
        <f>AD80*AD28</f>
        <v>210.81038961038959</v>
      </c>
      <c r="AE36" s="439">
        <f>AE80*AE28</f>
        <v>241.12291350531106</v>
      </c>
      <c r="AF36" s="438">
        <f>SUM(AB36:AE36)</f>
        <v>785.99307205684795</v>
      </c>
      <c r="AG36" s="583">
        <v>161</v>
      </c>
      <c r="AH36" s="583">
        <v>201</v>
      </c>
      <c r="AI36" s="439">
        <f>AI80*AI28</f>
        <v>194.47890818858562</v>
      </c>
      <c r="AJ36" s="439">
        <f>AJ80*AJ28</f>
        <v>262.19191919191923</v>
      </c>
      <c r="AK36" s="438">
        <f>SUM(AG36:AJ36)</f>
        <v>818.67082738050476</v>
      </c>
      <c r="AL36" s="583">
        <v>125</v>
      </c>
      <c r="AM36" s="583">
        <v>176</v>
      </c>
      <c r="AN36" s="15">
        <f>AN41*AN39</f>
        <v>166.77356015353908</v>
      </c>
      <c r="AO36" s="15">
        <f>AO41*AO39</f>
        <v>224.84021642451717</v>
      </c>
      <c r="AP36" s="206">
        <f>SUM(AL36:AO36)</f>
        <v>692.61377657805622</v>
      </c>
      <c r="AQ36" s="15">
        <f t="shared" ref="AQ36:AT36" si="103">AQ41*AQ39</f>
        <v>125.10831408118455</v>
      </c>
      <c r="AR36" s="15">
        <f t="shared" si="103"/>
        <v>156.19112503303165</v>
      </c>
      <c r="AS36" s="15">
        <f t="shared" si="103"/>
        <v>151.12377843368589</v>
      </c>
      <c r="AT36" s="15">
        <f t="shared" si="103"/>
        <v>203.74154643360987</v>
      </c>
      <c r="AU36" s="206">
        <f>SUM(AQ36:AT36)</f>
        <v>636.1647639815119</v>
      </c>
      <c r="AV36" s="15">
        <f t="shared" ref="AV36:AY36" si="104">AV41*AV39</f>
        <v>122.32610142951783</v>
      </c>
      <c r="AW36" s="15">
        <f t="shared" si="104"/>
        <v>152.71767942442912</v>
      </c>
      <c r="AX36" s="15">
        <f t="shared" si="104"/>
        <v>147.76302266446467</v>
      </c>
      <c r="AY36" s="15">
        <f t="shared" si="104"/>
        <v>199.21065404391712</v>
      </c>
      <c r="AZ36" s="206">
        <f>SUM(AV36:AY36)</f>
        <v>622.01745756232867</v>
      </c>
    </row>
    <row r="37" spans="1:54" s="441" customFormat="1" hidden="1" outlineLevel="1">
      <c r="B37" s="435" t="s">
        <v>877</v>
      </c>
      <c r="C37" s="436"/>
      <c r="D37" s="436"/>
      <c r="E37" s="437"/>
      <c r="F37" s="438"/>
      <c r="G37" s="438"/>
      <c r="H37" s="439"/>
      <c r="I37" s="439"/>
      <c r="J37" s="439"/>
      <c r="K37" s="439"/>
      <c r="L37" s="438"/>
      <c r="M37" s="439"/>
      <c r="N37" s="439"/>
      <c r="O37" s="439"/>
      <c r="P37" s="439"/>
      <c r="Q37" s="438"/>
      <c r="R37" s="434"/>
      <c r="S37" s="434"/>
      <c r="T37" s="434">
        <f>T36/O36-1</f>
        <v>1.1396011396011207E-2</v>
      </c>
      <c r="U37" s="434">
        <f t="shared" ref="U37" si="105">U36/P36-1</f>
        <v>3.9518900343642471E-2</v>
      </c>
      <c r="V37" s="440">
        <f t="shared" ref="V37" si="106">V36/Q36-1</f>
        <v>2.8925619834710758E-2</v>
      </c>
      <c r="W37" s="434">
        <f t="shared" ref="W37" si="107">W36/R36-1</f>
        <v>5.1652892561981911E-3</v>
      </c>
      <c r="X37" s="434">
        <f t="shared" ref="X37" si="108">X36/S36-1</f>
        <v>5.3535353535353547E-2</v>
      </c>
      <c r="Y37" s="434">
        <f t="shared" ref="Y37" si="109">Y36/T36-1</f>
        <v>3.0046948356807546E-2</v>
      </c>
      <c r="Z37" s="434">
        <f t="shared" ref="Z37" si="110">Z36/U36-1</f>
        <v>9.090909090909105E-2</v>
      </c>
      <c r="AA37" s="440">
        <f t="shared" ref="AA37" si="111">AA36/V36-1</f>
        <v>4.7247814788565989E-2</v>
      </c>
      <c r="AB37" s="434">
        <f t="shared" ref="AB37" si="112">AB36/W36-1</f>
        <v>-3.8442159318522906E-2</v>
      </c>
      <c r="AC37" s="434">
        <f t="shared" ref="AC37" si="113">AC36/X36-1</f>
        <v>7.5625253491532929E-2</v>
      </c>
      <c r="AD37" s="434">
        <f t="shared" ref="AD37" si="114">AD36/Y36-1</f>
        <v>0.18357377690845134</v>
      </c>
      <c r="AE37" s="434">
        <f t="shared" ref="AE37" si="115">AE36/Z36-1</f>
        <v>0.12505693877473534</v>
      </c>
      <c r="AF37" s="440">
        <f t="shared" ref="AF37" si="116">AF36/AA36-1</f>
        <v>9.2020868672674894E-2</v>
      </c>
      <c r="AG37" s="434">
        <f t="shared" ref="AG37" si="117">AG36/AB36-1</f>
        <v>5.9857734121905981E-2</v>
      </c>
      <c r="AH37" s="434">
        <f t="shared" ref="AH37" si="118">AH36/AC36-1</f>
        <v>0.10347045624532525</v>
      </c>
      <c r="AI37" s="434">
        <f t="shared" ref="AI37" si="119">AI36/AD36-1</f>
        <v>-7.7470002555315665E-2</v>
      </c>
      <c r="AJ37" s="434">
        <f t="shared" ref="AJ37" si="120">AJ36/AE36-1</f>
        <v>8.7378695704687148E-2</v>
      </c>
      <c r="AK37" s="440">
        <f t="shared" ref="AK37" si="121">AK36/AF36-1</f>
        <v>4.1575118770631248E-2</v>
      </c>
      <c r="AL37" s="434">
        <f t="shared" ref="AL37" si="122">AL36/AG36-1</f>
        <v>-0.22360248447204967</v>
      </c>
      <c r="AM37" s="434">
        <f>AM36/AH36-1</f>
        <v>-0.12437810945273631</v>
      </c>
      <c r="AN37" s="434">
        <f t="shared" ref="AN37:AO37" si="123">AN36/AI36-1</f>
        <v>-0.14245939723283896</v>
      </c>
      <c r="AO37" s="434">
        <f t="shared" si="123"/>
        <v>-0.14245939723283907</v>
      </c>
      <c r="AP37" s="445">
        <f t="shared" ref="AP37:AZ37" si="124">AP36/AK36-1</f>
        <v>-0.15397769968888764</v>
      </c>
      <c r="AQ37" s="243">
        <f>AQ36/AL36-1</f>
        <v>8.6651264947645856E-4</v>
      </c>
      <c r="AR37" s="243">
        <f t="shared" si="124"/>
        <v>-0.11255042594868381</v>
      </c>
      <c r="AS37" s="243">
        <f t="shared" si="124"/>
        <v>-9.3838505968483976E-2</v>
      </c>
      <c r="AT37" s="243">
        <f t="shared" si="124"/>
        <v>-9.3838505968484087E-2</v>
      </c>
      <c r="AU37" s="445">
        <f t="shared" si="124"/>
        <v>-8.1501429087127986E-2</v>
      </c>
      <c r="AV37" s="446">
        <f t="shared" si="124"/>
        <v>-2.2238431331280673E-2</v>
      </c>
      <c r="AW37" s="446">
        <f t="shared" si="124"/>
        <v>-2.2238431331280561E-2</v>
      </c>
      <c r="AX37" s="446">
        <f t="shared" si="124"/>
        <v>-2.2238431331280784E-2</v>
      </c>
      <c r="AY37" s="446">
        <f t="shared" si="124"/>
        <v>-2.2238431331280561E-2</v>
      </c>
      <c r="AZ37" s="445">
        <f t="shared" si="124"/>
        <v>-2.2238431331280673E-2</v>
      </c>
    </row>
    <row r="38" spans="1:54" s="243" customFormat="1" hidden="1" outlineLevel="1">
      <c r="B38" s="442" t="s">
        <v>878</v>
      </c>
      <c r="C38" s="443"/>
      <c r="D38" s="443"/>
      <c r="E38" s="444"/>
      <c r="F38" s="440"/>
      <c r="G38" s="440"/>
      <c r="H38" s="434"/>
      <c r="I38" s="434"/>
      <c r="J38" s="434"/>
      <c r="K38" s="434"/>
      <c r="L38" s="440"/>
      <c r="M38" s="434"/>
      <c r="N38" s="434"/>
      <c r="O38" s="434"/>
      <c r="P38" s="434"/>
      <c r="Q38" s="440"/>
      <c r="R38" s="434">
        <f>R36/V36</f>
        <v>0.2286794235766596</v>
      </c>
      <c r="S38" s="434">
        <f>S36/V36</f>
        <v>0.23387668320340185</v>
      </c>
      <c r="T38" s="434">
        <f>T36/V36</f>
        <v>0.25159461374911407</v>
      </c>
      <c r="U38" s="434">
        <f>U36/V36</f>
        <v>0.28584927947082445</v>
      </c>
      <c r="V38" s="440">
        <f>V36/V36</f>
        <v>1</v>
      </c>
      <c r="W38" s="434">
        <f>W36/AA36</f>
        <v>0.21949018723212271</v>
      </c>
      <c r="X38" s="434">
        <f>X36/AA36</f>
        <v>0.23528084818407405</v>
      </c>
      <c r="Y38" s="434">
        <f>Y36/AA36</f>
        <v>0.24746221520415068</v>
      </c>
      <c r="Z38" s="434">
        <f>Z36/AA36</f>
        <v>0.29776674937965264</v>
      </c>
      <c r="AA38" s="440">
        <f>AA36/AA36</f>
        <v>1</v>
      </c>
      <c r="AB38" s="434">
        <f>AB36/AF36</f>
        <v>0.19326783630263611</v>
      </c>
      <c r="AC38" s="434">
        <f>AC36/AF36</f>
        <v>0.23174833854347754</v>
      </c>
      <c r="AD38" s="434">
        <f>AD36/AF36</f>
        <v>0.2682089665990624</v>
      </c>
      <c r="AE38" s="434">
        <f>AE36/AF36</f>
        <v>0.30677485855482395</v>
      </c>
      <c r="AF38" s="440">
        <f>AF36/AF36</f>
        <v>1</v>
      </c>
      <c r="AG38" s="434">
        <f>AG36/AK36</f>
        <v>0.1966602382976691</v>
      </c>
      <c r="AH38" s="434">
        <f>AH36/AK36</f>
        <v>0.24551992483125148</v>
      </c>
      <c r="AI38" s="434">
        <f>AI36/AK36</f>
        <v>0.23755446228719107</v>
      </c>
      <c r="AJ38" s="434">
        <f>AJ36/AK36</f>
        <v>0.32026537458388843</v>
      </c>
      <c r="AK38" s="440">
        <f>AK36/AK36</f>
        <v>1</v>
      </c>
      <c r="AL38" s="434">
        <f>AL36/AP36</f>
        <v>0.18047576329997062</v>
      </c>
      <c r="AM38" s="434">
        <f>AM36/AP36</f>
        <v>0.2541098747263586</v>
      </c>
      <c r="AN38" s="434">
        <f>AN36/AP36</f>
        <v>0.24078868453570823</v>
      </c>
      <c r="AO38" s="434">
        <f>AO36/AP36</f>
        <v>0.32462567743796261</v>
      </c>
      <c r="AP38" s="242">
        <f>SUM(AL38:AO38)</f>
        <v>1</v>
      </c>
      <c r="AQ38" s="434">
        <f>AQ36/AU36</f>
        <v>0.1966602382976691</v>
      </c>
      <c r="AR38" s="434">
        <f>AR36/AU36</f>
        <v>0.24551992483125151</v>
      </c>
      <c r="AS38" s="434">
        <f>AS36/AU36</f>
        <v>0.2375544622871911</v>
      </c>
      <c r="AT38" s="434">
        <f>AT36/AU36</f>
        <v>0.32026537458388843</v>
      </c>
      <c r="AU38" s="242">
        <f>SUM(AQ38:AT38)</f>
        <v>1.0000000000000002</v>
      </c>
      <c r="AV38" s="434">
        <f>AV36/AZ36</f>
        <v>0.1966602382976691</v>
      </c>
      <c r="AW38" s="434">
        <f>AW36/AZ36</f>
        <v>0.24551992483125151</v>
      </c>
      <c r="AX38" s="434">
        <f>AX36/AZ36</f>
        <v>0.23755446228719107</v>
      </c>
      <c r="AY38" s="434">
        <f>AY36/AZ36</f>
        <v>0.32026537458388843</v>
      </c>
      <c r="AZ38" s="242">
        <f>SUM(AV38:AY38)</f>
        <v>1</v>
      </c>
      <c r="BB38" s="20" t="s">
        <v>768</v>
      </c>
    </row>
    <row r="39" spans="1:54" s="243" customFormat="1" hidden="1" outlineLevel="1">
      <c r="B39" s="442" t="s">
        <v>872</v>
      </c>
      <c r="C39" s="443"/>
      <c r="D39" s="443"/>
      <c r="E39" s="444"/>
      <c r="F39" s="440"/>
      <c r="G39" s="440"/>
      <c r="H39" s="434"/>
      <c r="I39" s="434"/>
      <c r="J39" s="434"/>
      <c r="K39" s="434"/>
      <c r="L39" s="440"/>
      <c r="M39" s="434"/>
      <c r="N39" s="434"/>
      <c r="O39" s="434"/>
      <c r="P39" s="434"/>
      <c r="Q39" s="608">
        <f>'Coffee Market TAM (new)'!R18</f>
        <v>10.614628914133416</v>
      </c>
      <c r="R39" s="576">
        <f>R38*V39</f>
        <v>2.6263896937324338</v>
      </c>
      <c r="S39" s="576">
        <f>S38*V39</f>
        <v>2.6860803685899892</v>
      </c>
      <c r="T39" s="576">
        <f>T38*V39</f>
        <v>2.8895713056043815</v>
      </c>
      <c r="U39" s="576">
        <f>U38*V39</f>
        <v>3.2829871171655416</v>
      </c>
      <c r="V39" s="608">
        <f>'Coffee Market TAM (new)'!S18</f>
        <v>11.485028485092347</v>
      </c>
      <c r="W39" s="576">
        <f>W38*AA39</f>
        <v>3.0553393544795155</v>
      </c>
      <c r="X39" s="576">
        <f>X38*AA39</f>
        <v>3.2751479411327189</v>
      </c>
      <c r="Y39" s="576">
        <f>Y38*AA39</f>
        <v>3.4447145651223314</v>
      </c>
      <c r="Z39" s="576">
        <f>Z38*AA39</f>
        <v>4.1449619197461063</v>
      </c>
      <c r="AA39" s="608">
        <f>'Coffee Market TAM (new)'!T18</f>
        <v>13.920163780480671</v>
      </c>
      <c r="AB39" s="576">
        <f>AB38*AF39</f>
        <v>2.9594848308009647</v>
      </c>
      <c r="AC39" s="576">
        <f>AC38*AF39</f>
        <v>3.5487316751907643</v>
      </c>
      <c r="AD39" s="576">
        <f>AD38*AF39</f>
        <v>4.1070484531724496</v>
      </c>
      <c r="AE39" s="576">
        <f>AE38*AF39</f>
        <v>4.6976028589798497</v>
      </c>
      <c r="AF39" s="608">
        <f>'Coffee Market TAM (new)'!U18</f>
        <v>15.312867818144028</v>
      </c>
      <c r="AG39" s="576">
        <f>AG38*AK39</f>
        <v>2.8547821140868299</v>
      </c>
      <c r="AH39" s="576">
        <f>AH38*AK39</f>
        <v>3.5640447511270361</v>
      </c>
      <c r="AI39" s="576">
        <f>AI38*AK39</f>
        <v>3.4484155817634101</v>
      </c>
      <c r="AJ39" s="576">
        <f>AJ38*AK39</f>
        <v>4.6490733004173324</v>
      </c>
      <c r="AK39" s="608">
        <f>'Coffee Market TAM (new)'!V18</f>
        <v>14.516315747394607</v>
      </c>
      <c r="AL39" s="576">
        <f>(1+AL40)*AG39</f>
        <v>2.5682706158317288</v>
      </c>
      <c r="AM39" s="576">
        <f t="shared" ref="AM39:AN39" si="125">(1+AM40)*AH39</f>
        <v>3.2063502719389905</v>
      </c>
      <c r="AN39" s="576">
        <f t="shared" si="125"/>
        <v>3.1023258714272117</v>
      </c>
      <c r="AO39" s="576">
        <f>(1+AO40)*AJ39</f>
        <v>4.1824832408020702</v>
      </c>
      <c r="AP39" s="620">
        <f>SUM(AL39:AO39)</f>
        <v>13.059430000000003</v>
      </c>
      <c r="AQ39" s="576">
        <f t="shared" ref="AQ39:AT39" si="126">(1+AQ40)*AL39</f>
        <v>2.3272679383193209</v>
      </c>
      <c r="AR39" s="576">
        <f t="shared" si="126"/>
        <v>2.9054711528085932</v>
      </c>
      <c r="AS39" s="576">
        <f t="shared" si="126"/>
        <v>2.8112082466251072</v>
      </c>
      <c r="AT39" s="576">
        <f t="shared" si="126"/>
        <v>3.7900052622469809</v>
      </c>
      <c r="AU39" s="620">
        <f>SUM(AQ39:AT39)</f>
        <v>11.833952600000002</v>
      </c>
      <c r="AV39" s="576">
        <f t="shared" ref="AV39" si="127">(1+AV40)*AQ39</f>
        <v>2.1765777957320585</v>
      </c>
      <c r="AW39" s="576">
        <f t="shared" ref="AW39" si="128">(1+AW40)*AR39</f>
        <v>2.7173424654791538</v>
      </c>
      <c r="AX39" s="576">
        <f t="shared" ref="AX39" si="129">(1+AX40)*AS39</f>
        <v>2.6291830639844047</v>
      </c>
      <c r="AY39" s="576">
        <f t="shared" ref="AY39" si="130">(1+AY40)*AT39</f>
        <v>3.5446031648043825</v>
      </c>
      <c r="AZ39" s="620">
        <f>SUM(AV39:AY39)</f>
        <v>11.067706489999999</v>
      </c>
      <c r="BB39" s="20"/>
    </row>
    <row r="40" spans="1:54" s="243" customFormat="1" hidden="1" outlineLevel="1">
      <c r="B40" s="609" t="s">
        <v>879</v>
      </c>
      <c r="C40" s="443"/>
      <c r="D40" s="443"/>
      <c r="E40" s="444"/>
      <c r="F40" s="440"/>
      <c r="G40" s="440"/>
      <c r="H40" s="434"/>
      <c r="I40" s="434"/>
      <c r="J40" s="434"/>
      <c r="K40" s="434"/>
      <c r="L40" s="440"/>
      <c r="M40" s="434"/>
      <c r="N40" s="434"/>
      <c r="O40" s="434"/>
      <c r="P40" s="434"/>
      <c r="Q40" s="440"/>
      <c r="R40" s="434"/>
      <c r="S40" s="434"/>
      <c r="T40" s="434"/>
      <c r="U40" s="434"/>
      <c r="V40" s="440">
        <f t="shared" ref="V40" si="131">V39/Q39-1</f>
        <v>8.1999999999999185E-2</v>
      </c>
      <c r="W40" s="434">
        <f t="shared" ref="W40" si="132">W39/R39-1</f>
        <v>0.16332293024554545</v>
      </c>
      <c r="X40" s="434">
        <f t="shared" ref="X40" si="133">X39/S39-1</f>
        <v>0.21930377788805711</v>
      </c>
      <c r="Y40" s="434">
        <f t="shared" ref="Y40" si="134">Y39/T39-1</f>
        <v>0.19211959173363824</v>
      </c>
      <c r="Z40" s="434">
        <f t="shared" ref="Z40" si="135">Z39/U39-1</f>
        <v>0.26255808256864999</v>
      </c>
      <c r="AA40" s="440">
        <f t="shared" ref="AA40" si="136">AA39/V39-1</f>
        <v>0.21202692692918856</v>
      </c>
      <c r="AB40" s="434">
        <f t="shared" ref="AB40" si="137">AB39/W39-1</f>
        <v>-3.1372791221379703E-2</v>
      </c>
      <c r="AC40" s="434">
        <f t="shared" ref="AC40" si="138">AC39/X39-1</f>
        <v>8.3533244597013834E-2</v>
      </c>
      <c r="AD40" s="434">
        <f t="shared" ref="AD40" si="139">AD39/Y39-1</f>
        <v>0.19227540498020823</v>
      </c>
      <c r="AE40" s="434">
        <f t="shared" ref="AE40" si="140">AE39/Z39-1</f>
        <v>0.13332835136579368</v>
      </c>
      <c r="AF40" s="440">
        <f t="shared" ref="AF40" si="141">AF39/AA39-1</f>
        <v>0.10004940025319642</v>
      </c>
      <c r="AG40" s="434">
        <f t="shared" ref="AG40" si="142">AG39/AB39-1</f>
        <v>-3.5378696867926718E-2</v>
      </c>
      <c r="AH40" s="434">
        <f t="shared" ref="AH40" si="143">AH39/AC39-1</f>
        <v>4.3150841872114931E-3</v>
      </c>
      <c r="AI40" s="434">
        <f t="shared" ref="AI40" si="144">AI39/AD39-1</f>
        <v>-0.16036647215600408</v>
      </c>
      <c r="AJ40" s="434">
        <f t="shared" ref="AJ40" si="145">AJ39/AE39-1</f>
        <v>-1.0330706962541347E-2</v>
      </c>
      <c r="AK40" s="440">
        <f t="shared" ref="AK40" si="146">AK39/AF39-1</f>
        <v>-5.2018477545113795E-2</v>
      </c>
      <c r="AL40" s="613">
        <f>'Coffee Market TAM (new)'!$W$21</f>
        <v>-0.10036194946063293</v>
      </c>
      <c r="AM40" s="613">
        <f>'Coffee Market TAM (new)'!$W$21</f>
        <v>-0.10036194946063293</v>
      </c>
      <c r="AN40" s="613">
        <f>'Coffee Market TAM (new)'!$W$21</f>
        <v>-0.10036194946063293</v>
      </c>
      <c r="AO40" s="613">
        <f>'Coffee Market TAM (new)'!$W$21</f>
        <v>-0.10036194946063293</v>
      </c>
      <c r="AP40" s="614">
        <f>'Coffee Market TAM (new)'!$W$21</f>
        <v>-0.10036194946063293</v>
      </c>
      <c r="AQ40" s="613">
        <f>'Coffee Market TAM (new)'!$X$21</f>
        <v>-9.3838505968483976E-2</v>
      </c>
      <c r="AR40" s="619">
        <f>'Coffee Market TAM (new)'!$X$21</f>
        <v>-9.3838505968483976E-2</v>
      </c>
      <c r="AS40" s="619">
        <f>'Coffee Market TAM (new)'!$X$21</f>
        <v>-9.3838505968483976E-2</v>
      </c>
      <c r="AT40" s="619">
        <f>'Coffee Market TAM (new)'!$X$21</f>
        <v>-9.3838505968483976E-2</v>
      </c>
      <c r="AU40" s="614">
        <f>'Coffee Market TAM (new)'!$X$21</f>
        <v>-9.3838505968483976E-2</v>
      </c>
      <c r="AV40" s="619">
        <f>'Coffee Market TAM (new)'!$Y$21</f>
        <v>-6.4749803882094503E-2</v>
      </c>
      <c r="AW40" s="619">
        <f>'Coffee Market TAM (new)'!$Y$21</f>
        <v>-6.4749803882094503E-2</v>
      </c>
      <c r="AX40" s="619">
        <f>'Coffee Market TAM (new)'!$Y$21</f>
        <v>-6.4749803882094503E-2</v>
      </c>
      <c r="AY40" s="619">
        <f>'Coffee Market TAM (new)'!$Y$21</f>
        <v>-6.4749803882094503E-2</v>
      </c>
      <c r="AZ40" s="614">
        <f>'Coffee Market TAM (new)'!$Y$21</f>
        <v>-6.4749803882094503E-2</v>
      </c>
      <c r="BB40" s="20"/>
    </row>
    <row r="41" spans="1:54" s="243" customFormat="1" hidden="1" outlineLevel="1">
      <c r="B41" s="442" t="s">
        <v>880</v>
      </c>
      <c r="C41" s="443"/>
      <c r="D41" s="443"/>
      <c r="E41" s="444"/>
      <c r="F41" s="440"/>
      <c r="G41" s="440"/>
      <c r="H41" s="434"/>
      <c r="I41" s="434"/>
      <c r="J41" s="434"/>
      <c r="K41" s="434"/>
      <c r="L41" s="440"/>
      <c r="M41" s="434"/>
      <c r="N41" s="434"/>
      <c r="O41" s="434"/>
      <c r="P41" s="434"/>
      <c r="Q41" s="610">
        <f t="shared" ref="Q41:AI41" si="147">Q36/Q39</f>
        <v>62.928810167484961</v>
      </c>
      <c r="R41" s="611">
        <f t="shared" si="147"/>
        <v>59.842019415009581</v>
      </c>
      <c r="S41" s="611">
        <f t="shared" si="147"/>
        <v>59.842019415009574</v>
      </c>
      <c r="T41" s="611">
        <f t="shared" si="147"/>
        <v>59.842019415009588</v>
      </c>
      <c r="U41" s="611">
        <f t="shared" si="147"/>
        <v>59.842019415009581</v>
      </c>
      <c r="V41" s="612">
        <f t="shared" si="147"/>
        <v>59.842019415009581</v>
      </c>
      <c r="W41" s="611">
        <f t="shared" si="147"/>
        <v>51.706296842500038</v>
      </c>
      <c r="X41" s="611">
        <f t="shared" si="147"/>
        <v>51.706296842500031</v>
      </c>
      <c r="Y41" s="611">
        <f t="shared" si="147"/>
        <v>51.706296842500031</v>
      </c>
      <c r="Z41" s="611">
        <f t="shared" si="147"/>
        <v>51.706296842500024</v>
      </c>
      <c r="AA41" s="612">
        <f t="shared" si="147"/>
        <v>51.706296842500031</v>
      </c>
      <c r="AB41" s="611">
        <f t="shared" si="147"/>
        <v>51.328926847101393</v>
      </c>
      <c r="AC41" s="611">
        <f t="shared" si="147"/>
        <v>51.328926847101393</v>
      </c>
      <c r="AD41" s="611">
        <f t="shared" si="147"/>
        <v>51.328926847101393</v>
      </c>
      <c r="AE41" s="611">
        <f t="shared" si="147"/>
        <v>51.328926847101393</v>
      </c>
      <c r="AF41" s="612">
        <f t="shared" si="147"/>
        <v>51.328926847101393</v>
      </c>
      <c r="AG41" s="611">
        <f t="shared" si="147"/>
        <v>56.396598257201738</v>
      </c>
      <c r="AH41" s="611">
        <f t="shared" si="147"/>
        <v>56.396598257201738</v>
      </c>
      <c r="AI41" s="611">
        <f t="shared" si="147"/>
        <v>56.396598257201731</v>
      </c>
      <c r="AJ41" s="611">
        <f>AJ36/AJ39</f>
        <v>56.396598257201731</v>
      </c>
      <c r="AK41" s="612">
        <f>AK36/AK39</f>
        <v>56.396598257201731</v>
      </c>
      <c r="AL41" s="611">
        <f>AG41*(1+AL42)</f>
        <v>53.757589326622103</v>
      </c>
      <c r="AM41" s="611">
        <f t="shared" ref="AM41:AN41" si="148">AH41*(1+AM42)</f>
        <v>53.757589326622103</v>
      </c>
      <c r="AN41" s="611">
        <f t="shared" si="148"/>
        <v>53.757589326622096</v>
      </c>
      <c r="AO41" s="611">
        <f>AJ41*(1+AO42)</f>
        <v>53.757589326622096</v>
      </c>
      <c r="AP41" s="621">
        <f>AK41*(1+AP42)</f>
        <v>53.757589326622096</v>
      </c>
      <c r="AQ41" s="611">
        <f t="shared" ref="AQ41:AT41" si="149">AL41*(1+AQ42)</f>
        <v>53.757589326622103</v>
      </c>
      <c r="AR41" s="611">
        <f t="shared" si="149"/>
        <v>53.757589326622103</v>
      </c>
      <c r="AS41" s="611">
        <f t="shared" si="149"/>
        <v>53.757589326622096</v>
      </c>
      <c r="AT41" s="611">
        <f t="shared" si="149"/>
        <v>53.757589326622096</v>
      </c>
      <c r="AU41" s="622">
        <f>AP41*(1+AU42)</f>
        <v>53.757589326622096</v>
      </c>
      <c r="AV41" s="611">
        <f t="shared" ref="AV41" si="150">AQ41*(1+AV42)</f>
        <v>56.201116114195834</v>
      </c>
      <c r="AW41" s="611">
        <f t="shared" ref="AW41" si="151">AR41*(1+AW42)</f>
        <v>56.201116114195834</v>
      </c>
      <c r="AX41" s="611">
        <f t="shared" ref="AX41" si="152">AS41*(1+AX42)</f>
        <v>56.201116114195827</v>
      </c>
      <c r="AY41" s="611">
        <f t="shared" ref="AY41" si="153">AT41*(1+AY42)</f>
        <v>56.201116114195827</v>
      </c>
      <c r="AZ41" s="622">
        <f>AU41*(1+AZ42)</f>
        <v>56.201116114195827</v>
      </c>
      <c r="BB41" s="20"/>
    </row>
    <row r="42" spans="1:54" s="243" customFormat="1" hidden="1" outlineLevel="1">
      <c r="B42" s="604" t="s">
        <v>871</v>
      </c>
      <c r="C42" s="443"/>
      <c r="D42" s="443"/>
      <c r="E42" s="444"/>
      <c r="F42" s="440"/>
      <c r="G42" s="440"/>
      <c r="H42" s="434"/>
      <c r="I42" s="434"/>
      <c r="J42" s="434"/>
      <c r="K42" s="434"/>
      <c r="L42" s="440"/>
      <c r="M42" s="434"/>
      <c r="N42" s="434"/>
      <c r="O42" s="434"/>
      <c r="P42" s="434"/>
      <c r="Q42" s="440"/>
      <c r="R42" s="434"/>
      <c r="S42" s="434"/>
      <c r="T42" s="434"/>
      <c r="U42" s="434"/>
      <c r="V42" s="440"/>
      <c r="W42" s="434">
        <f t="shared" ref="W42" si="154">W41/R41-1</f>
        <v>-0.13595334268530623</v>
      </c>
      <c r="X42" s="434">
        <f t="shared" ref="X42" si="155">X41/S41-1</f>
        <v>-0.13595334268530623</v>
      </c>
      <c r="Y42" s="434">
        <f t="shared" ref="Y42" si="156">Y41/T41-1</f>
        <v>-0.13595334268530646</v>
      </c>
      <c r="Z42" s="434">
        <f t="shared" ref="Z42" si="157">Z41/U41-1</f>
        <v>-0.13595334268530646</v>
      </c>
      <c r="AA42" s="440">
        <f t="shared" ref="AA42" si="158">AA41/V41-1</f>
        <v>-0.13595334268530634</v>
      </c>
      <c r="AB42" s="434">
        <f t="shared" ref="AB42" si="159">AB41/W41-1</f>
        <v>-7.2983373098277626E-3</v>
      </c>
      <c r="AC42" s="434">
        <f t="shared" ref="AC42" si="160">AC41/X41-1</f>
        <v>-7.2983373098275406E-3</v>
      </c>
      <c r="AD42" s="434">
        <f t="shared" ref="AD42" si="161">AD41/Y41-1</f>
        <v>-7.2983373098275406E-3</v>
      </c>
      <c r="AE42" s="434">
        <f t="shared" ref="AE42" si="162">AE41/Z41-1</f>
        <v>-7.2983373098274296E-3</v>
      </c>
      <c r="AF42" s="440">
        <f t="shared" ref="AF42" si="163">AF41/AA41-1</f>
        <v>-7.2983373098275406E-3</v>
      </c>
      <c r="AG42" s="434">
        <f t="shared" ref="AG42" si="164">AG41/AB41-1</f>
        <v>9.872934661571886E-2</v>
      </c>
      <c r="AH42" s="434">
        <f t="shared" ref="AH42" si="165">AH41/AC41-1</f>
        <v>9.872934661571886E-2</v>
      </c>
      <c r="AI42" s="434">
        <f t="shared" ref="AI42" si="166">AI41/AD41-1</f>
        <v>9.8729346615718638E-2</v>
      </c>
      <c r="AJ42" s="434">
        <f t="shared" ref="AJ42" si="167">AJ41/AE41-1</f>
        <v>9.8729346615718638E-2</v>
      </c>
      <c r="AK42" s="440">
        <f t="shared" ref="AK42" si="168">AK41/AF41-1</f>
        <v>9.8729346615718638E-2</v>
      </c>
      <c r="AL42" s="613">
        <f>'Coffee Market TAM (new)'!$W$29</f>
        <v>-4.6793760831889131E-2</v>
      </c>
      <c r="AM42" s="613">
        <f>'Coffee Market TAM (new)'!$W$29</f>
        <v>-4.6793760831889131E-2</v>
      </c>
      <c r="AN42" s="613">
        <f>'Coffee Market TAM (new)'!$W$29</f>
        <v>-4.6793760831889131E-2</v>
      </c>
      <c r="AO42" s="613">
        <f>'Coffee Market TAM (new)'!$W$29</f>
        <v>-4.6793760831889131E-2</v>
      </c>
      <c r="AP42" s="614">
        <f>'Coffee Market TAM (new)'!$W$29</f>
        <v>-4.6793760831889131E-2</v>
      </c>
      <c r="AQ42" s="613">
        <f>'Coffee Market TAM (new)'!$X$29</f>
        <v>0</v>
      </c>
      <c r="AR42" s="619">
        <f>'Coffee Market TAM (new)'!$X$29</f>
        <v>0</v>
      </c>
      <c r="AS42" s="619">
        <f>'Coffee Market TAM (new)'!$X$29</f>
        <v>0</v>
      </c>
      <c r="AT42" s="619">
        <f>'Coffee Market TAM (new)'!$X$29</f>
        <v>0</v>
      </c>
      <c r="AU42" s="614">
        <f>'Coffee Market TAM (new)'!$X$29</f>
        <v>0</v>
      </c>
      <c r="AV42" s="619">
        <f>'Coffee Market TAM (new)'!$Y$29</f>
        <v>4.5454545454545414E-2</v>
      </c>
      <c r="AW42" s="619">
        <f>'Coffee Market TAM (new)'!$Y$29</f>
        <v>4.5454545454545414E-2</v>
      </c>
      <c r="AX42" s="619">
        <f>'Coffee Market TAM (new)'!$Y$29</f>
        <v>4.5454545454545414E-2</v>
      </c>
      <c r="AY42" s="619">
        <f>'Coffee Market TAM (new)'!$Y$29</f>
        <v>4.5454545454545414E-2</v>
      </c>
      <c r="AZ42" s="614">
        <f>'Coffee Market TAM (new)'!$Y$29</f>
        <v>4.5454545454545414E-2</v>
      </c>
      <c r="BB42" s="20"/>
    </row>
    <row r="43" spans="1:54" collapsed="1">
      <c r="B43" s="7" t="s">
        <v>678</v>
      </c>
      <c r="E43" s="14"/>
      <c r="F43" s="28"/>
      <c r="G43" s="28"/>
      <c r="H43" s="29"/>
      <c r="I43" s="29"/>
      <c r="J43" s="53"/>
      <c r="K43" s="29"/>
      <c r="L43" s="28"/>
      <c r="M43" s="53"/>
      <c r="N43" s="53"/>
      <c r="O43" s="439">
        <f t="shared" ref="O43:U43" si="169">O28*O81</f>
        <v>60.239335425065406</v>
      </c>
      <c r="P43" s="439">
        <f t="shared" si="169"/>
        <v>76.21781802514333</v>
      </c>
      <c r="Q43" s="438">
        <f t="shared" si="169"/>
        <v>200.56261818032601</v>
      </c>
      <c r="R43" s="439">
        <f t="shared" si="169"/>
        <v>20.579034981448419</v>
      </c>
      <c r="S43" s="439">
        <f t="shared" si="169"/>
        <v>46.250102971957368</v>
      </c>
      <c r="T43" s="439">
        <f t="shared" si="169"/>
        <v>60.925823578057603</v>
      </c>
      <c r="U43" s="439">
        <f t="shared" si="169"/>
        <v>79.229862380088846</v>
      </c>
      <c r="V43" s="438">
        <f>SUM(R43:U43)</f>
        <v>206.98482391155224</v>
      </c>
      <c r="W43" s="439">
        <f>W28*W81</f>
        <v>20.685331649741023</v>
      </c>
      <c r="X43" s="439">
        <f>X28*X81</f>
        <v>48.726118585607615</v>
      </c>
      <c r="Y43" s="439">
        <f>Y28*Y81</f>
        <v>62.756458652703465</v>
      </c>
      <c r="Z43" s="439">
        <f>Z28*Z81</f>
        <v>86.432577141915118</v>
      </c>
      <c r="AA43" s="438">
        <f>SUM(W43:Z43)</f>
        <v>218.60048602996721</v>
      </c>
      <c r="AB43" s="439">
        <f>AB28*AB81</f>
        <v>56.746935201401065</v>
      </c>
      <c r="AC43" s="439">
        <f>AC28*AC81</f>
        <v>52.043596730245177</v>
      </c>
      <c r="AD43" s="439">
        <f>AD28*AD81</f>
        <v>55.522077922077948</v>
      </c>
      <c r="AE43" s="439">
        <f>AE28*AE81</f>
        <v>63.725341426403695</v>
      </c>
      <c r="AF43" s="438">
        <f>SUM(AB43:AE43)</f>
        <v>228.03795128012788</v>
      </c>
      <c r="AG43" s="583">
        <v>33</v>
      </c>
      <c r="AH43" s="583">
        <v>30</v>
      </c>
      <c r="AI43" s="439">
        <f>AI28*AI81</f>
        <v>61.368899917286981</v>
      </c>
      <c r="AJ43" s="439">
        <f>AJ28*AJ81</f>
        <v>73.552188552188611</v>
      </c>
      <c r="AK43" s="438">
        <f>SUM(AG43:AJ43)</f>
        <v>197.92108846947559</v>
      </c>
      <c r="AL43" s="583">
        <v>35</v>
      </c>
      <c r="AM43" s="583">
        <v>33</v>
      </c>
      <c r="AN43" s="2">
        <f>(AN44+1)*AI43</f>
        <v>61.368899917286981</v>
      </c>
      <c r="AO43" s="2">
        <f>(AO44+1)*AJ43</f>
        <v>73.552188552188611</v>
      </c>
      <c r="AP43" s="206">
        <f>SUM(AL43:AO43)</f>
        <v>202.92108846947559</v>
      </c>
      <c r="AQ43">
        <f>(1+AQ44)*AL43</f>
        <v>35</v>
      </c>
      <c r="AR43">
        <f>(1+AR44)*AM43</f>
        <v>33</v>
      </c>
      <c r="AS43" s="2">
        <f>(AS44+1)*AN43</f>
        <v>61.368899917286981</v>
      </c>
      <c r="AT43" s="2">
        <f>(AT44+1)*AO43</f>
        <v>73.552188552188611</v>
      </c>
      <c r="AU43" s="206">
        <f>SUM(AQ43:AT43)</f>
        <v>202.92108846947559</v>
      </c>
      <c r="AV43">
        <f>(1+AV44)*AQ43</f>
        <v>35</v>
      </c>
      <c r="AW43">
        <f>(1+AW44)*AR43</f>
        <v>33</v>
      </c>
      <c r="AX43" s="2">
        <f>(AX44+1)*AS43</f>
        <v>61.368899917286981</v>
      </c>
      <c r="AY43" s="2">
        <f>(AY44+1)*AT43</f>
        <v>73.552188552188611</v>
      </c>
      <c r="AZ43" s="206">
        <f>SUM(AV43:AY43)</f>
        <v>202.92108846947559</v>
      </c>
    </row>
    <row r="44" spans="1:54" hidden="1" outlineLevel="1">
      <c r="B44" s="432" t="s">
        <v>707</v>
      </c>
      <c r="E44" s="14"/>
      <c r="F44" s="28"/>
      <c r="G44" s="28"/>
      <c r="H44" s="29"/>
      <c r="I44" s="29"/>
      <c r="J44" s="53"/>
      <c r="K44" s="29"/>
      <c r="L44" s="28"/>
      <c r="M44" s="53"/>
      <c r="N44" s="53"/>
      <c r="O44" s="53"/>
      <c r="P44" s="29"/>
      <c r="Q44" s="54"/>
      <c r="R44" s="434"/>
      <c r="S44" s="434"/>
      <c r="T44" s="434">
        <f t="shared" ref="T44" si="170">T43/O43-1</f>
        <v>1.139601139601143E-2</v>
      </c>
      <c r="U44" s="434">
        <f t="shared" ref="U44" si="171">U43/P43-1</f>
        <v>3.9518900343642471E-2</v>
      </c>
      <c r="V44" s="440">
        <f t="shared" ref="V44" si="172">V43/Q43-1</f>
        <v>3.2020950810743853E-2</v>
      </c>
      <c r="W44" s="434">
        <f t="shared" ref="W44" si="173">W43/R43-1</f>
        <v>5.1652892561981911E-3</v>
      </c>
      <c r="X44" s="434">
        <f t="shared" ref="X44" si="174">X43/S43-1</f>
        <v>5.3535353535353547E-2</v>
      </c>
      <c r="Y44" s="434">
        <f t="shared" ref="Y44" si="175">Y43/T43-1</f>
        <v>3.0046948356807546E-2</v>
      </c>
      <c r="Z44" s="434">
        <f t="shared" ref="Z44" si="176">Z43/U43-1</f>
        <v>9.090909090909105E-2</v>
      </c>
      <c r="AA44" s="440">
        <f t="shared" ref="AA44" si="177">AA43/V43-1</f>
        <v>5.6118424041457837E-2</v>
      </c>
      <c r="AB44" s="434">
        <f t="shared" ref="AB44" si="178">AB43/W43-1</f>
        <v>1.743341811592928</v>
      </c>
      <c r="AC44" s="434">
        <f t="shared" ref="AC44" si="179">AC43/X43-1</f>
        <v>6.808418648838277E-2</v>
      </c>
      <c r="AD44" s="434">
        <f t="shared" ref="AD44" si="180">AD43/Y43-1</f>
        <v>-0.11527707085354899</v>
      </c>
      <c r="AE44" s="434">
        <f t="shared" ref="AE44" si="181">AE43/Z43-1</f>
        <v>-0.26271617098988065</v>
      </c>
      <c r="AF44" s="440">
        <f t="shared" ref="AF44" si="182">AF43/AA43-1</f>
        <v>4.3172206162738869E-2</v>
      </c>
      <c r="AG44" s="434">
        <f t="shared" ref="AG44" si="183">AG43/AB43-1</f>
        <v>-0.41847079700640399</v>
      </c>
      <c r="AH44" s="434">
        <f t="shared" ref="AH44" si="184">AH43/AC43-1</f>
        <v>-0.42356020942408312</v>
      </c>
      <c r="AI44" s="434">
        <f t="shared" ref="AI44" si="185">AI43/AD43-1</f>
        <v>0.10530625318841125</v>
      </c>
      <c r="AJ44" s="434">
        <f t="shared" ref="AJ44" si="186">AJ43/AE43-1</f>
        <v>0.15420626874371357</v>
      </c>
      <c r="AK44" s="440">
        <f t="shared" ref="AK44" si="187">AK43/AF43-1</f>
        <v>-0.13206952018989127</v>
      </c>
      <c r="AL44" s="434">
        <f t="shared" ref="AL44" si="188">AL43/AG43-1</f>
        <v>6.0606060606060552E-2</v>
      </c>
      <c r="AM44" s="434">
        <f>AM43/AH43-1</f>
        <v>0.10000000000000009</v>
      </c>
      <c r="AN44" s="238">
        <v>0</v>
      </c>
      <c r="AO44" s="238">
        <v>0</v>
      </c>
      <c r="AP44" s="237">
        <f>AP43/AK43-1</f>
        <v>2.5262593484428608E-2</v>
      </c>
      <c r="AQ44" s="238">
        <v>0</v>
      </c>
      <c r="AR44" s="238">
        <v>0</v>
      </c>
      <c r="AS44" s="238">
        <v>0</v>
      </c>
      <c r="AT44" s="238">
        <v>0</v>
      </c>
      <c r="AU44" s="237">
        <f>AU43/AP43-1</f>
        <v>0</v>
      </c>
      <c r="AV44" s="238">
        <v>0</v>
      </c>
      <c r="AW44" s="238">
        <v>0</v>
      </c>
      <c r="AX44" s="238">
        <v>0</v>
      </c>
      <c r="AY44" s="238">
        <v>0</v>
      </c>
      <c r="AZ44" s="237">
        <f>AZ43/AU43-1</f>
        <v>0</v>
      </c>
      <c r="BB44" s="20" t="s">
        <v>751</v>
      </c>
    </row>
    <row r="45" spans="1:54" collapsed="1">
      <c r="B45" s="7" t="s">
        <v>59</v>
      </c>
      <c r="C45" s="6" t="s">
        <v>64</v>
      </c>
      <c r="D45" s="6"/>
      <c r="E45" s="12"/>
      <c r="F45" s="18"/>
      <c r="G45" s="18"/>
      <c r="H45" s="19"/>
      <c r="I45" s="19"/>
      <c r="J45" s="19"/>
      <c r="K45" s="19"/>
      <c r="L45" s="18"/>
      <c r="M45" s="19"/>
      <c r="N45" s="19"/>
      <c r="O45" s="19" cm="1">
        <f t="array" ref="O45">IFERROR(_xll.VAData("KDP_US", O$4, $C45, "VA Actuals", "CD", "IMPL","","")/100, "")</f>
        <v>3.5000000000000003E-2</v>
      </c>
      <c r="P45" s="19" cm="1">
        <f t="array" ref="P45">IFERROR(_xll.VAData("KDP_US", P$4, $C45, "VA Actuals", "CD", "IMPL","","")/100, "")</f>
        <v>2.7999999999999997E-2</v>
      </c>
      <c r="Q45" s="18" cm="1">
        <f t="array" ref="Q45">IFERROR(_xll.VAData("KDP_US", Q$4, $C45, "VA Actuals", "CD", "IMPL","","")/100, "")</f>
        <v>4.2999999999999997E-2</v>
      </c>
      <c r="R45" s="19" cm="1">
        <f t="array" ref="R45">IFERROR(_xll.VAData("KDP_US", R$4, $C45, "VA Actuals", "CD", "IMPL","","")/100, "")</f>
        <v>2.0499999999999997E-2</v>
      </c>
      <c r="S45" s="19" cm="1">
        <f t="array" ref="S45">IFERROR(_xll.VAData("KDP_US", S$4, $C45, "VA Actuals", "CD", "IMPL","","")/100, "")</f>
        <v>3.6499999999999998E-2</v>
      </c>
      <c r="T45" s="19" cm="1">
        <f t="array" ref="T45">IFERROR(_xll.VAData("KDP_US", T$4, $C45, "VA Actuals", "CD", "IMPL","","")/100, "")</f>
        <v>1.7500000000000002E-2</v>
      </c>
      <c r="U45" s="19" cm="1">
        <f t="array" ref="U45">IFERROR(_xll.VAData("KDP_US", U$4, $C45, "VA Actuals", "CD", "IMPL","","")/100, "")</f>
        <v>5.7000000000000002E-2</v>
      </c>
      <c r="V45" s="18" cm="1">
        <f t="array" ref="V45">IFERROR(_xll.VAData("KDP_US", V$4, $C45, "VA Actuals", "CD", "IMPL","","")/100, "")</f>
        <v>3.3000000000000002E-2</v>
      </c>
      <c r="W45" s="19" cm="1">
        <f t="array" ref="W45">IFERROR(_xll.VAData("KDP_US", W$4, $C45, "VA Actuals", "CD", "IMPL","","")/100, "")</f>
        <v>6.2E-2</v>
      </c>
      <c r="X45" s="19" cm="1">
        <f t="array" ref="X45">IFERROR(_xll.VAData("KDP_US", X$4, $C45, "VA Actuals", "CD", "IMPL","","")/100, "")</f>
        <v>7.4499999999999997E-2</v>
      </c>
      <c r="Y45" s="19" cm="1">
        <f t="array" ref="Y45">IFERROR(_xll.VAData("KDP_US", Y$4, $C45, "VA Actuals", "CD", "IMPL","","")/100, "")</f>
        <v>8.6999999999999994E-2</v>
      </c>
      <c r="Z45" s="19" cm="1">
        <f t="array" ref="Z45">IFERROR(_xll.VAData("KDP_US", Z$4, $C45, "VA Actuals", "CD", "IMPL","","")/100, "")</f>
        <v>8.1500000000000003E-2</v>
      </c>
      <c r="AA45" s="18" cm="1">
        <f t="array" ref="AA45">IFERROR(_xll.VAData("KDP_US", AA$4, $C45, "VA Actuals", "CD", "IMPL","","")/100, "")</f>
        <v>7.6999999999999999E-2</v>
      </c>
      <c r="AB45" s="19" cm="1">
        <f t="array" ref="AB45">IFERROR(_xll.VAData("KDP_US", AB$4, $C45, "VA Actuals", "CD", "IMPL","","")/100, "")</f>
        <v>0.21600000000000003</v>
      </c>
      <c r="AC45" s="19" cm="1">
        <f t="array" ref="AC45">IFERROR(_xll.VAData("KDP_US", AC$4, $C45, "VA Actuals", "CD", "IMPL","","")/100, "")</f>
        <v>4.0999999999999995E-2</v>
      </c>
      <c r="AD45" s="19" cm="1">
        <f t="array" ref="AD45">IFERROR(_xll.VAData("KDP_US", AD$4, $C45, "VA Actuals", "CD", "IMPL","","")/100, "")</f>
        <v>6.2E-2</v>
      </c>
      <c r="AE45" s="19" cm="1">
        <f t="array" ref="AE45">IFERROR(_xll.VAData("KDP_US", AE$4, $C45, "VA Actuals", "CD", "IMPL","","")/100, "")</f>
        <v>-3.0000000000000001E-3</v>
      </c>
      <c r="AF45" s="18" cm="1">
        <f t="array" ref="AF45">IFERROR(_xll.VAData("KDP_US", AF$4, $C45, "VA Actuals", "CD", "IMPL","","")/100, "")</f>
        <v>7.0999999999999994E-2</v>
      </c>
      <c r="AG45" s="19" cm="1">
        <f t="array" ref="AG45">IFERROR(_xll.VAData("KDP_US", AG$4, $C45, "VA Actuals", "CD", "IMPL","","")/100, "")</f>
        <v>-0.09</v>
      </c>
      <c r="AH45" s="19" cm="1">
        <f t="array" ref="AH45">IFERROR(_xll.VAData("KDP_US", AH$4, $C45, "VA Actuals", "CD", "IMPL","","")/100, "")</f>
        <v>2.4E-2</v>
      </c>
      <c r="AI45" s="19" cm="1">
        <f t="array" ref="AI45">IFERROR(_xll.VAData("KDP_US", AI$4, $C45, "VA Actuals", "CD", "IMPL","","")/100, "")</f>
        <v>-2.4E-2</v>
      </c>
      <c r="AJ45" s="19" cm="1">
        <f t="array" ref="AJ45">IFERROR(_xll.VAData("KDP_US", AJ$4, $C45, "VA Actuals", "CD", "IMPL","","")/100, "")</f>
        <v>3.9E-2</v>
      </c>
      <c r="AK45" s="18" cm="1">
        <f t="array" ref="AK45">IFERROR(_xll.VAData("KDP_US", AK$4, $C45, "VA Actuals", "CD", "IMPL","","")/100, "")</f>
        <v>-1.2E-2</v>
      </c>
      <c r="AL45" s="19" cm="1">
        <f t="array" ref="AL45">IFERROR(_xll.VAData("KDP_US", AL$4, $C45, "VA Actuals", "CD", "IMPL","","")/100, "")</f>
        <v>-6.6000000000000003E-2</v>
      </c>
      <c r="AM45" s="19" cm="1">
        <f t="array" ref="AM45">IFERROR(_xll.VAData("KDP_US", AM$4, $C45, "VA Actuals", "CD", "IMPL","","")/100, "")</f>
        <v>-7.2999999999999995E-2</v>
      </c>
      <c r="AN45" s="312">
        <f t="shared" ref="AN45:AZ45" si="189">(AN40*AN36+AN33*AN29)/(AN36+AN29)</f>
        <v>-4.5328960104168807E-2</v>
      </c>
      <c r="AO45" s="312">
        <f t="shared" si="189"/>
        <v>-4.6496179262218419E-2</v>
      </c>
      <c r="AP45" s="313">
        <f t="shared" si="189"/>
        <v>-4.5192517636799594E-2</v>
      </c>
      <c r="AQ45" s="312">
        <f t="shared" si="189"/>
        <v>-1.6359807087462215E-2</v>
      </c>
      <c r="AR45" s="312">
        <f t="shared" si="189"/>
        <v>-1.8295495087754781E-2</v>
      </c>
      <c r="AS45" s="312">
        <f t="shared" si="189"/>
        <v>-1.8016458180167911E-2</v>
      </c>
      <c r="AT45" s="312">
        <f t="shared" si="189"/>
        <v>-1.951878313010201E-2</v>
      </c>
      <c r="AU45" s="313">
        <f t="shared" si="189"/>
        <v>-1.8157460143946865E-2</v>
      </c>
      <c r="AV45" s="312">
        <f t="shared" si="189"/>
        <v>-2.0059330903431968E-2</v>
      </c>
      <c r="AW45" s="312">
        <f t="shared" si="189"/>
        <v>-2.1177367342984876E-2</v>
      </c>
      <c r="AX45" s="312">
        <f t="shared" si="189"/>
        <v>-2.1016202856826999E-2</v>
      </c>
      <c r="AY45" s="312">
        <f t="shared" si="189"/>
        <v>-2.1883887777554973E-2</v>
      </c>
      <c r="AZ45" s="313">
        <f t="shared" si="189"/>
        <v>-2.1097642138427092E-2</v>
      </c>
      <c r="BB45" s="20" t="s">
        <v>849</v>
      </c>
    </row>
    <row r="46" spans="1:54" hidden="1" outlineLevel="1">
      <c r="B46" s="310" t="s">
        <v>632</v>
      </c>
      <c r="C46" s="6" t="s">
        <v>64</v>
      </c>
      <c r="D46" s="6"/>
      <c r="E46" s="12"/>
      <c r="F46" s="18"/>
      <c r="G46" s="18"/>
      <c r="H46" s="19"/>
      <c r="I46" s="19"/>
      <c r="J46" s="19"/>
      <c r="K46" s="19"/>
      <c r="L46" s="18"/>
      <c r="M46" s="19"/>
      <c r="N46" s="19"/>
      <c r="O46" s="19"/>
      <c r="P46" s="19"/>
      <c r="Q46" s="18"/>
      <c r="R46" s="19"/>
      <c r="S46" s="19"/>
      <c r="T46" s="19"/>
      <c r="U46" s="19"/>
      <c r="V46" s="18"/>
      <c r="W46" s="19"/>
      <c r="X46" s="19"/>
      <c r="Y46" s="19"/>
      <c r="Z46" s="19"/>
      <c r="AA46" s="18"/>
      <c r="AB46" s="19"/>
      <c r="AC46" s="19"/>
      <c r="AD46" s="19"/>
      <c r="AE46" s="19"/>
      <c r="AF46" s="18"/>
      <c r="AG46" s="19"/>
      <c r="AH46" s="19"/>
      <c r="AI46" s="19"/>
      <c r="AJ46" s="19"/>
      <c r="AK46" s="18"/>
      <c r="AL46" s="19"/>
      <c r="AM46" s="19"/>
      <c r="AN46" s="311" cm="1">
        <f t="array" ref="AN46">_xll.VAData("KDP_US", AN$4, $C46, "Consensus", "CD", "IMPL","","")/100</f>
        <v>-2.7244007030000003E-2</v>
      </c>
      <c r="AO46" s="312" cm="1">
        <f t="array" ref="AO46">_xll.VAData("KDP_US", AO$4, $C46, "Consensus", "CD", "IMPL","","")/100</f>
        <v>-7.3957142899999991E-3</v>
      </c>
      <c r="AP46" s="313" cm="1">
        <f t="array" ref="AP46">_xll.VAData("KDP_US", AP$4, $C46, "Consensus", "CD", "IMPL","","")/100</f>
        <v>-4.1559451456864641E-2</v>
      </c>
      <c r="AQ46" s="312" cm="1">
        <f t="array" ref="AQ46">_xll.VAData("KDP_US", AQ$4, $C46, "Consensus", "CD", "IMPL","","")/100</f>
        <v>2.259347364E-2</v>
      </c>
      <c r="AR46" s="312" cm="1">
        <f t="array" ref="AR46">_xll.VAData("KDP_US", AR$4, $C46, "Consensus", "CD", "IMPL","","")/100</f>
        <v>2.9732774480000002E-2</v>
      </c>
      <c r="AS46" s="312" cm="1">
        <f t="array" ref="AS46">_xll.VAData("KDP_US", AS$4, $C46, "Consensus", "CD", "IMPL","","")/100</f>
        <v>1.941401588E-2</v>
      </c>
      <c r="AT46" s="312" cm="1">
        <f t="array" ref="AT46">_xll.VAData("KDP_US", AT$4, $C46, "Consensus", "CD", "IMPL","","")/100</f>
        <v>1.8337133000000002E-2</v>
      </c>
      <c r="AU46" s="313" cm="1">
        <f t="array" ref="AU46">_xll.VAData("KDP_US", AU$4, $C46, "Consensus", "CD", "IMPL","","")/100</f>
        <v>2.2269321571031543E-2</v>
      </c>
      <c r="AV46" s="312" cm="1">
        <f t="array" ref="AV46">_xll.VAData("KDP_US", AV$4, $C46, "Consensus", "CD", "IMPL","","")/100</f>
        <v>2.2000000000000002E-2</v>
      </c>
      <c r="AW46" s="312" cm="1">
        <f t="array" ref="AW46">_xll.VAData("KDP_US", AW$4, $C46, "Consensus", "CD", "IMPL","","")/100</f>
        <v>2.2000000000000002E-2</v>
      </c>
      <c r="AX46" s="312" cm="1">
        <f t="array" ref="AX46">_xll.VAData("KDP_US", AX$4, $C46, "Consensus", "CD", "IMPL","","")/100</f>
        <v>2.2000000000000002E-2</v>
      </c>
      <c r="AY46" s="312" cm="1">
        <f t="array" ref="AY46">_xll.VAData("KDP_US", AY$4, $C46, "Consensus", "CD", "IMPL","","")/100</f>
        <v>2.2000000000000002E-2</v>
      </c>
      <c r="AZ46" s="313" cm="1">
        <f t="array" ref="AZ46">_xll.VAData("KDP_US", AZ$4, $C46, "Consensus", "CD", "IMPL","","")/100</f>
        <v>2.5821994500000001E-2</v>
      </c>
    </row>
    <row r="47" spans="1:54" collapsed="1">
      <c r="B47" s="7" t="s">
        <v>60</v>
      </c>
      <c r="C47" s="6" t="s">
        <v>65</v>
      </c>
      <c r="D47" s="6"/>
      <c r="E47" s="12"/>
      <c r="F47" s="18"/>
      <c r="G47" s="18"/>
      <c r="H47" s="19"/>
      <c r="I47" s="19"/>
      <c r="J47" s="19"/>
      <c r="K47" s="19"/>
      <c r="L47" s="18"/>
      <c r="M47" s="19"/>
      <c r="N47" s="19"/>
      <c r="O47" s="19" cm="1">
        <f t="array" ref="O47">IFERROR(_xll.VAData("KDP_US", O$4, $C47, "VA Actuals", "CD", "IMPL","","")/100, "")</f>
        <v>-6.5000000000000006E-3</v>
      </c>
      <c r="P47" s="19" cm="1">
        <f t="array" ref="P47">IFERROR(_xll.VAData("KDP_US", P$4, $C47, "VA Actuals", "CD", "IMPL","","")/100, "")</f>
        <v>-6.5000000000000006E-3</v>
      </c>
      <c r="Q47" s="18" cm="1">
        <f t="array" ref="Q47">IFERROR(_xll.VAData("KDP_US", Q$4, $C47, "VA Actuals", "CD", "IMPL","","")/100, "")</f>
        <v>-1.8000000000000002E-2</v>
      </c>
      <c r="R47" s="19" cm="1">
        <f t="array" ref="R47">IFERROR(_xll.VAData("KDP_US", R$4, $C47, "VA Actuals", "CD", "IMPL","","")/100, "")</f>
        <v>-1E-3</v>
      </c>
      <c r="S47" s="19" cm="1">
        <f t="array" ref="S47">IFERROR(_xll.VAData("KDP_US", S$4, $C47, "VA Actuals", "CD", "IMPL","","")/100, "")</f>
        <v>-7.4999999999999997E-3</v>
      </c>
      <c r="T47" s="19" cm="1">
        <f t="array" ref="T47">IFERROR(_xll.VAData("KDP_US", T$4, $C47, "VA Actuals", "CD", "IMPL","","")/100, "")</f>
        <v>4.0000000000000001E-3</v>
      </c>
      <c r="U47" s="19" cm="1">
        <f t="array" ref="U47">IFERROR(_xll.VAData("KDP_US", U$4, $C47, "VA Actuals", "CD", "IMPL","","")/100, "")</f>
        <v>-1.6500000000000001E-2</v>
      </c>
      <c r="V47" s="18" cm="1">
        <f t="array" ref="V47">IFERROR(_xll.VAData("KDP_US", V$4, $C47, "VA Actuals", "CD", "IMPL","","")/100, "")</f>
        <v>-5.5000000000000005E-3</v>
      </c>
      <c r="W47" s="19" cm="1">
        <f t="array" ref="W47">IFERROR(_xll.VAData("KDP_US", W$4, $C47, "VA Actuals", "CD", "IMPL","","")/100, "")</f>
        <v>-1.4499999999999999E-2</v>
      </c>
      <c r="X47" s="19" cm="1">
        <f t="array" ref="X47">IFERROR(_xll.VAData("KDP_US", X$4, $C47, "VA Actuals", "CD", "IMPL","","")/100, "")</f>
        <v>-1.3999999999999999E-2</v>
      </c>
      <c r="Y47" s="19" cm="1">
        <f t="array" ref="Y47">IFERROR(_xll.VAData("KDP_US", Y$4, $C47, "VA Actuals", "CD", "IMPL","","")/100, "")</f>
        <v>-1.7500000000000002E-2</v>
      </c>
      <c r="Z47" s="19" cm="1">
        <f t="array" ref="Z47">IFERROR(_xll.VAData("KDP_US", Z$4, $C47, "VA Actuals", "CD", "IMPL","","")/100, "")</f>
        <v>2.5000000000000001E-3</v>
      </c>
      <c r="AA47" s="18" cm="1">
        <f t="array" ref="AA47">IFERROR(_xll.VAData("KDP_US", AA$4, $C47, "VA Actuals", "CD", "IMPL","","")/100, "")</f>
        <v>-1.0500000000000001E-2</v>
      </c>
      <c r="AB47" s="19" cm="1">
        <f t="array" ref="AB47">IFERROR(_xll.VAData("KDP_US", AB$4, $C47, "VA Actuals", "CD", "IMPL","","")/100, "")</f>
        <v>-2.8999999999999998E-2</v>
      </c>
      <c r="AC47" s="19" cm="1">
        <f t="array" ref="AC47">IFERROR(_xll.VAData("KDP_US", AC$4, $C47, "VA Actuals", "CD", "IMPL","","")/100, "")</f>
        <v>5.0000000000000001E-3</v>
      </c>
      <c r="AD47" s="19" cm="1">
        <f t="array" ref="AD47">IFERROR(_xll.VAData("KDP_US", AD$4, $C47, "VA Actuals", "CD", "IMPL","","")/100, "")</f>
        <v>-9.0000000000000011E-3</v>
      </c>
      <c r="AE47" s="19" cm="1">
        <f t="array" ref="AE47">IFERROR(_xll.VAData("KDP_US", AE$4, $C47, "VA Actuals", "CD", "IMPL","","")/100, "")</f>
        <v>-5.0000000000000001E-3</v>
      </c>
      <c r="AF47" s="18" cm="1">
        <f t="array" ref="AF47">IFERROR(_xll.VAData("KDP_US", AF$4, $C47, "VA Actuals", "CD", "IMPL","","")/100, "")</f>
        <v>-9.0000000000000011E-3</v>
      </c>
      <c r="AG47" s="19" cm="1">
        <f t="array" ref="AG47">IFERROR(_xll.VAData("KDP_US", AG$4, $C47, "VA Actuals", "CD", "IMPL","","")/100, "")</f>
        <v>3.6000000000000004E-2</v>
      </c>
      <c r="AH47" s="19" cm="1">
        <f t="array" ref="AH47">IFERROR(_xll.VAData("KDP_US", AH$4, $C47, "VA Actuals", "CD", "IMPL","","")/100, "")</f>
        <v>5.2999999999999999E-2</v>
      </c>
      <c r="AI47" s="19" cm="1">
        <f t="array" ref="AI47">IFERROR(_xll.VAData("KDP_US", AI$4, $C47, "VA Actuals", "CD", "IMPL","","")/100, "")</f>
        <v>6.7000000000000004E-2</v>
      </c>
      <c r="AJ47" s="19" cm="1">
        <f t="array" ref="AJ47">IFERROR(_xll.VAData("KDP_US", AJ$4, $C47, "VA Actuals", "CD", "IMPL","","")/100, "")</f>
        <v>9.3000000000000013E-2</v>
      </c>
      <c r="AK47" s="18" cm="1">
        <f t="array" ref="AK47">IFERROR(_xll.VAData("KDP_US", AK$4, $C47, "VA Actuals", "CD", "IMPL","","")/100, "")</f>
        <v>6.4000000000000001E-2</v>
      </c>
      <c r="AL47" s="19" cm="1">
        <f t="array" ref="AL47">IFERROR(_xll.VAData("KDP_US", AL$4, $C47, "VA Actuals", "CD", "IMPL","","")/100, "")</f>
        <v>5.2999999999999999E-2</v>
      </c>
      <c r="AM47" s="19" cm="1">
        <f t="array" ref="AM47">IFERROR(_xll.VAData("KDP_US", AM$4, $C47, "VA Actuals", "CD", "IMPL","","")/100, "")</f>
        <v>1.6E-2</v>
      </c>
      <c r="AN47" s="312">
        <f>(AN42*AN36+AN35*AN29)/(AN36+AN29)</f>
        <v>-8.3945299472879143E-3</v>
      </c>
      <c r="AO47" s="312">
        <f>'Coffee Market TAM (new)'!$W$78</f>
        <v>-8.0167049592438384E-3</v>
      </c>
      <c r="AP47" s="313">
        <f>'Coffee Market TAM (new)'!$W$78</f>
        <v>-8.0167049592438384E-3</v>
      </c>
      <c r="AQ47" s="312">
        <f>'Coffee Market TAM (new)'!$X$78</f>
        <v>-9.7707740465706513E-3</v>
      </c>
      <c r="AR47" s="312">
        <f>'Coffee Market TAM (new)'!$X$78</f>
        <v>-9.7707740465706513E-3</v>
      </c>
      <c r="AS47" s="312">
        <f>'Coffee Market TAM (new)'!$X$78</f>
        <v>-9.7707740465706513E-3</v>
      </c>
      <c r="AT47" s="312">
        <f>'Coffee Market TAM (new)'!$X$78</f>
        <v>-9.7707740465706513E-3</v>
      </c>
      <c r="AU47" s="313">
        <f>'Coffee Market TAM (new)'!$X$78</f>
        <v>-9.7707740465706513E-3</v>
      </c>
      <c r="AV47" s="312">
        <f>'Coffee Market TAM (new)'!$Y$78</f>
        <v>-2.6134821747405565E-3</v>
      </c>
      <c r="AW47" s="312">
        <f>'Coffee Market TAM (new)'!$Y$78</f>
        <v>-2.6134821747405565E-3</v>
      </c>
      <c r="AX47" s="312">
        <f>'Coffee Market TAM (new)'!$Y$78</f>
        <v>-2.6134821747405565E-3</v>
      </c>
      <c r="AY47" s="312">
        <f>'Coffee Market TAM (new)'!$Y$78</f>
        <v>-2.6134821747405565E-3</v>
      </c>
      <c r="AZ47" s="313">
        <f>'Coffee Market TAM (new)'!$Y$78</f>
        <v>-2.6134821747405565E-3</v>
      </c>
    </row>
    <row r="48" spans="1:54" hidden="1" outlineLevel="1">
      <c r="A48" s="148"/>
      <c r="B48" s="448" t="s">
        <v>633</v>
      </c>
      <c r="C48" s="369" t="s">
        <v>65</v>
      </c>
      <c r="D48" s="369"/>
      <c r="E48" s="370"/>
      <c r="F48" s="371"/>
      <c r="G48" s="371"/>
      <c r="H48" s="359"/>
      <c r="I48" s="359"/>
      <c r="J48" s="359"/>
      <c r="K48" s="359"/>
      <c r="L48" s="371"/>
      <c r="M48" s="359"/>
      <c r="N48" s="359"/>
      <c r="O48" s="359"/>
      <c r="P48" s="359"/>
      <c r="Q48" s="371"/>
      <c r="R48" s="359"/>
      <c r="S48" s="359"/>
      <c r="T48" s="359"/>
      <c r="U48" s="359"/>
      <c r="V48" s="371"/>
      <c r="W48" s="359"/>
      <c r="X48" s="359"/>
      <c r="Y48" s="359"/>
      <c r="Z48" s="359"/>
      <c r="AA48" s="371"/>
      <c r="AB48" s="359"/>
      <c r="AC48" s="359"/>
      <c r="AD48" s="359"/>
      <c r="AE48" s="359"/>
      <c r="AF48" s="371"/>
      <c r="AG48" s="359"/>
      <c r="AH48" s="359"/>
      <c r="AI48" s="359"/>
      <c r="AJ48" s="359"/>
      <c r="AK48" s="371"/>
      <c r="AL48" s="359"/>
      <c r="AM48" s="359"/>
      <c r="AN48" s="311" cm="1">
        <f t="array" ref="AN48">_xll.VAData("KDP_US", AN$4, $C48, "Consensus", "CD", "IMPL","","")/100</f>
        <v>1.95E-2</v>
      </c>
      <c r="AO48" s="312" cm="1">
        <f t="array" ref="AO48">_xll.VAData("KDP_US", AO$4, $C48, "Consensus", "CD", "IMPL","","")/100</f>
        <v>3.4000000000000002E-2</v>
      </c>
      <c r="AP48" s="313" cm="1">
        <f t="array" ref="AP48">_xll.VAData("KDP_US", AP$4, $C48, "Consensus", "CD", "IMPL","","")/100</f>
        <v>3.0677557630565268E-2</v>
      </c>
      <c r="AQ48" s="312" cm="1">
        <f t="array" ref="AQ48">_xll.VAData("KDP_US", AQ$4, $C48, "Consensus", "CD", "IMPL","","")/100</f>
        <v>2.1499999999999998E-2</v>
      </c>
      <c r="AR48" s="312" cm="1">
        <f t="array" ref="AR48">_xll.VAData("KDP_US", AR$4, $C48, "Consensus", "CD", "IMPL","","")/100</f>
        <v>2.0499999999999997E-2</v>
      </c>
      <c r="AS48" s="312" cm="1">
        <f t="array" ref="AS48">_xll.VAData("KDP_US", AS$4, $C48, "Consensus", "CD", "IMPL","","")/100</f>
        <v>1.9E-2</v>
      </c>
      <c r="AT48" s="312" cm="1">
        <f t="array" ref="AT48">_xll.VAData("KDP_US", AT$4, $C48, "Consensus", "CD", "IMPL","","")/100</f>
        <v>1.7000000000000001E-2</v>
      </c>
      <c r="AU48" s="313" cm="1">
        <f t="array" ref="AU48">_xll.VAData("KDP_US", AU$4, $C48, "Consensus", "CD", "IMPL","","")/100</f>
        <v>1.9122737459580649E-2</v>
      </c>
      <c r="AV48" s="312" cm="1">
        <f t="array" ref="AV48">_xll.VAData("KDP_US", AV$4, $C48, "Consensus", "CD", "IMPL","","")/100</f>
        <v>9.0000000000000011E-3</v>
      </c>
      <c r="AW48" s="312" cm="1">
        <f t="array" ref="AW48">_xll.VAData("KDP_US", AW$4, $C48, "Consensus", "CD", "IMPL","","")/100</f>
        <v>9.0000000000000011E-3</v>
      </c>
      <c r="AX48" s="312" cm="1">
        <f t="array" ref="AX48">_xll.VAData("KDP_US", AX$4, $C48, "Consensus", "CD", "IMPL","","")/100</f>
        <v>1.1000000000000001E-2</v>
      </c>
      <c r="AY48" s="312" cm="1">
        <f t="array" ref="AY48">_xll.VAData("KDP_US", AY$4, $C48, "Consensus", "CD", "IMPL","","")/100</f>
        <v>1.1000000000000001E-2</v>
      </c>
      <c r="AZ48" s="313" cm="1">
        <f t="array" ref="AZ48">_xll.VAData("KDP_US", AZ$4, $C48, "Consensus", "CD", "IMPL","","")/100</f>
        <v>9.2857142857142912E-3</v>
      </c>
    </row>
    <row r="49" spans="1:54" collapsed="1">
      <c r="A49" s="148"/>
      <c r="B49" s="449" t="s">
        <v>752</v>
      </c>
      <c r="C49" s="369"/>
      <c r="D49" s="369"/>
      <c r="E49" s="370"/>
      <c r="F49" s="371"/>
      <c r="G49" s="371"/>
      <c r="H49" s="359"/>
      <c r="I49" s="359"/>
      <c r="J49" s="359"/>
      <c r="K49" s="359"/>
      <c r="L49" s="371"/>
      <c r="M49" s="359"/>
      <c r="N49" s="359"/>
      <c r="O49" s="359"/>
      <c r="P49" s="359"/>
      <c r="Q49" s="371"/>
      <c r="R49" s="359"/>
      <c r="S49" s="359"/>
      <c r="T49" s="359"/>
      <c r="U49" s="359"/>
      <c r="V49" s="371"/>
      <c r="W49" s="359"/>
      <c r="X49" s="359"/>
      <c r="Y49" s="359"/>
      <c r="Z49" s="359"/>
      <c r="AA49" s="371"/>
      <c r="AB49" s="359"/>
      <c r="AC49" s="359"/>
      <c r="AD49" s="359"/>
      <c r="AE49" s="359"/>
      <c r="AF49" s="371"/>
      <c r="AG49" s="359"/>
      <c r="AH49" s="359"/>
      <c r="AI49" s="359"/>
      <c r="AJ49" s="359"/>
      <c r="AK49" s="371"/>
      <c r="AL49" s="359"/>
      <c r="AM49" s="359"/>
      <c r="AN49" s="311">
        <f>AN46+AN48</f>
        <v>-7.7440070300000032E-3</v>
      </c>
      <c r="AO49" s="311">
        <f>AO46+AO48</f>
        <v>2.6604285710000002E-2</v>
      </c>
      <c r="AP49" s="313">
        <f t="shared" ref="AP49:AZ49" si="190">AP46+AP48</f>
        <v>-1.0881893826299373E-2</v>
      </c>
      <c r="AQ49" s="312">
        <f t="shared" si="190"/>
        <v>4.4093473639999999E-2</v>
      </c>
      <c r="AR49" s="312">
        <f t="shared" si="190"/>
        <v>5.0232774479999999E-2</v>
      </c>
      <c r="AS49" s="312">
        <f t="shared" si="190"/>
        <v>3.8414015879999999E-2</v>
      </c>
      <c r="AT49" s="312">
        <f t="shared" si="190"/>
        <v>3.5337133000000007E-2</v>
      </c>
      <c r="AU49" s="313">
        <f t="shared" si="190"/>
        <v>4.1392059030612188E-2</v>
      </c>
      <c r="AV49" s="312">
        <f t="shared" si="190"/>
        <v>3.1000000000000003E-2</v>
      </c>
      <c r="AW49" s="312">
        <f t="shared" si="190"/>
        <v>3.1000000000000003E-2</v>
      </c>
      <c r="AX49" s="312">
        <f t="shared" si="190"/>
        <v>3.3000000000000002E-2</v>
      </c>
      <c r="AY49" s="312">
        <f t="shared" si="190"/>
        <v>3.3000000000000002E-2</v>
      </c>
      <c r="AZ49" s="313">
        <f t="shared" si="190"/>
        <v>3.5107708785714294E-2</v>
      </c>
    </row>
    <row r="50" spans="1:54">
      <c r="A50" s="148"/>
      <c r="B50" s="449" t="s">
        <v>639</v>
      </c>
      <c r="C50" s="369"/>
      <c r="D50" s="369"/>
      <c r="E50" s="371"/>
      <c r="F50" s="371"/>
      <c r="G50" s="371"/>
      <c r="H50" s="359"/>
      <c r="I50" s="359"/>
      <c r="J50" s="359"/>
      <c r="K50" s="359"/>
      <c r="L50" s="371"/>
      <c r="M50" s="359"/>
      <c r="N50" s="359"/>
      <c r="O50" s="359"/>
      <c r="P50" s="359"/>
      <c r="Q50" s="371">
        <f>'Coffee Market TAM (new)'!R74</f>
        <v>1.8326612629443462E-2</v>
      </c>
      <c r="R50" s="359"/>
      <c r="S50" s="359"/>
      <c r="T50" s="359"/>
      <c r="U50" s="359"/>
      <c r="V50" s="371">
        <f>'Coffee Market TAM (new)'!S74</f>
        <v>2.3728049554307296E-2</v>
      </c>
      <c r="W50" s="359"/>
      <c r="X50" s="359"/>
      <c r="Y50" s="359"/>
      <c r="Z50" s="359"/>
      <c r="AA50" s="371">
        <f>'Coffee Market TAM (new)'!T74</f>
        <v>3.4648951955503327E-2</v>
      </c>
      <c r="AB50" s="359"/>
      <c r="AC50" s="359"/>
      <c r="AD50" s="359"/>
      <c r="AE50" s="359"/>
      <c r="AF50" s="371">
        <f>'Coffee Market TAM (new)'!U74</f>
        <v>8.3150498966770625E-2</v>
      </c>
      <c r="AG50" s="359"/>
      <c r="AH50" s="359"/>
      <c r="AI50" s="359"/>
      <c r="AJ50" s="359"/>
      <c r="AK50" s="371">
        <f>'Coffee Market TAM (new)'!V74</f>
        <v>-4.2836896083731091E-3</v>
      </c>
      <c r="AL50" s="359"/>
      <c r="AM50" s="359"/>
      <c r="AN50" s="372"/>
      <c r="AO50" s="373"/>
      <c r="AP50" s="374"/>
      <c r="AQ50" s="373"/>
      <c r="AR50" s="373"/>
      <c r="AS50" s="373"/>
      <c r="AT50" s="373"/>
      <c r="AU50" s="374"/>
      <c r="AV50" s="373"/>
      <c r="AW50" s="373"/>
      <c r="AX50" s="373"/>
      <c r="AY50" s="373"/>
      <c r="AZ50" s="374"/>
    </row>
    <row r="51" spans="1:54" s="11" customFormat="1">
      <c r="A51" s="171"/>
      <c r="B51" s="377" t="s">
        <v>459</v>
      </c>
      <c r="C51" s="378" t="s">
        <v>896</v>
      </c>
      <c r="D51" s="378"/>
      <c r="E51" s="379"/>
      <c r="F51" s="380"/>
      <c r="G51" s="380"/>
      <c r="H51" s="381"/>
      <c r="I51" s="381"/>
      <c r="J51" s="381"/>
      <c r="K51" s="381"/>
      <c r="L51" s="380"/>
      <c r="M51" s="381"/>
      <c r="N51" s="381"/>
      <c r="O51" s="381">
        <f t="shared" ref="O51:AL51" si="191">O45+O47</f>
        <v>2.8500000000000004E-2</v>
      </c>
      <c r="P51" s="381">
        <f t="shared" si="191"/>
        <v>2.1499999999999998E-2</v>
      </c>
      <c r="Q51" s="380">
        <f t="shared" si="191"/>
        <v>2.4999999999999994E-2</v>
      </c>
      <c r="R51" s="381">
        <f t="shared" si="191"/>
        <v>1.9499999999999997E-2</v>
      </c>
      <c r="S51" s="381">
        <f t="shared" si="191"/>
        <v>2.8999999999999998E-2</v>
      </c>
      <c r="T51" s="381">
        <f t="shared" si="191"/>
        <v>2.1500000000000002E-2</v>
      </c>
      <c r="U51" s="381">
        <f t="shared" si="191"/>
        <v>4.0500000000000001E-2</v>
      </c>
      <c r="V51" s="380">
        <f t="shared" si="191"/>
        <v>2.75E-2</v>
      </c>
      <c r="W51" s="381">
        <f t="shared" si="191"/>
        <v>4.7500000000000001E-2</v>
      </c>
      <c r="X51" s="381">
        <f t="shared" si="191"/>
        <v>6.0499999999999998E-2</v>
      </c>
      <c r="Y51" s="381">
        <f t="shared" si="191"/>
        <v>6.9499999999999992E-2</v>
      </c>
      <c r="Z51" s="381">
        <f t="shared" si="191"/>
        <v>8.4000000000000005E-2</v>
      </c>
      <c r="AA51" s="380">
        <f t="shared" si="191"/>
        <v>6.6500000000000004E-2</v>
      </c>
      <c r="AB51" s="381">
        <f t="shared" si="191"/>
        <v>0.18700000000000003</v>
      </c>
      <c r="AC51" s="381">
        <f t="shared" si="191"/>
        <v>4.5999999999999992E-2</v>
      </c>
      <c r="AD51" s="381">
        <f t="shared" si="191"/>
        <v>5.2999999999999999E-2</v>
      </c>
      <c r="AE51" s="381">
        <f t="shared" si="191"/>
        <v>-8.0000000000000002E-3</v>
      </c>
      <c r="AF51" s="380">
        <f t="shared" si="191"/>
        <v>6.1999999999999993E-2</v>
      </c>
      <c r="AG51" s="381">
        <f t="shared" si="191"/>
        <v>-5.3999999999999992E-2</v>
      </c>
      <c r="AH51" s="381">
        <f t="shared" si="191"/>
        <v>7.6999999999999999E-2</v>
      </c>
      <c r="AI51" s="381">
        <f t="shared" si="191"/>
        <v>4.3000000000000003E-2</v>
      </c>
      <c r="AJ51" s="381">
        <f t="shared" si="191"/>
        <v>0.13200000000000001</v>
      </c>
      <c r="AK51" s="380">
        <f t="shared" si="191"/>
        <v>5.2000000000000005E-2</v>
      </c>
      <c r="AL51" s="381">
        <f t="shared" si="191"/>
        <v>-1.3000000000000005E-2</v>
      </c>
      <c r="AM51" s="381">
        <f>AM45+AM47</f>
        <v>-5.6999999999999995E-2</v>
      </c>
      <c r="AN51" s="381">
        <f t="shared" ref="AN51:AZ51" si="192">AN28/AI28-1</f>
        <v>-5.1658000403879245E-2</v>
      </c>
      <c r="AO51" s="381">
        <f t="shared" si="192"/>
        <v>-5.3665457524314952E-2</v>
      </c>
      <c r="AP51" s="450">
        <f t="shared" si="192"/>
        <v>-4.5081990548767714E-2</v>
      </c>
      <c r="AQ51" s="381">
        <f t="shared" si="192"/>
        <v>-6.1480956556738242E-2</v>
      </c>
      <c r="AR51" s="381">
        <f t="shared" si="192"/>
        <v>-2.1101428556831281E-2</v>
      </c>
      <c r="AS51" s="381">
        <f t="shared" si="192"/>
        <v>-2.6855715467675512E-2</v>
      </c>
      <c r="AT51" s="381">
        <f t="shared" si="192"/>
        <v>-2.8196356771800324E-2</v>
      </c>
      <c r="AU51" s="382">
        <f t="shared" si="192"/>
        <v>-3.3740895625992251E-2</v>
      </c>
      <c r="AV51" s="381">
        <f t="shared" si="192"/>
        <v>-2.265002709103503E-2</v>
      </c>
      <c r="AW51" s="381">
        <f t="shared" si="192"/>
        <v>-2.2742427892614714E-2</v>
      </c>
      <c r="AX51" s="381">
        <f t="shared" si="192"/>
        <v>-2.2066550945407437E-2</v>
      </c>
      <c r="AY51" s="381">
        <f t="shared" si="192"/>
        <v>-2.207473530777837E-2</v>
      </c>
      <c r="AZ51" s="382">
        <f t="shared" si="192"/>
        <v>-2.2359099764358237E-2</v>
      </c>
      <c r="BB51" s="257"/>
    </row>
    <row r="52" spans="1:54" s="11" customFormat="1">
      <c r="A52" s="171"/>
      <c r="B52" s="404"/>
      <c r="C52" s="405"/>
      <c r="D52" s="405"/>
      <c r="E52" s="396"/>
      <c r="F52" s="406"/>
      <c r="G52" s="406"/>
      <c r="H52" s="406"/>
      <c r="I52" s="406"/>
      <c r="J52" s="406"/>
      <c r="K52" s="406"/>
      <c r="L52" s="406"/>
      <c r="M52" s="406"/>
      <c r="N52" s="406"/>
      <c r="O52" s="406"/>
      <c r="P52" s="406"/>
      <c r="Q52" s="406"/>
      <c r="R52" s="406"/>
      <c r="S52" s="406"/>
      <c r="T52" s="406"/>
      <c r="U52" s="406"/>
      <c r="V52" s="406"/>
      <c r="W52" s="406"/>
      <c r="X52" s="406"/>
      <c r="Y52" s="406"/>
      <c r="Z52" s="406"/>
      <c r="AA52" s="406"/>
      <c r="AB52" s="406"/>
      <c r="AC52" s="406"/>
      <c r="AD52" s="406"/>
      <c r="AE52" s="406"/>
      <c r="AF52" s="406"/>
      <c r="AG52" s="406"/>
      <c r="AH52" s="406"/>
      <c r="AI52" s="406"/>
      <c r="AJ52" s="406"/>
      <c r="AK52" s="406"/>
      <c r="AL52" s="406"/>
      <c r="AM52" s="406"/>
      <c r="AN52" s="406"/>
      <c r="AO52" s="406"/>
      <c r="AP52" s="407"/>
      <c r="AQ52" s="406"/>
      <c r="AR52" s="406"/>
      <c r="AS52" s="406"/>
      <c r="AT52" s="406"/>
      <c r="AU52" s="407"/>
      <c r="AV52" s="406"/>
      <c r="AW52" s="406"/>
      <c r="AX52" s="406"/>
      <c r="AY52" s="406"/>
      <c r="AZ52" s="407"/>
      <c r="BB52" s="257"/>
    </row>
    <row r="53" spans="1:54">
      <c r="A53" s="148"/>
      <c r="B53" s="378" t="s">
        <v>52</v>
      </c>
      <c r="C53" s="378" t="s">
        <v>54</v>
      </c>
      <c r="D53" s="378"/>
      <c r="E53" s="379"/>
      <c r="F53" s="383"/>
      <c r="G53" s="383"/>
      <c r="H53" s="384"/>
      <c r="I53" s="384"/>
      <c r="J53" s="384"/>
      <c r="K53" s="384"/>
      <c r="L53" s="383"/>
      <c r="M53" s="384"/>
      <c r="N53" s="384"/>
      <c r="O53" s="384">
        <f t="shared" ref="O53:AA53" si="193">SUM(O54:O56)</f>
        <v>350.10000000000008</v>
      </c>
      <c r="P53" s="384">
        <f t="shared" si="193"/>
        <v>344.12000000000006</v>
      </c>
      <c r="Q53" s="383">
        <f t="shared" si="193"/>
        <v>1337.0000000000002</v>
      </c>
      <c r="R53" s="384">
        <f t="shared" si="193"/>
        <v>308.32000000000005</v>
      </c>
      <c r="S53" s="384">
        <f t="shared" si="193"/>
        <v>346.84000000000009</v>
      </c>
      <c r="T53" s="384">
        <f t="shared" si="193"/>
        <v>353.78000000000009</v>
      </c>
      <c r="U53" s="384">
        <f t="shared" si="193"/>
        <v>366.04000000000008</v>
      </c>
      <c r="V53" s="383">
        <f t="shared" si="193"/>
        <v>1374.9800000000002</v>
      </c>
      <c r="W53" s="384">
        <f t="shared" si="193"/>
        <v>314.14000000000004</v>
      </c>
      <c r="X53" s="384">
        <f t="shared" si="193"/>
        <v>334.06000000000006</v>
      </c>
      <c r="Y53" s="384">
        <f t="shared" si="193"/>
        <v>349.54000000000008</v>
      </c>
      <c r="Z53" s="384">
        <f t="shared" si="193"/>
        <v>387.40000000000009</v>
      </c>
      <c r="AA53" s="383">
        <f t="shared" si="193"/>
        <v>1385.1400000000003</v>
      </c>
      <c r="AB53" s="580">
        <v>326</v>
      </c>
      <c r="AC53" s="580">
        <v>378</v>
      </c>
      <c r="AD53" s="580">
        <v>374</v>
      </c>
      <c r="AE53" s="580">
        <v>396</v>
      </c>
      <c r="AF53" s="584">
        <v>1474</v>
      </c>
      <c r="AG53" s="580">
        <v>354</v>
      </c>
      <c r="AH53" s="580">
        <v>441</v>
      </c>
      <c r="AI53" s="580">
        <v>433</v>
      </c>
      <c r="AJ53" s="580">
        <v>444</v>
      </c>
      <c r="AK53" s="584">
        <f>SUM(AG53:AJ53)</f>
        <v>1672</v>
      </c>
      <c r="AL53" s="580">
        <v>415</v>
      </c>
      <c r="AM53" s="580">
        <v>489</v>
      </c>
      <c r="AN53" s="384">
        <f>AI53*(1+AN60)</f>
        <v>468.6546334364416</v>
      </c>
      <c r="AO53" s="384">
        <f>AJ53*(1+AO60)</f>
        <v>482.8024173779425</v>
      </c>
      <c r="AP53" s="385">
        <f>SUM(AL53:AO53)</f>
        <v>1855.457050814384</v>
      </c>
      <c r="AQ53" s="384">
        <f>AL53*(1+AQ60)</f>
        <v>437.7099066718585</v>
      </c>
      <c r="AR53" s="384">
        <f>AM53*(1+AR60)</f>
        <v>521.50566561406629</v>
      </c>
      <c r="AS53" s="384">
        <f>AN53*(1+AS60)</f>
        <v>498.84457984737855</v>
      </c>
      <c r="AT53" s="384">
        <f>AO53*(1+AT60)</f>
        <v>513.43842531701557</v>
      </c>
      <c r="AU53" s="385">
        <f>SUM(AQ53:AT53)</f>
        <v>1971.4985774503189</v>
      </c>
      <c r="AV53" s="384">
        <f>AQ53*(1+AV60)</f>
        <v>463.53479116549812</v>
      </c>
      <c r="AW53" s="384">
        <f>AR53*(1+AW60)</f>
        <v>552.27449988529622</v>
      </c>
      <c r="AX53" s="384">
        <f>AS53*(1+AX60)</f>
        <v>528.27641005837381</v>
      </c>
      <c r="AY53" s="384">
        <f>AT53*(1+AY60)</f>
        <v>543.73129241071945</v>
      </c>
      <c r="AZ53" s="385">
        <f>SUM(AV53:AY53)</f>
        <v>2087.8169935198875</v>
      </c>
    </row>
    <row r="54" spans="1:54" hidden="1" outlineLevel="1">
      <c r="A54" s="148"/>
      <c r="B54" s="409" t="s">
        <v>679</v>
      </c>
      <c r="C54" s="369"/>
      <c r="D54" s="369"/>
      <c r="E54" s="390"/>
      <c r="F54" s="391"/>
      <c r="G54" s="391"/>
      <c r="H54" s="392"/>
      <c r="I54" s="392"/>
      <c r="J54" s="392"/>
      <c r="K54" s="392"/>
      <c r="L54" s="391"/>
      <c r="M54" s="392"/>
      <c r="N54" s="392"/>
      <c r="O54" s="499">
        <f>(1-O77)*(O66+O67)</f>
        <v>66.680000000000064</v>
      </c>
      <c r="P54" s="499">
        <f>(1-P77)*(P66+P67)</f>
        <v>61.160000000000053</v>
      </c>
      <c r="Q54" s="391">
        <f>(1-Q77)*(Q66+Q67)</f>
        <v>256.04000000000025</v>
      </c>
      <c r="R54" s="392">
        <f t="shared" ref="R54:AA54" si="194">(1-R77)*(R66+R67)</f>
        <v>56.800000000000054</v>
      </c>
      <c r="S54" s="392">
        <f t="shared" si="194"/>
        <v>67.240000000000066</v>
      </c>
      <c r="T54" s="392">
        <f t="shared" si="194"/>
        <v>66.680000000000064</v>
      </c>
      <c r="U54" s="392">
        <f t="shared" si="194"/>
        <v>63.640000000000057</v>
      </c>
      <c r="V54" s="391">
        <f t="shared" si="194"/>
        <v>254.36000000000021</v>
      </c>
      <c r="W54" s="392">
        <f>(1-W77)*(W66+W67)</f>
        <v>60.920000000000051</v>
      </c>
      <c r="X54" s="392">
        <f t="shared" si="194"/>
        <v>68.040000000000063</v>
      </c>
      <c r="Y54" s="392">
        <f t="shared" si="194"/>
        <v>71.960000000000065</v>
      </c>
      <c r="Z54" s="392">
        <f>(1-Z77)*(Z66+Z67)</f>
        <v>66.600000000000065</v>
      </c>
      <c r="AA54" s="391">
        <f t="shared" si="194"/>
        <v>267.52000000000021</v>
      </c>
      <c r="AB54" s="392">
        <f>(1-AB77)*(AB66+AB67)</f>
        <v>55.999999999999943</v>
      </c>
      <c r="AC54" s="392">
        <f>(1-AC77)*(AC66+AC67)</f>
        <v>66.000000000000043</v>
      </c>
      <c r="AD54" s="392">
        <f>(1-AD77)*(AD66+AD67)</f>
        <v>77.560000000000073</v>
      </c>
      <c r="AE54" s="392">
        <f>(1-AE77)*(AE66+AE67)</f>
        <v>76.840000000000074</v>
      </c>
      <c r="AF54" s="391">
        <f>(1-AF77)*(AF66+AF67)</f>
        <v>294.72000000000025</v>
      </c>
      <c r="AG54" s="393"/>
      <c r="AH54" s="393"/>
      <c r="AI54" s="392"/>
      <c r="AJ54" s="392"/>
      <c r="AK54" s="391"/>
      <c r="AL54" s="392"/>
      <c r="AM54" s="392"/>
      <c r="AN54" s="148"/>
      <c r="AO54" s="148"/>
      <c r="AP54" s="395"/>
      <c r="AQ54" s="148"/>
      <c r="AR54" s="148"/>
      <c r="AS54" s="148"/>
      <c r="AT54" s="148"/>
      <c r="AU54" s="395"/>
      <c r="AV54" s="220"/>
      <c r="AW54" s="220"/>
      <c r="AX54" s="220"/>
      <c r="AY54" s="220"/>
      <c r="AZ54" s="395"/>
    </row>
    <row r="55" spans="1:54" hidden="1" outlineLevel="1">
      <c r="B55" s="7" t="s">
        <v>363</v>
      </c>
      <c r="C55" s="6"/>
      <c r="D55" s="6"/>
      <c r="E55" s="14"/>
      <c r="F55" s="28"/>
      <c r="G55" s="28"/>
      <c r="H55" s="29"/>
      <c r="I55" s="29"/>
      <c r="J55" s="29"/>
      <c r="K55" s="29"/>
      <c r="L55" s="28"/>
      <c r="M55" s="29"/>
      <c r="N55" s="29"/>
      <c r="O55" s="439">
        <f>(1-O76)*O65</f>
        <v>147.42000000000002</v>
      </c>
      <c r="P55" s="439">
        <f>(1-P76)*P65</f>
        <v>162.96</v>
      </c>
      <c r="Q55" s="28">
        <f>(1-Q76)*Q65</f>
        <v>575.96</v>
      </c>
      <c r="R55" s="29">
        <f t="shared" ref="R55:AA55" si="195">(1-R76)*R65</f>
        <v>135.52000000000001</v>
      </c>
      <c r="S55" s="29">
        <f t="shared" si="195"/>
        <v>138.60000000000002</v>
      </c>
      <c r="T55" s="29">
        <f t="shared" si="195"/>
        <v>149.10000000000002</v>
      </c>
      <c r="U55" s="29">
        <f t="shared" si="195"/>
        <v>169.4</v>
      </c>
      <c r="V55" s="28">
        <f t="shared" si="195"/>
        <v>592.62</v>
      </c>
      <c r="W55" s="29">
        <f>(1-W76)*W65</f>
        <v>136.22</v>
      </c>
      <c r="X55" s="29">
        <f t="shared" si="195"/>
        <v>146.02000000000001</v>
      </c>
      <c r="Y55" s="29">
        <f t="shared" si="195"/>
        <v>153.58000000000001</v>
      </c>
      <c r="Z55" s="29">
        <f t="shared" si="195"/>
        <v>184.8</v>
      </c>
      <c r="AA55" s="28">
        <f t="shared" si="195"/>
        <v>620.62</v>
      </c>
      <c r="AB55" s="29">
        <f>(1-AB76)*AB65</f>
        <v>145</v>
      </c>
      <c r="AC55" s="29">
        <f>(1-AC76)*AC65</f>
        <v>145.99999999999994</v>
      </c>
      <c r="AD55" s="29">
        <f>(1-AD76)*AD65</f>
        <v>161.70000000000002</v>
      </c>
      <c r="AE55" s="29">
        <f>(1-AE76)*AE65</f>
        <v>184.52</v>
      </c>
      <c r="AF55" s="28">
        <f>(1-AF76)*AF65</f>
        <v>660.24</v>
      </c>
      <c r="AG55" s="53"/>
      <c r="AH55" s="53"/>
      <c r="AI55" s="53"/>
      <c r="AJ55" s="57"/>
      <c r="AK55" s="28"/>
      <c r="AL55" s="29"/>
      <c r="AM55" s="29"/>
      <c r="AP55" s="199"/>
      <c r="AU55" s="199"/>
      <c r="AV55" s="83"/>
      <c r="AW55" s="83"/>
      <c r="AX55" s="83"/>
      <c r="AY55" s="83"/>
      <c r="AZ55" s="199"/>
    </row>
    <row r="56" spans="1:54" hidden="1" outlineLevel="1">
      <c r="B56" s="7" t="s">
        <v>744</v>
      </c>
      <c r="C56" s="6"/>
      <c r="D56" s="6"/>
      <c r="E56" s="14"/>
      <c r="F56" s="28"/>
      <c r="G56" s="28"/>
      <c r="H56" s="29"/>
      <c r="I56" s="29"/>
      <c r="J56" s="29"/>
      <c r="K56" s="29"/>
      <c r="L56" s="28"/>
      <c r="M56" s="29"/>
      <c r="N56" s="29"/>
      <c r="O56" s="439">
        <f>O68</f>
        <v>136</v>
      </c>
      <c r="P56" s="439">
        <f>P68</f>
        <v>120</v>
      </c>
      <c r="Q56" s="28">
        <f>Q68</f>
        <v>505</v>
      </c>
      <c r="R56" s="29">
        <f t="shared" ref="R56:AA56" si="196">R68</f>
        <v>116</v>
      </c>
      <c r="S56" s="29">
        <f t="shared" si="196"/>
        <v>141</v>
      </c>
      <c r="T56" s="29">
        <f t="shared" si="196"/>
        <v>138</v>
      </c>
      <c r="U56" s="29">
        <f t="shared" si="196"/>
        <v>133</v>
      </c>
      <c r="V56" s="28">
        <f t="shared" si="196"/>
        <v>528</v>
      </c>
      <c r="W56" s="29">
        <f>W68</f>
        <v>117</v>
      </c>
      <c r="X56" s="29">
        <f t="shared" si="196"/>
        <v>120</v>
      </c>
      <c r="Y56" s="29">
        <f t="shared" si="196"/>
        <v>124</v>
      </c>
      <c r="Z56" s="29">
        <f t="shared" si="196"/>
        <v>136</v>
      </c>
      <c r="AA56" s="28">
        <f t="shared" si="196"/>
        <v>497</v>
      </c>
      <c r="AB56" s="29">
        <f>AB68</f>
        <v>125</v>
      </c>
      <c r="AC56" s="29">
        <f>AC68</f>
        <v>166</v>
      </c>
      <c r="AD56" s="29">
        <f>AD68</f>
        <v>156</v>
      </c>
      <c r="AE56" s="29">
        <f>AE68</f>
        <v>152</v>
      </c>
      <c r="AF56" s="28">
        <f>AF68</f>
        <v>599</v>
      </c>
      <c r="AG56" s="53"/>
      <c r="AH56" s="53"/>
      <c r="AI56" s="53"/>
      <c r="AJ56" s="57"/>
      <c r="AK56" s="28"/>
      <c r="AL56" s="29"/>
      <c r="AM56" s="29"/>
      <c r="AP56" s="199"/>
      <c r="AU56" s="199"/>
      <c r="AV56" s="83"/>
      <c r="AW56" s="83"/>
      <c r="AX56" s="83"/>
      <c r="AY56" s="83"/>
      <c r="AZ56" s="199"/>
    </row>
    <row r="57" spans="1:54" hidden="1" outlineLevel="1">
      <c r="B57" s="38" t="s">
        <v>59</v>
      </c>
      <c r="C57" s="6" t="s">
        <v>66</v>
      </c>
      <c r="D57" s="6"/>
      <c r="E57" s="12"/>
      <c r="F57" s="18"/>
      <c r="G57" s="18"/>
      <c r="H57" s="19"/>
      <c r="I57" s="19"/>
      <c r="J57" s="19"/>
      <c r="K57" s="19"/>
      <c r="L57" s="18"/>
      <c r="M57" s="19"/>
      <c r="N57" s="19"/>
      <c r="O57" s="19" cm="1">
        <f t="array" ref="O57">IFERROR(_xll.VAData("KDP_US", O$4, $C57, "VA Actuals", "CD", "IMPL","","")/100, "")</f>
        <v>-6.0000000000000001E-3</v>
      </c>
      <c r="P57" s="19" cm="1">
        <f t="array" ref="P57">IFERROR(_xll.VAData("KDP_US", P$4, $C57, "VA Actuals", "CD", "IMPL","","")/100, "")</f>
        <v>0</v>
      </c>
      <c r="Q57" s="18" cm="1">
        <f t="array" ref="Q57">IFERROR(_xll.VAData("KDP_US", Q$4, $C57, "VA Actuals", "CD", "IMPL","","")/100, "")</f>
        <v>6.9999999999999993E-3</v>
      </c>
      <c r="R57" s="19" cm="1">
        <f t="array" ref="R57">IFERROR(_xll.VAData("KDP_US", R$4, $C57, "VA Actuals", "CD", "IMPL","","")/100, "")</f>
        <v>0.01</v>
      </c>
      <c r="S57" s="19" cm="1">
        <f t="array" ref="S57">IFERROR(_xll.VAData("KDP_US", S$4, $C57, "VA Actuals", "CD", "IMPL","","")/100, "")</f>
        <v>-1.3999999999999999E-2</v>
      </c>
      <c r="T57" s="19" cm="1">
        <f t="array" ref="T57">IFERROR(_xll.VAData("KDP_US", T$4, $C57, "VA Actuals", "CD", "IMPL","","")/100, "")</f>
        <v>-1.4999999999999999E-2</v>
      </c>
      <c r="U57" s="19" cm="1">
        <f t="array" ref="U57">IFERROR(_xll.VAData("KDP_US", U$4, $C57, "VA Actuals", "CD", "IMPL","","")/100, "")</f>
        <v>2.6000000000000002E-2</v>
      </c>
      <c r="V57" s="18" cm="1">
        <f t="array" ref="V57">IFERROR(_xll.VAData("KDP_US", V$4, $C57, "VA Actuals", "CD", "IMPL","","")/100, "")</f>
        <v>8.7499999999999991E-4</v>
      </c>
      <c r="W57" s="19" cm="1">
        <f t="array" ref="W57">IFERROR(_xll.VAData("KDP_US", W$4, $C57, "VA Actuals", "CD", "IMPL","","")/100, "")</f>
        <v>-6.9999999999999993E-3</v>
      </c>
      <c r="X57" s="19" cm="1">
        <f t="array" ref="X57">IFERROR(_xll.VAData("KDP_US", X$4, $C57, "VA Actuals", "CD", "IMPL","","")/100, "")</f>
        <v>-4.7E-2</v>
      </c>
      <c r="Y57" s="19" cm="1">
        <f t="array" ref="Y57">IFERROR(_xll.VAData("KDP_US", Y$4, $C57, "VA Actuals", "CD", "IMPL","","")/100, "")</f>
        <v>3.4999999999999996E-3</v>
      </c>
      <c r="Z57" s="19" cm="1">
        <f t="array" ref="Z57">IFERROR(_xll.VAData("KDP_US", Z$4, $C57, "VA Actuals", "CD", "IMPL","","")/100, "")</f>
        <v>2.3E-2</v>
      </c>
      <c r="AA57" s="18" cm="1">
        <f t="array" ref="AA57">IFERROR(_xll.VAData("KDP_US", AA$4, $C57, "VA Actuals", "CD", "IMPL","","")/100, "")</f>
        <v>-0.02</v>
      </c>
      <c r="AB57" s="19" cm="1">
        <f t="array" ref="AB57">IFERROR(_xll.VAData("KDP_US", AB$4, $C57, "VA Actuals", "CD", "IMPL","","")/100, "")</f>
        <v>2.4E-2</v>
      </c>
      <c r="AC57" s="19" cm="1">
        <f t="array" ref="AC57">IFERROR(_xll.VAData("KDP_US", AC$4, $C57, "VA Actuals", "CD", "IMPL","","")/100, "")</f>
        <v>8.5000000000000006E-2</v>
      </c>
      <c r="AD57" s="19" cm="1">
        <f t="array" ref="AD57">IFERROR(_xll.VAData("KDP_US", AD$4, $C57, "VA Actuals", "CD", "IMPL","","")/100, "")</f>
        <v>4.8000000000000001E-2</v>
      </c>
      <c r="AE57" s="19" cm="1">
        <f t="array" ref="AE57">IFERROR(_xll.VAData("KDP_US", AE$4, $C57, "VA Actuals", "CD", "IMPL","","")/100, "")</f>
        <v>2.2000000000000002E-2</v>
      </c>
      <c r="AF57" s="18" cm="1">
        <f t="array" ref="AF57">IFERROR(_xll.VAData("KDP_US", AF$4, $C57, "VA Actuals", "CD", "IMPL","","")/100, "")</f>
        <v>4.4000000000000004E-2</v>
      </c>
      <c r="AG57" s="19" cm="1">
        <f t="array" ref="AG57">IFERROR(_xll.VAData("KDP_US", AG$4, $C57, "VA Actuals", "CD", "IMPL","","")/100, "")</f>
        <v>3.7000000000000005E-2</v>
      </c>
      <c r="AH57" s="19" cm="1">
        <f t="array" ref="AH57">IFERROR(_xll.VAData("KDP_US", AH$4, $C57, "VA Actuals", "CD", "IMPL","","")/100, "")</f>
        <v>8.6999999999999994E-2</v>
      </c>
      <c r="AI57" s="19" cm="1">
        <f t="array" ref="AI57">IFERROR(_xll.VAData("KDP_US", AI$4, $C57, "VA Actuals", "CD", "IMPL","","")/100, "")</f>
        <v>3.2000000000000001E-2</v>
      </c>
      <c r="AJ57" s="19" cm="1">
        <f t="array" ref="AJ57">IFERROR(_xll.VAData("KDP_US", AJ$4, $C57, "VA Actuals", "CD", "IMPL","","")/100, "")</f>
        <v>0.01</v>
      </c>
      <c r="AK57" s="18" cm="1">
        <f t="array" ref="AK57">IFERROR(_xll.VAData("KDP_US", AK$4, $C57, "VA Actuals", "CD", "IMPL","","")/100, "")</f>
        <v>4.0999999999999995E-2</v>
      </c>
      <c r="AL57" s="19" cm="1">
        <f t="array" ref="AL57">IFERROR(_xll.VAData("KDP_US", AL$4, $C57, "VA Actuals", "CD", "IMPL","","")/100, "")</f>
        <v>7.6999999999999999E-2</v>
      </c>
      <c r="AM57" s="19" cm="1">
        <f t="array" ref="AM57">IFERROR(_xll.VAData("KDP_US", AM$4, $C57, "VA Actuals", "CD", "IMPL","","")/100, "")</f>
        <v>9.0000000000000011E-3</v>
      </c>
      <c r="AN57" s="238">
        <v>0.02</v>
      </c>
      <c r="AO57" s="238">
        <v>0.02</v>
      </c>
      <c r="AP57" s="602">
        <v>0.02</v>
      </c>
      <c r="AQ57" s="238">
        <v>0.02</v>
      </c>
      <c r="AR57" s="238">
        <v>0.02</v>
      </c>
      <c r="AS57" s="238">
        <v>0.02</v>
      </c>
      <c r="AT57" s="238">
        <v>0.02</v>
      </c>
      <c r="AU57" s="602">
        <v>0.02</v>
      </c>
      <c r="AV57" s="26">
        <v>0.02</v>
      </c>
      <c r="AW57" s="26">
        <v>0.02</v>
      </c>
      <c r="AX57" s="26">
        <v>0.02</v>
      </c>
      <c r="AY57" s="26">
        <v>0.02</v>
      </c>
      <c r="AZ57" s="602">
        <v>0.02</v>
      </c>
    </row>
    <row r="58" spans="1:54" hidden="1" outlineLevel="1">
      <c r="B58" s="38" t="s">
        <v>60</v>
      </c>
      <c r="C58" s="6" t="s">
        <v>67</v>
      </c>
      <c r="D58" s="6"/>
      <c r="E58" s="12"/>
      <c r="F58" s="18"/>
      <c r="G58" s="18"/>
      <c r="H58" s="19"/>
      <c r="I58" s="19"/>
      <c r="J58" s="19"/>
      <c r="K58" s="19"/>
      <c r="L58" s="18"/>
      <c r="M58" s="19"/>
      <c r="N58" s="19"/>
      <c r="O58" s="19" cm="1">
        <f t="array" ref="O58">IFERROR(_xll.VAData("KDP_US", O$4, $C58, "VA Actuals", "CD", "IMPL","","")/100, "")</f>
        <v>8.6999999999999994E-2</v>
      </c>
      <c r="P58" s="19" cm="1">
        <f t="array" ref="P58">IFERROR(_xll.VAData("KDP_US", P$4, $C58, "VA Actuals", "CD", "IMPL","","")/100, "")</f>
        <v>5.7999999999999996E-2</v>
      </c>
      <c r="Q58" s="18" cm="1">
        <f t="array" ref="Q58">IFERROR(_xll.VAData("KDP_US", Q$4, $C58, "VA Actuals", "CD", "IMPL","","")/100, "")</f>
        <v>5.5E-2</v>
      </c>
      <c r="R58" s="19" cm="1">
        <f t="array" ref="R58">IFERROR(_xll.VAData("KDP_US", R$4, $C58, "VA Actuals", "CD", "IMPL","","")/100, "")</f>
        <v>4.0999999999999995E-2</v>
      </c>
      <c r="S58" s="19" cm="1">
        <f t="array" ref="S58">IFERROR(_xll.VAData("KDP_US", S$4, $C58, "VA Actuals", "CD", "IMPL","","")/100, "")</f>
        <v>3.7999999999999999E-2</v>
      </c>
      <c r="T58" s="19" cm="1">
        <f t="array" ref="T58">IFERROR(_xll.VAData("KDP_US", T$4, $C58, "VA Actuals", "CD", "IMPL","","")/100, "")</f>
        <v>5.2000000000000005E-2</v>
      </c>
      <c r="U58" s="19" cm="1">
        <f t="array" ref="U58">IFERROR(_xll.VAData("KDP_US", U$4, $C58, "VA Actuals", "CD", "IMPL","","")/100, "")</f>
        <v>4.9000000000000002E-2</v>
      </c>
      <c r="V58" s="18" cm="1">
        <f t="array" ref="V58">IFERROR(_xll.VAData("KDP_US", V$4, $C58, "VA Actuals", "CD", "IMPL","","")/100, "")</f>
        <v>4.4999999999999998E-2</v>
      </c>
      <c r="W58" s="19" cm="1">
        <f t="array" ref="W58">IFERROR(_xll.VAData("KDP_US", W$4, $C58, "VA Actuals", "CD", "IMPL","","")/100, "")</f>
        <v>5.9000000000000004E-2</v>
      </c>
      <c r="X58" s="19" cm="1">
        <f t="array" ref="X58">IFERROR(_xll.VAData("KDP_US", X$4, $C58, "VA Actuals", "CD", "IMPL","","")/100, "")</f>
        <v>6.0999999999999999E-2</v>
      </c>
      <c r="Y58" s="19" cm="1">
        <f t="array" ref="Y58">IFERROR(_xll.VAData("KDP_US", Y$4, $C58, "VA Actuals", "CD", "IMPL","","")/100, "")</f>
        <v>3.4999999999999996E-3</v>
      </c>
      <c r="Z58" s="19" cm="1">
        <f t="array" ref="Z58">IFERROR(_xll.VAData("KDP_US", Z$4, $C58, "VA Actuals", "CD", "IMPL","","")/100, "")</f>
        <v>0.06</v>
      </c>
      <c r="AA58" s="18" cm="1">
        <f t="array" ref="AA58">IFERROR(_xll.VAData("KDP_US", AA$4, $C58, "VA Actuals", "CD", "IMPL","","")/100, "")</f>
        <v>5.7999999999999996E-2</v>
      </c>
      <c r="AB58" s="19" cm="1">
        <f t="array" ref="AB58">IFERROR(_xll.VAData("KDP_US", AB$4, $C58, "VA Actuals", "CD", "IMPL","","")/100, "")</f>
        <v>6.0999999999999999E-2</v>
      </c>
      <c r="AC58" s="19" cm="1">
        <f t="array" ref="AC58">IFERROR(_xll.VAData("KDP_US", AC$4, $C58, "VA Actuals", "CD", "IMPL","","")/100, "")</f>
        <v>1.7000000000000001E-2</v>
      </c>
      <c r="AD58" s="19" cm="1">
        <f t="array" ref="AD58">IFERROR(_xll.VAData("KDP_US", AD$4, $C58, "VA Actuals", "CD", "IMPL","","")/100, "")</f>
        <v>3.0000000000000001E-3</v>
      </c>
      <c r="AE58" s="19" cm="1">
        <f t="array" ref="AE58">IFERROR(_xll.VAData("KDP_US", AE$4, $C58, "VA Actuals", "CD", "IMPL","","")/100, "")</f>
        <v>3.2000000000000001E-2</v>
      </c>
      <c r="AF58" s="18" cm="1">
        <f t="array" ref="AF58">IFERROR(_xll.VAData("KDP_US", AF$4, $C58, "VA Actuals", "CD", "IMPL","","")/100, "")</f>
        <v>2.7999999999999997E-2</v>
      </c>
      <c r="AG58" s="19" cm="1">
        <f t="array" ref="AG58">IFERROR(_xll.VAData("KDP_US", AG$4, $C58, "VA Actuals", "CD", "IMPL","","")/100, "")</f>
        <v>5.2000000000000005E-2</v>
      </c>
      <c r="AH58" s="19" cm="1">
        <f t="array" ref="AH58">IFERROR(_xll.VAData("KDP_US", AH$4, $C58, "VA Actuals", "CD", "IMPL","","")/100, "")</f>
        <v>0.10300000000000001</v>
      </c>
      <c r="AI58" s="19" cm="1">
        <f t="array" ref="AI58">IFERROR(_xll.VAData("KDP_US", AI$4, $C58, "VA Actuals", "CD", "IMPL","","")/100, "")</f>
        <v>0.155</v>
      </c>
      <c r="AJ58" s="19" cm="1">
        <f t="array" ref="AJ58">IFERROR(_xll.VAData("KDP_US", AJ$4, $C58, "VA Actuals", "CD", "IMPL","","")/100, "")</f>
        <v>0.13600000000000001</v>
      </c>
      <c r="AK58" s="18" cm="1">
        <f t="array" ref="AK58">IFERROR(_xll.VAData("KDP_US", AK$4, $C58, "VA Actuals", "CD", "IMPL","","")/100, "")</f>
        <v>0.114</v>
      </c>
      <c r="AL58" s="19" cm="1">
        <f t="array" ref="AL58">IFERROR(_xll.VAData("KDP_US", AL$4, $C58, "VA Actuals", "CD", "IMPL","","")/100, "")</f>
        <v>0.09</v>
      </c>
      <c r="AM58" s="19" cm="1">
        <f t="array" ref="AM58">IFERROR(_xll.VAData("KDP_US", AM$4, $C58, "VA Actuals", "CD", "IMPL","","")/100, "")</f>
        <v>6.0999999999999999E-2</v>
      </c>
      <c r="AN58" s="238">
        <f t="shared" ref="AN58:AU58" si="197">AN61-AN57</f>
        <v>6.2343264287394021E-2</v>
      </c>
      <c r="AO58" s="238">
        <f t="shared" si="197"/>
        <v>6.7392831932303041E-2</v>
      </c>
      <c r="AP58" s="602">
        <f t="shared" si="197"/>
        <v>8.9899239952894672E-2</v>
      </c>
      <c r="AQ58" s="238">
        <f t="shared" si="197"/>
        <v>3.4722666679177033E-2</v>
      </c>
      <c r="AR58" s="238">
        <f t="shared" si="197"/>
        <v>4.6473753811996282E-2</v>
      </c>
      <c r="AS58" s="238">
        <f t="shared" si="197"/>
        <v>4.4418324832440306E-2</v>
      </c>
      <c r="AT58" s="238">
        <f t="shared" si="197"/>
        <v>4.3454545454545454E-2</v>
      </c>
      <c r="AU58" s="602">
        <f t="shared" si="197"/>
        <v>4.2477155811037129E-2</v>
      </c>
      <c r="AV58" s="26">
        <f t="shared" ref="AV58:AZ58" si="198">AV61-AV57</f>
        <v>3.9000000000000007E-2</v>
      </c>
      <c r="AW58" s="26">
        <f t="shared" si="198"/>
        <v>3.9000000000000007E-2</v>
      </c>
      <c r="AX58" s="26">
        <f t="shared" si="198"/>
        <v>3.9000000000000007E-2</v>
      </c>
      <c r="AY58" s="26">
        <f t="shared" si="198"/>
        <v>3.9000000000000007E-2</v>
      </c>
      <c r="AZ58" s="602">
        <f t="shared" si="198"/>
        <v>3.3125000000000002E-2</v>
      </c>
    </row>
    <row r="59" spans="1:54" hidden="1" outlineLevel="1">
      <c r="B59" s="38" t="s">
        <v>61</v>
      </c>
      <c r="C59" s="6" t="s">
        <v>68</v>
      </c>
      <c r="D59" s="6"/>
      <c r="E59" s="12"/>
      <c r="F59" s="18"/>
      <c r="G59" s="18"/>
      <c r="H59" s="19"/>
      <c r="I59" s="19"/>
      <c r="J59" s="19"/>
      <c r="K59" s="19"/>
      <c r="L59" s="18"/>
      <c r="M59" s="19"/>
      <c r="N59" s="19"/>
      <c r="O59" s="19" cm="1">
        <f t="array" ref="O59">IFERROR(_xll.VAData("KDP_US", O$4, $C59, "VA Actuals", "CD", "IMPL","","")/100, "")</f>
        <v>-5.7999999999999996E-2</v>
      </c>
      <c r="P59" s="19" cm="1">
        <f t="array" ref="P59">IFERROR(_xll.VAData("KDP_US", P$4, $C59, "VA Actuals", "CD", "IMPL","","")/100, "")</f>
        <v>-4.2000000000000003E-2</v>
      </c>
      <c r="Q59" s="18" cm="1">
        <f t="array" ref="Q59">IFERROR(_xll.VAData("KDP_US", Q$4, $C59, "VA Actuals", "CD", "IMPL","","")/100, "")</f>
        <v>-2.3E-2</v>
      </c>
      <c r="R59" s="19" cm="1">
        <f t="array" ref="R59">IFERROR(_xll.VAData("KDP_US", R$4, $C59, "VA Actuals", "CD", "IMPL","","")/100, "")</f>
        <v>-2.4E-2</v>
      </c>
      <c r="S59" s="19" cm="1">
        <f t="array" ref="S59">IFERROR(_xll.VAData("KDP_US", S$4, $C59, "VA Actuals", "CD", "IMPL","","")/100, "")</f>
        <v>1.3000000000000001E-2</v>
      </c>
      <c r="T59" s="19" cm="1">
        <f t="array" ref="T59">IFERROR(_xll.VAData("KDP_US", T$4, $C59, "VA Actuals", "CD", "IMPL","","")/100, "")</f>
        <v>-2.2000000000000002E-2</v>
      </c>
      <c r="U59" s="19" cm="1">
        <f t="array" ref="U59">IFERROR(_xll.VAData("KDP_US", U$4, $C59, "VA Actuals", "CD", "IMPL","","")/100, "")</f>
        <v>3.3000000000000002E-2</v>
      </c>
      <c r="V59" s="18" cm="1">
        <f t="array" ref="V59">IFERROR(_xll.VAData("KDP_US", V$4, $C59, "VA Actuals", "CD", "IMPL","","")/100, "")</f>
        <v>-2E-3</v>
      </c>
      <c r="W59" s="19" cm="1">
        <f t="array" ref="W59">IFERROR(_xll.VAData("KDP_US", W$4, $C59, "VA Actuals", "CD", "IMPL","","")/100, "")</f>
        <v>-4.2999999999999997E-2</v>
      </c>
      <c r="X59" s="19" cm="1">
        <f t="array" ref="X59">IFERROR(_xll.VAData("KDP_US", X$4, $C59, "VA Actuals", "CD", "IMPL","","")/100, "")</f>
        <v>-0.16300000000000001</v>
      </c>
      <c r="Y59" s="19" cm="1">
        <f t="array" ref="Y59">IFERROR(_xll.VAData("KDP_US", Y$4, $C59, "VA Actuals", "CD", "IMPL","","")/100, "")</f>
        <v>-0.10800000000000001</v>
      </c>
      <c r="Z59" s="19" cm="1">
        <f t="array" ref="Z59">IFERROR(_xll.VAData("KDP_US", Z$4, $C59, "VA Actuals", "CD", "IMPL","","")/100, "")</f>
        <v>-0.06</v>
      </c>
      <c r="AA59" s="18" cm="1">
        <f t="array" ref="AA59">IFERROR(_xll.VAData("KDP_US", AA$4, $C59, "VA Actuals", "CD", "IMPL","","")/100, "")</f>
        <v>-9.6999999999999989E-2</v>
      </c>
      <c r="AB59" s="19" cm="1">
        <f t="array" ref="AB59">IFERROR(_xll.VAData("KDP_US", AB$4, $C59, "VA Actuals", "CD", "IMPL","","")/100, "")</f>
        <v>2.7999999999999997E-2</v>
      </c>
      <c r="AC59" s="19" cm="1">
        <f t="array" ref="AC59">IFERROR(_xll.VAData("KDP_US", AC$4, $C59, "VA Actuals", "CD", "IMPL","","")/100, "")</f>
        <v>0.14599999999999999</v>
      </c>
      <c r="AD59" s="19" cm="1">
        <f t="array" ref="AD59">IFERROR(_xll.VAData("KDP_US", AD$4, $C59, "VA Actuals", "CD", "IMPL","","")/100, "")</f>
        <v>7.9000000000000001E-2</v>
      </c>
      <c r="AE59" s="19" cm="1">
        <f t="array" ref="AE59">IFERROR(_xll.VAData("KDP_US", AE$4, $C59, "VA Actuals", "CD", "IMPL","","")/100, "")</f>
        <v>1.6E-2</v>
      </c>
      <c r="AF59" s="18" cm="1">
        <f t="array" ref="AF59">IFERROR(_xll.VAData("KDP_US", AF$4, $C59, "VA Actuals", "CD", "IMPL","","")/100, "")</f>
        <v>6.4000000000000001E-2</v>
      </c>
      <c r="AG59" s="19" cm="1">
        <f t="array" ref="AG59">IFERROR(_xll.VAData("KDP_US", AG$4, $C59, "VA Actuals", "CD", "IMPL","","")/100, "")</f>
        <v>-3.0000000000000001E-3</v>
      </c>
      <c r="AH59" s="19" cm="1">
        <f t="array" ref="AH59">IFERROR(_xll.VAData("KDP_US", AH$4, $C59, "VA Actuals", "CD", "IMPL","","")/100, "")</f>
        <v>-2.3E-2</v>
      </c>
      <c r="AI59" s="19" cm="1">
        <f t="array" ref="AI59">IFERROR(_xll.VAData("KDP_US", AI$4, $C59, "VA Actuals", "CD", "IMPL","","")/100, "")</f>
        <v>-2.8999999999999998E-2</v>
      </c>
      <c r="AJ59" s="19" cm="1">
        <f t="array" ref="AJ59">IFERROR(_xll.VAData("KDP_US", AJ$4, $C59, "VA Actuals", "CD", "IMPL","","")/100, "")</f>
        <v>-2.5000000000000001E-2</v>
      </c>
      <c r="AK59" s="18" cm="1">
        <f t="array" ref="AK59">IFERROR(_xll.VAData("KDP_US", AK$4, $C59, "VA Actuals", "CD", "IMPL","","")/100, "")</f>
        <v>-2.1000000000000001E-2</v>
      </c>
      <c r="AL59" s="19" cm="1">
        <f t="array" ref="AL59">IFERROR(_xll.VAData("KDP_US", AL$4, $C59, "VA Actuals", "CD", "IMPL","","")/100, "")</f>
        <v>5.0000000000000001E-3</v>
      </c>
      <c r="AM59" s="19" cm="1">
        <f t="array" ref="AM59">IFERROR(_xll.VAData("KDP_US", AM$4, $C59, "VA Actuals", "CD", "IMPL","","")/100, "")</f>
        <v>3.9E-2</v>
      </c>
      <c r="AN59" s="238">
        <v>0</v>
      </c>
      <c r="AO59" s="238">
        <v>0</v>
      </c>
      <c r="AP59" s="602">
        <v>0</v>
      </c>
      <c r="AQ59" s="238">
        <v>0</v>
      </c>
      <c r="AR59" s="238">
        <v>0</v>
      </c>
      <c r="AS59" s="238">
        <v>0</v>
      </c>
      <c r="AT59" s="238">
        <v>0</v>
      </c>
      <c r="AU59" s="602">
        <v>0</v>
      </c>
      <c r="AV59" s="26">
        <v>0</v>
      </c>
      <c r="AW59" s="26">
        <v>0</v>
      </c>
      <c r="AX59" s="26">
        <v>0</v>
      </c>
      <c r="AY59" s="26">
        <v>0</v>
      </c>
      <c r="AZ59" s="602">
        <v>0</v>
      </c>
    </row>
    <row r="60" spans="1:54" collapsed="1">
      <c r="B60" s="7" t="s">
        <v>708</v>
      </c>
      <c r="C60" s="6"/>
      <c r="D60" s="6"/>
      <c r="E60" s="12"/>
      <c r="F60" s="18"/>
      <c r="G60" s="18"/>
      <c r="H60" s="19"/>
      <c r="I60" s="19"/>
      <c r="J60" s="19"/>
      <c r="K60" s="19"/>
      <c r="L60" s="18"/>
      <c r="M60" s="19"/>
      <c r="N60" s="19"/>
      <c r="O60" s="19"/>
      <c r="P60" s="19"/>
      <c r="Q60" s="18"/>
      <c r="R60" s="19"/>
      <c r="S60" s="19"/>
      <c r="T60" s="19"/>
      <c r="U60" s="19"/>
      <c r="V60" s="18"/>
      <c r="W60" s="19"/>
      <c r="X60" s="19"/>
      <c r="Y60" s="19"/>
      <c r="Z60" s="19"/>
      <c r="AA60" s="18"/>
      <c r="AB60" s="19"/>
      <c r="AC60" s="19"/>
      <c r="AD60" s="19"/>
      <c r="AE60" s="19"/>
      <c r="AF60" s="18"/>
      <c r="AG60" s="19"/>
      <c r="AH60" s="19"/>
      <c r="AI60" s="19"/>
      <c r="AJ60" s="19"/>
      <c r="AK60" s="18"/>
      <c r="AL60" s="19"/>
      <c r="AM60" s="19"/>
      <c r="AN60" s="243">
        <f>SUM(AN57:AN59)</f>
        <v>8.2343264287394025E-2</v>
      </c>
      <c r="AO60" s="243">
        <f>AO61</f>
        <v>8.7392831932303044E-2</v>
      </c>
      <c r="AP60" s="445">
        <f>AP53/AK53-1</f>
        <v>0.10972311651577993</v>
      </c>
      <c r="AQ60" s="243">
        <f t="shared" ref="AQ60:AT60" si="199">AQ61</f>
        <v>5.4722666679177037E-2</v>
      </c>
      <c r="AR60" s="243">
        <f t="shared" si="199"/>
        <v>6.6473753811996286E-2</v>
      </c>
      <c r="AS60" s="243">
        <f t="shared" si="199"/>
        <v>6.441832483244031E-2</v>
      </c>
      <c r="AT60" s="243">
        <f t="shared" si="199"/>
        <v>6.3454545454545458E-2</v>
      </c>
      <c r="AU60" s="445">
        <f>AU53/AP53-1</f>
        <v>6.2540669742262578E-2</v>
      </c>
      <c r="AV60" s="243">
        <f t="shared" ref="AV60:AY60" si="200">AV61</f>
        <v>5.9000000000000004E-2</v>
      </c>
      <c r="AW60" s="243">
        <f t="shared" si="200"/>
        <v>5.9000000000000004E-2</v>
      </c>
      <c r="AX60" s="243">
        <f t="shared" si="200"/>
        <v>5.9000000000000004E-2</v>
      </c>
      <c r="AY60" s="243">
        <f t="shared" si="200"/>
        <v>5.9000000000000004E-2</v>
      </c>
      <c r="AZ60" s="445">
        <f>AZ53/AU53-1</f>
        <v>5.8999999999999941E-2</v>
      </c>
      <c r="BB60" s="20" t="s">
        <v>906</v>
      </c>
    </row>
    <row r="61" spans="1:54">
      <c r="B61" s="38" t="s">
        <v>635</v>
      </c>
      <c r="C61" s="6" t="s">
        <v>634</v>
      </c>
      <c r="D61" s="6"/>
      <c r="E61" s="12"/>
      <c r="F61" s="18"/>
      <c r="G61" s="18"/>
      <c r="H61" s="19"/>
      <c r="I61" s="19"/>
      <c r="J61" s="19"/>
      <c r="K61" s="19"/>
      <c r="L61" s="18"/>
      <c r="M61" s="19"/>
      <c r="N61" s="19"/>
      <c r="O61" s="19"/>
      <c r="P61" s="19"/>
      <c r="Q61" s="18"/>
      <c r="R61" s="19"/>
      <c r="S61" s="19"/>
      <c r="T61" s="19"/>
      <c r="U61" s="19"/>
      <c r="V61" s="18"/>
      <c r="W61" s="19"/>
      <c r="X61" s="19"/>
      <c r="Y61" s="19"/>
      <c r="Z61" s="19"/>
      <c r="AA61" s="18"/>
      <c r="AB61" s="19"/>
      <c r="AC61" s="19"/>
      <c r="AD61" s="19"/>
      <c r="AE61" s="19"/>
      <c r="AF61" s="18"/>
      <c r="AG61" s="19"/>
      <c r="AH61" s="19"/>
      <c r="AI61" s="19"/>
      <c r="AJ61" s="19"/>
      <c r="AK61" s="18"/>
      <c r="AL61" s="19"/>
      <c r="AM61" s="19"/>
      <c r="AN61" s="311" cm="1">
        <f t="array" ref="AN61">_xll.VAData("KDP_US", AN$4, $C61, "Consensus", "CD", "IMPL","","")/100</f>
        <v>8.2343264287394025E-2</v>
      </c>
      <c r="AO61" s="312" cm="1">
        <f t="array" ref="AO61">_xll.VAData("KDP_US", AO$4, $C61, "Consensus", "CD", "IMPL","","")/100</f>
        <v>8.7392831932303044E-2</v>
      </c>
      <c r="AP61" s="313" cm="1">
        <f t="array" ref="AP61">_xll.VAData("KDP_US", AP$4, $C61, "Consensus", "CD", "IMPL","","")/100</f>
        <v>0.10989923995289468</v>
      </c>
      <c r="AQ61" s="312" cm="1">
        <f t="array" ref="AQ61">_xll.VAData("KDP_US", AQ$4, $C61, "Consensus", "CD", "IMPL","","")/100</f>
        <v>5.4722666679177037E-2</v>
      </c>
      <c r="AR61" s="312" cm="1">
        <f t="array" ref="AR61">_xll.VAData("KDP_US", AR$4, $C61, "Consensus", "CD", "IMPL","","")/100</f>
        <v>6.6473753811996286E-2</v>
      </c>
      <c r="AS61" s="312" cm="1">
        <f t="array" ref="AS61">_xll.VAData("KDP_US", AS$4, $C61, "Consensus", "CD", "IMPL","","")/100</f>
        <v>6.441832483244031E-2</v>
      </c>
      <c r="AT61" s="312" cm="1">
        <f t="array" ref="AT61">_xll.VAData("KDP_US", AT$4, $C61, "Consensus", "CD", "IMPL","","")/100</f>
        <v>6.3454545454545458E-2</v>
      </c>
      <c r="AU61" s="313" cm="1">
        <f t="array" ref="AU61">_xll.VAData("KDP_US", AU$4, $C61, "Consensus", "CD", "IMPL","","")/100</f>
        <v>6.2477155811037133E-2</v>
      </c>
      <c r="AV61" s="312" cm="1">
        <f t="array" ref="AV61">_xll.VAData("KDP_US", AV$4, $C61, "Consensus", "CD", "IMPL","","")/100</f>
        <v>5.9000000000000004E-2</v>
      </c>
      <c r="AW61" s="312" cm="1">
        <f t="array" ref="AW61">_xll.VAData("KDP_US", AW$4, $C61, "Consensus", "CD", "IMPL","","")/100</f>
        <v>5.9000000000000004E-2</v>
      </c>
      <c r="AX61" s="312" cm="1">
        <f t="array" ref="AX61">_xll.VAData("KDP_US", AX$4, $C61, "Consensus", "CD", "IMPL","","")/100</f>
        <v>5.9000000000000004E-2</v>
      </c>
      <c r="AY61" s="312" cm="1">
        <f t="array" ref="AY61">_xll.VAData("KDP_US", AY$4, $C61, "Consensus", "CD", "IMPL","","")/100</f>
        <v>5.9000000000000004E-2</v>
      </c>
      <c r="AZ61" s="313" cm="1">
        <f t="array" ref="AZ61">_xll.VAData("KDP_US", AZ$4, $C61, "Consensus", "CD", "IMPL","","")/100</f>
        <v>5.3124999999999999E-2</v>
      </c>
    </row>
    <row r="62" spans="1:54">
      <c r="B62" s="404"/>
      <c r="C62" s="405"/>
      <c r="D62" s="405"/>
      <c r="E62" s="396"/>
      <c r="F62" s="406"/>
      <c r="G62" s="406"/>
      <c r="H62" s="406"/>
      <c r="I62" s="406"/>
      <c r="J62" s="406"/>
      <c r="K62" s="406"/>
      <c r="L62" s="406"/>
      <c r="M62" s="406"/>
      <c r="N62" s="406"/>
      <c r="O62" s="406"/>
      <c r="P62" s="406"/>
      <c r="Q62" s="406"/>
      <c r="R62" s="406"/>
      <c r="S62" s="406"/>
      <c r="T62" s="406"/>
      <c r="U62" s="406"/>
      <c r="V62" s="406"/>
      <c r="W62" s="406"/>
      <c r="X62" s="406"/>
      <c r="Y62" s="406"/>
      <c r="Z62" s="406"/>
      <c r="AA62" s="406"/>
      <c r="AB62" s="406"/>
      <c r="AC62" s="406"/>
      <c r="AD62" s="406"/>
      <c r="AE62" s="406"/>
      <c r="AF62" s="406"/>
      <c r="AG62" s="406"/>
      <c r="AH62" s="406"/>
      <c r="AI62" s="406"/>
      <c r="AJ62" s="406"/>
      <c r="AK62" s="406"/>
      <c r="AL62" s="406"/>
      <c r="AM62" s="406"/>
      <c r="AN62" s="406"/>
      <c r="AO62" s="406"/>
      <c r="AP62" s="407"/>
      <c r="AQ62" s="406"/>
      <c r="AR62" s="406"/>
      <c r="AS62" s="406"/>
      <c r="AT62" s="406"/>
      <c r="AU62" s="407"/>
      <c r="AV62" s="406"/>
      <c r="AW62" s="406"/>
      <c r="AX62" s="406"/>
      <c r="AY62" s="406"/>
      <c r="AZ62" s="407"/>
    </row>
    <row r="63" spans="1:54">
      <c r="B63" s="10" t="s">
        <v>907</v>
      </c>
      <c r="C63" s="6"/>
      <c r="D63" s="6"/>
      <c r="E63" s="12"/>
      <c r="F63" s="18"/>
      <c r="G63" s="18"/>
      <c r="H63" s="19"/>
      <c r="I63" s="19"/>
      <c r="J63" s="19"/>
      <c r="K63" s="19"/>
      <c r="L63" s="18"/>
      <c r="M63" s="19"/>
      <c r="N63" s="19"/>
      <c r="O63" s="19"/>
      <c r="P63" s="19"/>
      <c r="Q63" s="18"/>
      <c r="R63" s="19"/>
      <c r="S63" s="19"/>
      <c r="T63" s="19"/>
      <c r="U63" s="19"/>
      <c r="V63" s="18"/>
      <c r="W63" s="19"/>
      <c r="X63" s="19"/>
      <c r="Y63" s="19"/>
      <c r="Z63" s="19"/>
      <c r="AA63" s="18"/>
      <c r="AB63" s="19"/>
      <c r="AC63" s="19"/>
      <c r="AD63" s="19"/>
      <c r="AE63" s="19"/>
      <c r="AF63" s="18"/>
      <c r="AG63" s="19"/>
      <c r="AH63" s="19"/>
      <c r="AI63" s="19"/>
      <c r="AJ63" s="19"/>
      <c r="AK63" s="18"/>
      <c r="AL63" s="19"/>
      <c r="AM63" s="19"/>
      <c r="AN63" s="311"/>
      <c r="AO63" s="312"/>
      <c r="AP63" s="313"/>
      <c r="AQ63" s="312"/>
      <c r="AR63" s="312"/>
      <c r="AS63" s="312"/>
      <c r="AT63" s="312"/>
      <c r="AU63" s="313"/>
      <c r="AV63" s="312"/>
      <c r="AW63" s="312"/>
      <c r="AX63" s="312"/>
      <c r="AY63" s="312"/>
      <c r="AZ63" s="313"/>
    </row>
    <row r="64" spans="1:54" hidden="1" outlineLevel="1">
      <c r="B64" s="5" t="s">
        <v>745</v>
      </c>
      <c r="C64" s="6"/>
      <c r="D64" s="6"/>
      <c r="E64" s="12"/>
      <c r="F64" s="18"/>
      <c r="G64" s="18"/>
      <c r="H64" s="19"/>
      <c r="I64" s="19"/>
      <c r="J64" s="19"/>
      <c r="K64" s="19"/>
      <c r="L64" s="18"/>
      <c r="M64" s="19"/>
      <c r="N64" s="19"/>
      <c r="O64" s="495">
        <f t="shared" ref="O64:AK64" si="201">SUM(O65:O68)</f>
        <v>2856</v>
      </c>
      <c r="P64" s="495">
        <f t="shared" si="201"/>
        <v>2813</v>
      </c>
      <c r="Q64" s="496">
        <f t="shared" si="201"/>
        <v>11020</v>
      </c>
      <c r="R64" s="495">
        <f t="shared" si="201"/>
        <v>2504</v>
      </c>
      <c r="S64" s="495">
        <f t="shared" si="201"/>
        <v>2812</v>
      </c>
      <c r="T64" s="495">
        <f t="shared" si="201"/>
        <v>2870</v>
      </c>
      <c r="U64" s="495">
        <f t="shared" si="201"/>
        <v>2934</v>
      </c>
      <c r="V64" s="496">
        <f t="shared" si="201"/>
        <v>11120</v>
      </c>
      <c r="W64" s="495">
        <f t="shared" si="201"/>
        <v>2613</v>
      </c>
      <c r="X64" s="495">
        <f t="shared" si="201"/>
        <v>2864</v>
      </c>
      <c r="Y64" s="495">
        <f t="shared" si="201"/>
        <v>3020</v>
      </c>
      <c r="Z64" s="495">
        <f t="shared" si="201"/>
        <v>3121</v>
      </c>
      <c r="AA64" s="496">
        <f t="shared" si="201"/>
        <v>11618</v>
      </c>
      <c r="AB64" s="495">
        <f t="shared" si="201"/>
        <v>2902</v>
      </c>
      <c r="AC64" s="495">
        <f t="shared" si="201"/>
        <v>3140</v>
      </c>
      <c r="AD64" s="495">
        <f t="shared" si="201"/>
        <v>3250</v>
      </c>
      <c r="AE64" s="495">
        <f t="shared" si="201"/>
        <v>3391</v>
      </c>
      <c r="AF64" s="496">
        <f t="shared" si="201"/>
        <v>12683</v>
      </c>
      <c r="AG64" s="495">
        <f t="shared" si="201"/>
        <v>3078</v>
      </c>
      <c r="AH64" s="495">
        <f t="shared" si="201"/>
        <v>3554</v>
      </c>
      <c r="AI64" s="495">
        <f t="shared" si="201"/>
        <v>3622</v>
      </c>
      <c r="AJ64" s="495">
        <f t="shared" si="201"/>
        <v>3803</v>
      </c>
      <c r="AK64" s="496">
        <f t="shared" si="201"/>
        <v>14057</v>
      </c>
      <c r="AL64" s="19"/>
      <c r="AM64" s="19"/>
      <c r="AN64" s="311"/>
      <c r="AO64" s="312"/>
      <c r="AP64" s="313"/>
      <c r="AQ64" s="312"/>
      <c r="AR64" s="312"/>
      <c r="AS64" s="312"/>
      <c r="AT64" s="312"/>
      <c r="AU64" s="313"/>
      <c r="AV64" s="312"/>
      <c r="AW64" s="312"/>
      <c r="AX64" s="312"/>
      <c r="AY64" s="312"/>
      <c r="AZ64" s="313"/>
    </row>
    <row r="65" spans="2:52" hidden="1" outlineLevel="1">
      <c r="B65" s="38" t="s">
        <v>741</v>
      </c>
      <c r="C65" s="6"/>
      <c r="D65" s="6"/>
      <c r="E65" s="12"/>
      <c r="F65" s="18"/>
      <c r="G65" s="18"/>
      <c r="H65" s="19"/>
      <c r="I65" s="19"/>
      <c r="J65" s="19"/>
      <c r="K65" s="19"/>
      <c r="L65" s="18"/>
      <c r="M65" s="19"/>
      <c r="N65" s="19"/>
      <c r="O65" s="495">
        <v>1053</v>
      </c>
      <c r="P65" s="495">
        <v>1164</v>
      </c>
      <c r="Q65" s="28">
        <v>4114</v>
      </c>
      <c r="R65" s="495">
        <v>968</v>
      </c>
      <c r="S65" s="495">
        <v>990</v>
      </c>
      <c r="T65" s="495">
        <v>1065</v>
      </c>
      <c r="U65" s="495">
        <v>1210</v>
      </c>
      <c r="V65" s="28">
        <f>SUM(R65:U65)</f>
        <v>4233</v>
      </c>
      <c r="W65" s="495">
        <v>973</v>
      </c>
      <c r="X65" s="495">
        <v>1043</v>
      </c>
      <c r="Y65" s="495">
        <v>1097</v>
      </c>
      <c r="Z65" s="495">
        <v>1320</v>
      </c>
      <c r="AA65" s="28">
        <f>SUM(W65:Z65)</f>
        <v>4433</v>
      </c>
      <c r="AB65" s="495">
        <v>1142</v>
      </c>
      <c r="AC65" s="495">
        <v>1101</v>
      </c>
      <c r="AD65" s="495">
        <v>1155</v>
      </c>
      <c r="AE65" s="495">
        <v>1318</v>
      </c>
      <c r="AF65" s="28">
        <f>SUM(AB65:AE65)</f>
        <v>4716</v>
      </c>
      <c r="AG65" s="495">
        <v>1093</v>
      </c>
      <c r="AH65" s="495">
        <v>1195</v>
      </c>
      <c r="AI65" s="495">
        <v>1209</v>
      </c>
      <c r="AJ65" s="495">
        <v>1485</v>
      </c>
      <c r="AK65" s="28">
        <f>SUM(AG65:AJ65)</f>
        <v>4982</v>
      </c>
      <c r="AL65" s="19"/>
      <c r="AM65" s="19"/>
      <c r="AN65" s="311"/>
      <c r="AO65" s="312"/>
      <c r="AP65" s="313"/>
      <c r="AQ65" s="312"/>
      <c r="AR65" s="312"/>
      <c r="AS65" s="312"/>
      <c r="AT65" s="312"/>
      <c r="AU65" s="313"/>
      <c r="AV65" s="312"/>
      <c r="AW65" s="312"/>
      <c r="AX65" s="312"/>
      <c r="AY65" s="312"/>
      <c r="AZ65" s="313"/>
    </row>
    <row r="66" spans="2:52" hidden="1" outlineLevel="1">
      <c r="B66" s="38" t="s">
        <v>742</v>
      </c>
      <c r="C66" s="6"/>
      <c r="D66" s="6"/>
      <c r="E66" s="12"/>
      <c r="F66" s="18"/>
      <c r="G66" s="18"/>
      <c r="H66" s="19"/>
      <c r="I66" s="19"/>
      <c r="J66" s="19"/>
      <c r="K66" s="19"/>
      <c r="L66" s="18"/>
      <c r="M66" s="19"/>
      <c r="N66" s="19"/>
      <c r="O66" s="495">
        <v>1336</v>
      </c>
      <c r="P66" s="495">
        <v>1177</v>
      </c>
      <c r="Q66" s="28">
        <v>5069</v>
      </c>
      <c r="R66" s="495">
        <v>1116</v>
      </c>
      <c r="S66" s="495">
        <v>1311</v>
      </c>
      <c r="T66" s="495">
        <v>1307</v>
      </c>
      <c r="U66" s="495">
        <v>1211</v>
      </c>
      <c r="V66" s="28">
        <f t="shared" ref="V66:V68" si="202">SUM(R66:U66)</f>
        <v>4945</v>
      </c>
      <c r="W66" s="495">
        <v>1217</v>
      </c>
      <c r="X66" s="495">
        <v>1392</v>
      </c>
      <c r="Y66" s="495">
        <v>1447</v>
      </c>
      <c r="Z66" s="495">
        <v>1307</v>
      </c>
      <c r="AA66" s="28">
        <f t="shared" ref="AA66:AA68" si="203">SUM(W66:Z66)</f>
        <v>5363</v>
      </c>
      <c r="AB66" s="495">
        <v>1307</v>
      </c>
      <c r="AC66" s="495">
        <v>1498</v>
      </c>
      <c r="AD66" s="495">
        <v>1547</v>
      </c>
      <c r="AE66" s="495">
        <v>1530</v>
      </c>
      <c r="AF66" s="28">
        <f t="shared" ref="AF66:AF68" si="204">SUM(AB66:AE66)</f>
        <v>5882</v>
      </c>
      <c r="AG66" s="495">
        <v>1480</v>
      </c>
      <c r="AH66" s="495">
        <v>1689</v>
      </c>
      <c r="AI66" s="495">
        <v>1756</v>
      </c>
      <c r="AJ66" s="495">
        <v>1682</v>
      </c>
      <c r="AK66" s="28">
        <f t="shared" ref="AK66:AK68" si="205">SUM(AG66:AJ66)</f>
        <v>6607</v>
      </c>
      <c r="AL66" s="19"/>
      <c r="AM66" s="19"/>
      <c r="AN66" s="311"/>
      <c r="AO66" s="312"/>
      <c r="AP66" s="313"/>
      <c r="AQ66" s="312"/>
      <c r="AR66" s="312"/>
      <c r="AS66" s="312"/>
      <c r="AT66" s="312"/>
      <c r="AU66" s="313"/>
      <c r="AV66" s="312"/>
      <c r="AW66" s="312"/>
      <c r="AX66" s="312"/>
      <c r="AY66" s="312"/>
      <c r="AZ66" s="313"/>
    </row>
    <row r="67" spans="2:52" hidden="1" outlineLevel="1">
      <c r="B67" s="38" t="s">
        <v>743</v>
      </c>
      <c r="C67" s="6"/>
      <c r="D67" s="6"/>
      <c r="E67" s="12"/>
      <c r="F67" s="18"/>
      <c r="G67" s="18"/>
      <c r="H67" s="19"/>
      <c r="I67" s="19"/>
      <c r="J67" s="19"/>
      <c r="K67" s="19"/>
      <c r="L67" s="18"/>
      <c r="M67" s="19"/>
      <c r="N67" s="19"/>
      <c r="O67" s="495">
        <v>331</v>
      </c>
      <c r="P67" s="495">
        <v>352</v>
      </c>
      <c r="Q67" s="28">
        <v>1332</v>
      </c>
      <c r="R67" s="495">
        <v>304</v>
      </c>
      <c r="S67" s="495">
        <v>370</v>
      </c>
      <c r="T67" s="495">
        <v>360</v>
      </c>
      <c r="U67" s="495">
        <v>380</v>
      </c>
      <c r="V67" s="28">
        <f t="shared" si="202"/>
        <v>1414</v>
      </c>
      <c r="W67" s="495">
        <v>306</v>
      </c>
      <c r="X67" s="495">
        <v>309</v>
      </c>
      <c r="Y67" s="495">
        <v>352</v>
      </c>
      <c r="Z67" s="495">
        <v>358</v>
      </c>
      <c r="AA67" s="28">
        <f t="shared" si="203"/>
        <v>1325</v>
      </c>
      <c r="AB67" s="495">
        <v>328</v>
      </c>
      <c r="AC67" s="495">
        <v>375</v>
      </c>
      <c r="AD67" s="495">
        <v>392</v>
      </c>
      <c r="AE67" s="495">
        <v>391</v>
      </c>
      <c r="AF67" s="28">
        <f t="shared" si="204"/>
        <v>1486</v>
      </c>
      <c r="AG67" s="495">
        <v>359</v>
      </c>
      <c r="AH67" s="495">
        <v>460</v>
      </c>
      <c r="AI67" s="495">
        <v>459</v>
      </c>
      <c r="AJ67" s="495">
        <v>447</v>
      </c>
      <c r="AK67" s="28">
        <f t="shared" si="205"/>
        <v>1725</v>
      </c>
      <c r="AL67" s="19"/>
      <c r="AM67" s="19"/>
      <c r="AN67" s="311"/>
      <c r="AO67" s="312"/>
      <c r="AP67" s="313"/>
      <c r="AQ67" s="312"/>
      <c r="AR67" s="312"/>
      <c r="AS67" s="312"/>
      <c r="AT67" s="312"/>
      <c r="AU67" s="313"/>
      <c r="AV67" s="312"/>
      <c r="AW67" s="312"/>
      <c r="AX67" s="312"/>
      <c r="AY67" s="312"/>
      <c r="AZ67" s="313"/>
    </row>
    <row r="68" spans="2:52" hidden="1" outlineLevel="1">
      <c r="B68" s="38" t="s">
        <v>744</v>
      </c>
      <c r="C68" s="6"/>
      <c r="D68" s="6"/>
      <c r="E68" s="12"/>
      <c r="F68" s="18"/>
      <c r="G68" s="18"/>
      <c r="H68" s="19"/>
      <c r="I68" s="19"/>
      <c r="J68" s="19"/>
      <c r="K68" s="19"/>
      <c r="L68" s="18"/>
      <c r="M68" s="19"/>
      <c r="N68" s="19"/>
      <c r="O68" s="495">
        <v>136</v>
      </c>
      <c r="P68" s="495">
        <v>120</v>
      </c>
      <c r="Q68" s="28">
        <v>505</v>
      </c>
      <c r="R68" s="495">
        <v>116</v>
      </c>
      <c r="S68" s="495">
        <v>141</v>
      </c>
      <c r="T68" s="495">
        <v>138</v>
      </c>
      <c r="U68" s="495">
        <v>133</v>
      </c>
      <c r="V68" s="28">
        <f t="shared" si="202"/>
        <v>528</v>
      </c>
      <c r="W68" s="495">
        <v>117</v>
      </c>
      <c r="X68" s="495">
        <v>120</v>
      </c>
      <c r="Y68" s="495">
        <v>124</v>
      </c>
      <c r="Z68" s="495">
        <v>136</v>
      </c>
      <c r="AA68" s="28">
        <f t="shared" si="203"/>
        <v>497</v>
      </c>
      <c r="AB68" s="495">
        <v>125</v>
      </c>
      <c r="AC68" s="495">
        <v>166</v>
      </c>
      <c r="AD68" s="495">
        <v>156</v>
      </c>
      <c r="AE68" s="495">
        <v>152</v>
      </c>
      <c r="AF68" s="28">
        <f t="shared" si="204"/>
        <v>599</v>
      </c>
      <c r="AG68" s="495">
        <v>146</v>
      </c>
      <c r="AH68" s="495">
        <v>210</v>
      </c>
      <c r="AI68" s="495">
        <v>198</v>
      </c>
      <c r="AJ68" s="495">
        <v>189</v>
      </c>
      <c r="AK68" s="28">
        <f t="shared" si="205"/>
        <v>743</v>
      </c>
      <c r="AL68" s="19"/>
      <c r="AM68" s="19"/>
      <c r="AN68" s="311"/>
      <c r="AO68" s="312"/>
      <c r="AP68" s="313"/>
      <c r="AQ68" s="312"/>
      <c r="AR68" s="312"/>
      <c r="AS68" s="312"/>
      <c r="AT68" s="312"/>
      <c r="AU68" s="313"/>
      <c r="AV68" s="312"/>
      <c r="AW68" s="312"/>
      <c r="AX68" s="312"/>
      <c r="AY68" s="312"/>
      <c r="AZ68" s="313"/>
    </row>
    <row r="69" spans="2:52" hidden="1" outlineLevel="1">
      <c r="B69" s="38"/>
      <c r="C69" s="6"/>
      <c r="D69" s="6"/>
      <c r="E69" s="12"/>
      <c r="F69" s="18"/>
      <c r="G69" s="18"/>
      <c r="H69" s="19"/>
      <c r="I69" s="19"/>
      <c r="J69" s="19"/>
      <c r="K69" s="19"/>
      <c r="L69" s="18"/>
      <c r="M69" s="19"/>
      <c r="N69" s="19"/>
      <c r="O69" s="495"/>
      <c r="P69" s="495"/>
      <c r="Q69" s="28"/>
      <c r="R69" s="495"/>
      <c r="S69" s="495"/>
      <c r="T69" s="495"/>
      <c r="U69" s="495"/>
      <c r="V69" s="28"/>
      <c r="W69" s="495"/>
      <c r="X69" s="495"/>
      <c r="Y69" s="495"/>
      <c r="Z69" s="495"/>
      <c r="AA69" s="28"/>
      <c r="AB69" s="495"/>
      <c r="AC69" s="495"/>
      <c r="AD69" s="495"/>
      <c r="AE69" s="495"/>
      <c r="AF69" s="28"/>
      <c r="AG69" s="495"/>
      <c r="AH69" s="495"/>
      <c r="AI69" s="495"/>
      <c r="AJ69" s="495"/>
      <c r="AK69" s="28"/>
      <c r="AL69" s="19"/>
      <c r="AM69" s="19"/>
      <c r="AN69" s="311"/>
      <c r="AO69" s="312"/>
      <c r="AP69" s="313"/>
      <c r="AQ69" s="312"/>
      <c r="AR69" s="312"/>
      <c r="AS69" s="312"/>
      <c r="AT69" s="312"/>
      <c r="AU69" s="313"/>
      <c r="AV69" s="312"/>
      <c r="AW69" s="312"/>
      <c r="AX69" s="312"/>
      <c r="AY69" s="312"/>
      <c r="AZ69" s="313"/>
    </row>
    <row r="70" spans="2:52" hidden="1" outlineLevel="1">
      <c r="B70" s="38" t="s">
        <v>276</v>
      </c>
      <c r="C70" s="6"/>
      <c r="D70" s="6"/>
      <c r="E70" s="12"/>
      <c r="F70" s="18"/>
      <c r="G70" s="18"/>
      <c r="H70" s="19"/>
      <c r="I70" s="19"/>
      <c r="J70" s="19"/>
      <c r="K70" s="19"/>
      <c r="L70" s="18"/>
      <c r="M70" s="19"/>
      <c r="N70" s="19"/>
      <c r="O70" s="495"/>
      <c r="P70" s="495"/>
      <c r="Q70" s="28"/>
      <c r="R70" s="495"/>
      <c r="S70" s="495"/>
      <c r="T70" s="495"/>
      <c r="U70" s="495"/>
      <c r="V70" s="28"/>
      <c r="W70" s="495"/>
      <c r="X70" s="495"/>
      <c r="Y70" s="495"/>
      <c r="Z70" s="495"/>
      <c r="AA70" s="28"/>
      <c r="AB70" s="495">
        <v>903</v>
      </c>
      <c r="AC70" s="495">
        <v>831</v>
      </c>
      <c r="AD70" s="495">
        <v>848</v>
      </c>
      <c r="AE70" s="495">
        <v>964</v>
      </c>
      <c r="AF70" s="28">
        <v>3546</v>
      </c>
      <c r="AG70" s="495">
        <v>855</v>
      </c>
      <c r="AH70" s="495">
        <v>907</v>
      </c>
      <c r="AI70" s="495">
        <v>913</v>
      </c>
      <c r="AJ70" s="495">
        <v>1097</v>
      </c>
      <c r="AK70" s="28">
        <v>3772</v>
      </c>
      <c r="AL70" s="19"/>
      <c r="AM70" s="19"/>
      <c r="AN70" s="311"/>
      <c r="AO70" s="312"/>
      <c r="AP70" s="313"/>
      <c r="AQ70" s="312"/>
      <c r="AR70" s="312"/>
      <c r="AS70" s="312"/>
      <c r="AT70" s="312"/>
      <c r="AU70" s="313"/>
      <c r="AV70" s="312"/>
      <c r="AW70" s="312"/>
      <c r="AX70" s="312"/>
      <c r="AY70" s="312"/>
      <c r="AZ70" s="313"/>
    </row>
    <row r="71" spans="2:52" hidden="1" outlineLevel="1">
      <c r="B71" s="38" t="s">
        <v>260</v>
      </c>
      <c r="C71" s="6"/>
      <c r="D71" s="6"/>
      <c r="E71" s="12"/>
      <c r="F71" s="18"/>
      <c r="G71" s="18"/>
      <c r="H71" s="19"/>
      <c r="I71" s="19"/>
      <c r="J71" s="19"/>
      <c r="K71" s="19"/>
      <c r="L71" s="18"/>
      <c r="M71" s="19"/>
      <c r="N71" s="19"/>
      <c r="O71" s="495"/>
      <c r="P71" s="495"/>
      <c r="Q71" s="28"/>
      <c r="R71" s="495"/>
      <c r="S71" s="495"/>
      <c r="T71" s="495"/>
      <c r="U71" s="495"/>
      <c r="V71" s="28"/>
      <c r="W71" s="495"/>
      <c r="X71" s="495"/>
      <c r="Y71" s="495"/>
      <c r="Z71" s="495"/>
      <c r="AA71" s="28"/>
      <c r="AB71" s="495">
        <v>174</v>
      </c>
      <c r="AC71" s="495">
        <v>210</v>
      </c>
      <c r="AD71" s="495">
        <v>243</v>
      </c>
      <c r="AE71" s="495">
        <v>280</v>
      </c>
      <c r="AF71" s="28">
        <v>907</v>
      </c>
      <c r="AG71" s="495">
        <v>178</v>
      </c>
      <c r="AH71" s="495">
        <v>217</v>
      </c>
      <c r="AI71" s="495">
        <v>225</v>
      </c>
      <c r="AJ71" s="495">
        <v>303</v>
      </c>
      <c r="AK71" s="28">
        <v>923</v>
      </c>
      <c r="AL71" s="19"/>
      <c r="AM71" s="19"/>
      <c r="AN71" s="311"/>
      <c r="AO71" s="312"/>
      <c r="AP71" s="313"/>
      <c r="AQ71" s="312"/>
      <c r="AR71" s="312"/>
      <c r="AS71" s="312"/>
      <c r="AT71" s="312"/>
      <c r="AU71" s="313"/>
      <c r="AV71" s="312"/>
      <c r="AW71" s="312"/>
      <c r="AX71" s="312"/>
      <c r="AY71" s="312"/>
      <c r="AZ71" s="313"/>
    </row>
    <row r="72" spans="2:52" hidden="1" outlineLevel="1">
      <c r="B72" s="38"/>
      <c r="C72" s="6"/>
      <c r="D72" s="6"/>
      <c r="E72" s="12"/>
      <c r="F72" s="18"/>
      <c r="G72" s="18"/>
      <c r="H72" s="19"/>
      <c r="I72" s="19"/>
      <c r="J72" s="19"/>
      <c r="K72" s="19"/>
      <c r="L72" s="18"/>
      <c r="M72" s="19"/>
      <c r="N72" s="19"/>
      <c r="O72" s="495"/>
      <c r="P72" s="495"/>
      <c r="Q72" s="28"/>
      <c r="R72" s="495"/>
      <c r="S72" s="495"/>
      <c r="T72" s="495"/>
      <c r="U72" s="495"/>
      <c r="V72" s="28"/>
      <c r="W72" s="495"/>
      <c r="X72" s="495"/>
      <c r="Y72" s="495"/>
      <c r="Z72" s="495"/>
      <c r="AA72" s="28"/>
      <c r="AB72" s="495"/>
      <c r="AC72" s="495"/>
      <c r="AD72" s="495"/>
      <c r="AE72" s="495"/>
      <c r="AF72" s="28"/>
      <c r="AG72" s="495"/>
      <c r="AH72" s="495"/>
      <c r="AI72" s="495"/>
      <c r="AJ72" s="495"/>
      <c r="AK72" s="28"/>
      <c r="AL72" s="19"/>
      <c r="AM72" s="19"/>
      <c r="AN72" s="311"/>
      <c r="AO72" s="312"/>
      <c r="AP72" s="313"/>
      <c r="AQ72" s="312"/>
      <c r="AR72" s="312"/>
      <c r="AS72" s="312"/>
      <c r="AT72" s="312"/>
      <c r="AU72" s="313"/>
      <c r="AV72" s="312"/>
      <c r="AW72" s="312"/>
      <c r="AX72" s="312"/>
      <c r="AY72" s="312"/>
      <c r="AZ72" s="313"/>
    </row>
    <row r="73" spans="2:52" hidden="1" outlineLevel="1">
      <c r="B73" s="38" t="s">
        <v>742</v>
      </c>
      <c r="C73" s="6"/>
      <c r="D73" s="6"/>
      <c r="E73" s="12"/>
      <c r="F73" s="496">
        <v>4544</v>
      </c>
      <c r="G73" s="496">
        <v>4696</v>
      </c>
      <c r="H73" s="504">
        <v>1118</v>
      </c>
      <c r="I73" s="504">
        <v>1302</v>
      </c>
      <c r="J73" s="504">
        <v>1273</v>
      </c>
      <c r="K73" s="504">
        <v>1178</v>
      </c>
      <c r="L73" s="505">
        <v>4871</v>
      </c>
      <c r="M73" s="504">
        <v>1178</v>
      </c>
      <c r="N73" s="504">
        <v>1378</v>
      </c>
      <c r="O73" s="504">
        <v>1336</v>
      </c>
      <c r="P73" s="504">
        <v>1177</v>
      </c>
      <c r="Q73" s="505">
        <v>5069</v>
      </c>
      <c r="R73" s="504">
        <v>1116</v>
      </c>
      <c r="S73" s="504">
        <v>1311</v>
      </c>
      <c r="T73" s="504">
        <v>1307</v>
      </c>
      <c r="U73" s="504">
        <v>1211</v>
      </c>
      <c r="V73" s="505">
        <v>4945</v>
      </c>
      <c r="W73" s="504">
        <v>1217</v>
      </c>
      <c r="X73" s="504">
        <v>1392</v>
      </c>
      <c r="Y73" s="504">
        <v>1447</v>
      </c>
      <c r="Z73" s="504">
        <v>1307</v>
      </c>
      <c r="AA73" s="505">
        <v>5363</v>
      </c>
      <c r="AB73" s="504">
        <v>1307</v>
      </c>
      <c r="AC73" s="504">
        <v>1498</v>
      </c>
      <c r="AD73" s="504">
        <v>1547</v>
      </c>
      <c r="AE73" s="504">
        <v>1530</v>
      </c>
      <c r="AF73" s="505">
        <v>5882</v>
      </c>
      <c r="AG73" s="504">
        <v>1480</v>
      </c>
      <c r="AH73" s="504">
        <v>1689</v>
      </c>
      <c r="AI73" s="504">
        <v>1756</v>
      </c>
      <c r="AJ73" s="504">
        <v>1682</v>
      </c>
      <c r="AK73" s="505">
        <v>6607</v>
      </c>
      <c r="AL73" s="504"/>
      <c r="AM73" s="504"/>
      <c r="AN73" s="506"/>
      <c r="AO73" s="507"/>
      <c r="AP73" s="508"/>
      <c r="AQ73" s="507"/>
      <c r="AR73" s="507"/>
      <c r="AS73" s="507"/>
      <c r="AT73" s="507"/>
      <c r="AU73" s="508"/>
      <c r="AV73" s="312"/>
      <c r="AW73" s="312"/>
      <c r="AX73" s="312"/>
      <c r="AY73" s="312"/>
      <c r="AZ73" s="313"/>
    </row>
    <row r="74" spans="2:52" hidden="1" outlineLevel="1">
      <c r="B74" s="38" t="s">
        <v>743</v>
      </c>
      <c r="C74" s="6"/>
      <c r="D74" s="6"/>
      <c r="E74" s="12"/>
      <c r="F74" s="496">
        <v>1241</v>
      </c>
      <c r="G74" s="496">
        <v>1284</v>
      </c>
      <c r="H74" s="504">
        <v>294</v>
      </c>
      <c r="I74" s="504">
        <v>356</v>
      </c>
      <c r="J74" s="504">
        <v>334</v>
      </c>
      <c r="K74" s="504">
        <v>348</v>
      </c>
      <c r="L74" s="505">
        <v>1332</v>
      </c>
      <c r="M74" s="504">
        <v>290</v>
      </c>
      <c r="N74" s="504">
        <v>359</v>
      </c>
      <c r="O74" s="504">
        <v>331</v>
      </c>
      <c r="P74" s="504">
        <v>352</v>
      </c>
      <c r="Q74" s="505">
        <v>1332</v>
      </c>
      <c r="R74" s="504">
        <v>304</v>
      </c>
      <c r="S74" s="504">
        <v>370</v>
      </c>
      <c r="T74" s="504">
        <v>360</v>
      </c>
      <c r="U74" s="504">
        <v>380</v>
      </c>
      <c r="V74" s="505">
        <v>1414</v>
      </c>
      <c r="W74" s="504">
        <v>306</v>
      </c>
      <c r="X74" s="504">
        <v>309</v>
      </c>
      <c r="Y74" s="504">
        <v>352</v>
      </c>
      <c r="Z74" s="504">
        <v>358</v>
      </c>
      <c r="AA74" s="505">
        <v>1325</v>
      </c>
      <c r="AB74" s="504">
        <v>328</v>
      </c>
      <c r="AC74" s="504">
        <v>375</v>
      </c>
      <c r="AD74" s="504">
        <v>392</v>
      </c>
      <c r="AE74" s="504">
        <v>391</v>
      </c>
      <c r="AF74" s="505">
        <v>1486</v>
      </c>
      <c r="AG74" s="504">
        <v>359</v>
      </c>
      <c r="AH74" s="504">
        <v>460</v>
      </c>
      <c r="AI74" s="504">
        <v>459</v>
      </c>
      <c r="AJ74" s="504">
        <v>447</v>
      </c>
      <c r="AK74" s="505">
        <v>1725</v>
      </c>
      <c r="AL74" s="504"/>
      <c r="AM74" s="504"/>
      <c r="AN74" s="506"/>
      <c r="AO74" s="507"/>
      <c r="AP74" s="508"/>
      <c r="AQ74" s="507"/>
      <c r="AR74" s="507"/>
      <c r="AS74" s="507"/>
      <c r="AT74" s="507"/>
      <c r="AU74" s="508"/>
      <c r="AV74" s="312"/>
      <c r="AW74" s="312"/>
      <c r="AX74" s="312"/>
      <c r="AY74" s="312"/>
      <c r="AZ74" s="313"/>
    </row>
    <row r="75" spans="2:52" hidden="1" outlineLevel="1">
      <c r="B75" s="38"/>
      <c r="C75" s="6"/>
      <c r="D75" s="6"/>
      <c r="E75" s="12"/>
      <c r="F75" s="18"/>
      <c r="G75" s="18"/>
      <c r="H75" s="19"/>
      <c r="I75" s="19"/>
      <c r="J75" s="19"/>
      <c r="K75" s="19"/>
      <c r="L75" s="18"/>
      <c r="M75" s="19"/>
      <c r="N75" s="19"/>
      <c r="O75" s="19"/>
      <c r="P75" s="19"/>
      <c r="Q75" s="18"/>
      <c r="R75" s="19"/>
      <c r="S75" s="19"/>
      <c r="T75" s="19"/>
      <c r="U75" s="19"/>
      <c r="V75" s="18"/>
      <c r="W75" s="19"/>
      <c r="X75" s="19"/>
      <c r="Y75" s="19"/>
      <c r="Z75" s="19"/>
      <c r="AA75" s="18"/>
      <c r="AB75" s="19"/>
      <c r="AC75" s="19"/>
      <c r="AD75" s="19"/>
      <c r="AE75" s="19"/>
      <c r="AF75" s="18"/>
      <c r="AG75" s="19"/>
      <c r="AH75" s="19"/>
      <c r="AI75" s="19"/>
      <c r="AJ75" s="19"/>
      <c r="AK75" s="18"/>
      <c r="AL75" s="19"/>
      <c r="AM75" s="19"/>
      <c r="AN75" s="311"/>
      <c r="AO75" s="312"/>
      <c r="AP75" s="313"/>
      <c r="AQ75" s="312"/>
      <c r="AR75" s="312"/>
      <c r="AS75" s="312"/>
      <c r="AT75" s="312"/>
      <c r="AU75" s="313"/>
      <c r="AV75" s="312"/>
      <c r="AW75" s="312"/>
      <c r="AX75" s="312"/>
      <c r="AY75" s="312"/>
      <c r="AZ75" s="313"/>
    </row>
    <row r="76" spans="2:52" hidden="1" outlineLevel="1">
      <c r="B76" s="7" t="s">
        <v>746</v>
      </c>
      <c r="C76" s="6"/>
      <c r="D76" s="6"/>
      <c r="E76" s="12"/>
      <c r="F76" s="18"/>
      <c r="G76" s="18"/>
      <c r="H76" s="19"/>
      <c r="I76" s="19"/>
      <c r="J76" s="19"/>
      <c r="K76" s="19"/>
      <c r="L76" s="18"/>
      <c r="M76" s="19"/>
      <c r="N76" s="19"/>
      <c r="O76" s="447">
        <v>0.86</v>
      </c>
      <c r="P76" s="447">
        <v>0.86</v>
      </c>
      <c r="Q76" s="497">
        <v>0.86</v>
      </c>
      <c r="R76" s="447">
        <v>0.86</v>
      </c>
      <c r="S76" s="447">
        <v>0.86</v>
      </c>
      <c r="T76" s="447">
        <v>0.86</v>
      </c>
      <c r="U76" s="447">
        <v>0.86</v>
      </c>
      <c r="V76" s="497">
        <v>0.86</v>
      </c>
      <c r="W76" s="447">
        <v>0.86</v>
      </c>
      <c r="X76" s="447">
        <v>0.86</v>
      </c>
      <c r="Y76" s="447">
        <v>0.86</v>
      </c>
      <c r="Z76" s="447">
        <v>0.86</v>
      </c>
      <c r="AA76" s="497">
        <v>0.86</v>
      </c>
      <c r="AB76" s="19">
        <f>AB28/AB65</f>
        <v>0.87302977232924694</v>
      </c>
      <c r="AC76" s="19">
        <f>AC28/AC65</f>
        <v>0.86739327883742057</v>
      </c>
      <c r="AD76" s="447">
        <v>0.86</v>
      </c>
      <c r="AE76" s="447">
        <v>0.86</v>
      </c>
      <c r="AF76" s="497">
        <v>0.86</v>
      </c>
      <c r="AG76" s="19">
        <f>AG28/AG65</f>
        <v>0.86276303751143646</v>
      </c>
      <c r="AH76" s="19">
        <f>AH28/AH65</f>
        <v>0.86108786610878663</v>
      </c>
      <c r="AI76" s="19"/>
      <c r="AJ76" s="19"/>
      <c r="AK76" s="18"/>
      <c r="AL76" s="19"/>
      <c r="AM76" s="19"/>
      <c r="AN76" s="311"/>
      <c r="AO76" s="312"/>
      <c r="AP76" s="313"/>
      <c r="AQ76" s="312"/>
      <c r="AR76" s="312"/>
      <c r="AS76" s="312"/>
      <c r="AT76" s="312"/>
      <c r="AU76" s="313"/>
      <c r="AV76" s="312"/>
      <c r="AW76" s="312"/>
      <c r="AX76" s="312"/>
      <c r="AY76" s="312"/>
      <c r="AZ76" s="313"/>
    </row>
    <row r="77" spans="2:52" hidden="1" outlineLevel="1">
      <c r="B77" s="7" t="s">
        <v>747</v>
      </c>
      <c r="C77" s="6"/>
      <c r="D77" s="6"/>
      <c r="E77" s="12"/>
      <c r="F77" s="18"/>
      <c r="G77" s="18"/>
      <c r="H77" s="19"/>
      <c r="I77" s="19"/>
      <c r="J77" s="19"/>
      <c r="K77" s="19"/>
      <c r="L77" s="18"/>
      <c r="M77" s="19"/>
      <c r="N77" s="19"/>
      <c r="O77" s="447">
        <v>0.96</v>
      </c>
      <c r="P77" s="447">
        <v>0.96</v>
      </c>
      <c r="Q77" s="497">
        <v>0.96</v>
      </c>
      <c r="R77" s="447">
        <v>0.96</v>
      </c>
      <c r="S77" s="447">
        <v>0.96</v>
      </c>
      <c r="T77" s="447">
        <v>0.96</v>
      </c>
      <c r="U77" s="447">
        <v>0.96</v>
      </c>
      <c r="V77" s="497">
        <v>0.96</v>
      </c>
      <c r="W77" s="447">
        <v>0.96</v>
      </c>
      <c r="X77" s="447">
        <v>0.96</v>
      </c>
      <c r="Y77" s="447">
        <v>0.96</v>
      </c>
      <c r="Z77" s="447">
        <v>0.96</v>
      </c>
      <c r="AA77" s="497">
        <v>0.96</v>
      </c>
      <c r="AB77" s="19">
        <f>AB17/(AB66+AB67)</f>
        <v>0.96574923547400615</v>
      </c>
      <c r="AC77" s="19">
        <f>AC17/(AC66+AC67)</f>
        <v>0.96476241324079015</v>
      </c>
      <c r="AD77" s="447">
        <v>0.96</v>
      </c>
      <c r="AE77" s="447">
        <v>0.96</v>
      </c>
      <c r="AF77" s="497">
        <v>0.96</v>
      </c>
      <c r="AG77" s="19">
        <f>AG17/(AG66+AG67)</f>
        <v>0.96846112017400765</v>
      </c>
      <c r="AH77" s="19">
        <f>AH17/(AH66+AH67)</f>
        <v>0.96975337366216841</v>
      </c>
      <c r="AI77" s="19"/>
      <c r="AJ77" s="19"/>
      <c r="AK77" s="18"/>
      <c r="AL77" s="19"/>
      <c r="AM77" s="19"/>
      <c r="AN77" s="311"/>
      <c r="AO77" s="312"/>
      <c r="AP77" s="313"/>
      <c r="AQ77" s="312"/>
      <c r="AR77" s="312"/>
      <c r="AS77" s="312"/>
      <c r="AT77" s="312"/>
      <c r="AU77" s="313"/>
      <c r="AV77" s="312"/>
      <c r="AW77" s="312"/>
      <c r="AX77" s="312"/>
      <c r="AY77" s="312"/>
      <c r="AZ77" s="313"/>
    </row>
    <row r="78" spans="2:52" hidden="1" outlineLevel="1">
      <c r="B78" s="7"/>
      <c r="C78" s="6"/>
      <c r="D78" s="6"/>
      <c r="E78" s="12"/>
      <c r="F78" s="18"/>
      <c r="G78" s="18"/>
      <c r="H78" s="19"/>
      <c r="I78" s="19"/>
      <c r="J78" s="19"/>
      <c r="K78" s="19"/>
      <c r="L78" s="18"/>
      <c r="M78" s="19"/>
      <c r="N78" s="19"/>
      <c r="O78" s="19"/>
      <c r="P78" s="19"/>
      <c r="Q78" s="18"/>
      <c r="R78" s="19"/>
      <c r="S78" s="19"/>
      <c r="T78" s="19"/>
      <c r="U78" s="19"/>
      <c r="V78" s="18"/>
      <c r="W78" s="19"/>
      <c r="X78" s="19"/>
      <c r="Y78" s="19"/>
      <c r="Z78" s="19"/>
      <c r="AA78" s="18"/>
      <c r="AB78" s="19"/>
      <c r="AC78" s="19"/>
      <c r="AD78" s="19"/>
      <c r="AE78" s="19"/>
      <c r="AF78" s="18"/>
      <c r="AG78" s="19"/>
      <c r="AH78" s="19"/>
      <c r="AI78" s="19"/>
      <c r="AJ78" s="19"/>
      <c r="AK78" s="18"/>
      <c r="AL78" s="19"/>
      <c r="AM78" s="19"/>
      <c r="AN78" s="311"/>
      <c r="AO78" s="312"/>
      <c r="AP78" s="313"/>
      <c r="AQ78" s="312"/>
      <c r="AR78" s="312"/>
      <c r="AS78" s="312"/>
      <c r="AT78" s="312"/>
      <c r="AU78" s="313"/>
      <c r="AV78" s="312"/>
      <c r="AW78" s="312"/>
      <c r="AX78" s="312"/>
      <c r="AY78" s="312"/>
      <c r="AZ78" s="313"/>
    </row>
    <row r="79" spans="2:52" hidden="1" outlineLevel="1">
      <c r="B79" s="7" t="s">
        <v>748</v>
      </c>
      <c r="C79" s="6"/>
      <c r="D79" s="6"/>
      <c r="E79" s="12"/>
      <c r="F79" s="18"/>
      <c r="G79" s="18"/>
      <c r="H79" s="19"/>
      <c r="I79" s="19"/>
      <c r="J79" s="19"/>
      <c r="K79" s="19"/>
      <c r="L79" s="18"/>
      <c r="M79" s="19"/>
      <c r="N79" s="19"/>
      <c r="O79" s="447">
        <f t="shared" ref="O79:O80" si="206">T79</f>
        <v>0.74468434791015437</v>
      </c>
      <c r="P79" s="447">
        <f t="shared" ref="P79:P80" si="207">U79</f>
        <v>0.73506588392779593</v>
      </c>
      <c r="Q79" s="497">
        <f>AVERAGE($AF$79,$AK$79)</f>
        <v>0.75451702464750969</v>
      </c>
      <c r="R79" s="447">
        <f t="shared" ref="R79:R80" si="208">W79</f>
        <v>0.78648436235685448</v>
      </c>
      <c r="S79" s="447">
        <f t="shared" ref="S79:S80" si="209">X79</f>
        <v>0.75688210413507684</v>
      </c>
      <c r="T79" s="447">
        <f t="shared" ref="T79:T80" si="210">Y79</f>
        <v>0.74468434791015437</v>
      </c>
      <c r="U79" s="447">
        <f>Z79</f>
        <v>0.73506588392779593</v>
      </c>
      <c r="V79" s="497">
        <f>AVERAGE($AF$79,$AK$79)</f>
        <v>0.75451702464750969</v>
      </c>
      <c r="W79" s="447">
        <f t="shared" ref="W79:Y79" si="211">AVERAGE(AB79,AG79)</f>
        <v>0.78648436235685448</v>
      </c>
      <c r="X79" s="447">
        <f t="shared" si="211"/>
        <v>0.75688210413507684</v>
      </c>
      <c r="Y79" s="447">
        <f t="shared" si="211"/>
        <v>0.74468434791015437</v>
      </c>
      <c r="Z79" s="447">
        <f>AVERAGE(AE79,AJ79)</f>
        <v>0.73506588392779593</v>
      </c>
      <c r="AA79" s="497">
        <f>AVERAGE(AF79,AK79)</f>
        <v>0.75451702464750969</v>
      </c>
      <c r="AB79" s="19">
        <f t="shared" ref="AB79:AJ79" si="212">AB70/AB65</f>
        <v>0.79071803852889666</v>
      </c>
      <c r="AC79" s="19">
        <f t="shared" si="212"/>
        <v>0.75476839237057225</v>
      </c>
      <c r="AD79" s="19">
        <f t="shared" si="212"/>
        <v>0.73419913419913418</v>
      </c>
      <c r="AE79" s="19">
        <f t="shared" si="212"/>
        <v>0.73141122913505308</v>
      </c>
      <c r="AF79" s="18">
        <f t="shared" si="212"/>
        <v>0.75190839694656486</v>
      </c>
      <c r="AG79" s="19">
        <f t="shared" si="212"/>
        <v>0.78225068618481242</v>
      </c>
      <c r="AH79" s="19">
        <f t="shared" si="212"/>
        <v>0.75899581589958154</v>
      </c>
      <c r="AI79" s="19">
        <f>AI70/AI65</f>
        <v>0.75516956162117455</v>
      </c>
      <c r="AJ79" s="19">
        <f t="shared" si="212"/>
        <v>0.73872053872053867</v>
      </c>
      <c r="AK79" s="18">
        <f>AK70/AK65</f>
        <v>0.75712565234845441</v>
      </c>
      <c r="AL79" s="19"/>
      <c r="AM79" s="19"/>
      <c r="AN79" s="311"/>
      <c r="AO79" s="312"/>
      <c r="AP79" s="313"/>
      <c r="AQ79" s="312"/>
      <c r="AR79" s="312"/>
      <c r="AS79" s="312"/>
      <c r="AT79" s="312"/>
      <c r="AU79" s="313"/>
      <c r="AV79" s="312"/>
      <c r="AW79" s="312"/>
      <c r="AX79" s="312"/>
      <c r="AY79" s="312"/>
      <c r="AZ79" s="313"/>
    </row>
    <row r="80" spans="2:52" hidden="1" outlineLevel="1">
      <c r="B80" s="7" t="s">
        <v>749</v>
      </c>
      <c r="C80" s="6"/>
      <c r="D80" s="6"/>
      <c r="E80" s="12"/>
      <c r="F80" s="18"/>
      <c r="G80" s="18"/>
      <c r="H80" s="19"/>
      <c r="I80" s="19"/>
      <c r="J80" s="19"/>
      <c r="K80" s="19"/>
      <c r="L80" s="18"/>
      <c r="M80" s="19"/>
      <c r="N80" s="19"/>
      <c r="O80" s="447">
        <f t="shared" si="206"/>
        <v>0.18879548222626052</v>
      </c>
      <c r="P80" s="447">
        <f t="shared" si="207"/>
        <v>0.18879548222626052</v>
      </c>
      <c r="Q80" s="497">
        <f>AVERAGE($AF$80,$AK$80)</f>
        <v>0.18879548222626052</v>
      </c>
      <c r="R80" s="447">
        <f t="shared" si="208"/>
        <v>0.18879548222626052</v>
      </c>
      <c r="S80" s="447">
        <f t="shared" si="209"/>
        <v>0.18879548222626052</v>
      </c>
      <c r="T80" s="447">
        <f t="shared" si="210"/>
        <v>0.18879548222626052</v>
      </c>
      <c r="U80" s="447">
        <f t="shared" ref="U80" si="213">Z80</f>
        <v>0.18879548222626052</v>
      </c>
      <c r="V80" s="497">
        <f>AVERAGE($AF$80,$AK$80)</f>
        <v>0.18879548222626052</v>
      </c>
      <c r="W80" s="447">
        <f t="shared" ref="W80:Z80" si="214">AVERAGE($AF$80,$AK$80)</f>
        <v>0.18879548222626052</v>
      </c>
      <c r="X80" s="447">
        <f t="shared" si="214"/>
        <v>0.18879548222626052</v>
      </c>
      <c r="Y80" s="447">
        <f t="shared" si="214"/>
        <v>0.18879548222626052</v>
      </c>
      <c r="Z80" s="447">
        <f t="shared" si="214"/>
        <v>0.18879548222626052</v>
      </c>
      <c r="AA80" s="497">
        <f>AVERAGE($AF$80,$AK$80)</f>
        <v>0.18879548222626052</v>
      </c>
      <c r="AB80" s="19">
        <f t="shared" ref="AB80:AJ80" si="215">AB71/AB65</f>
        <v>0.15236427320490367</v>
      </c>
      <c r="AC80" s="19">
        <f t="shared" si="215"/>
        <v>0.1907356948228883</v>
      </c>
      <c r="AD80" s="19">
        <f t="shared" si="215"/>
        <v>0.21038961038961038</v>
      </c>
      <c r="AE80" s="19">
        <f t="shared" si="215"/>
        <v>0.21244309559939301</v>
      </c>
      <c r="AF80" s="18">
        <f t="shared" si="215"/>
        <v>0.19232400339270569</v>
      </c>
      <c r="AG80" s="19">
        <f t="shared" si="215"/>
        <v>0.16285452881976212</v>
      </c>
      <c r="AH80" s="19">
        <f t="shared" si="215"/>
        <v>0.18158995815899581</v>
      </c>
      <c r="AI80" s="19">
        <f t="shared" si="215"/>
        <v>0.18610421836228289</v>
      </c>
      <c r="AJ80" s="19">
        <f t="shared" si="215"/>
        <v>0.20404040404040405</v>
      </c>
      <c r="AK80" s="18">
        <f>AK71/AK65</f>
        <v>0.18526696105981533</v>
      </c>
      <c r="AL80" s="19"/>
      <c r="AM80" s="19"/>
      <c r="AN80" s="311"/>
      <c r="AO80" s="312"/>
      <c r="AP80" s="313"/>
      <c r="AQ80" s="312"/>
      <c r="AR80" s="312"/>
      <c r="AS80" s="312"/>
      <c r="AT80" s="312"/>
      <c r="AU80" s="313"/>
      <c r="AV80" s="312"/>
      <c r="AW80" s="312"/>
      <c r="AX80" s="312"/>
      <c r="AY80" s="312"/>
      <c r="AZ80" s="313"/>
    </row>
    <row r="81" spans="2:54" s="148" customFormat="1" hidden="1" outlineLevel="1">
      <c r="B81" s="409" t="s">
        <v>750</v>
      </c>
      <c r="C81" s="369"/>
      <c r="D81" s="369"/>
      <c r="E81" s="370"/>
      <c r="F81" s="371"/>
      <c r="G81" s="371"/>
      <c r="H81" s="359"/>
      <c r="I81" s="359"/>
      <c r="J81" s="359"/>
      <c r="K81" s="359"/>
      <c r="L81" s="371"/>
      <c r="M81" s="359"/>
      <c r="N81" s="359"/>
      <c r="O81" s="429">
        <f>1-O79-O80</f>
        <v>6.652016986358511E-2</v>
      </c>
      <c r="P81" s="429">
        <f t="shared" ref="P81:AK81" si="216">1-P79-P80</f>
        <v>7.6138633845943549E-2</v>
      </c>
      <c r="Q81" s="498">
        <f t="shared" si="216"/>
        <v>5.6687493126229782E-2</v>
      </c>
      <c r="R81" s="429">
        <f t="shared" si="216"/>
        <v>2.4720155416884992E-2</v>
      </c>
      <c r="S81" s="429">
        <f t="shared" si="216"/>
        <v>5.4322413638662637E-2</v>
      </c>
      <c r="T81" s="429">
        <f t="shared" si="216"/>
        <v>6.652016986358511E-2</v>
      </c>
      <c r="U81" s="429">
        <f t="shared" si="216"/>
        <v>7.6138633845943549E-2</v>
      </c>
      <c r="V81" s="498">
        <f t="shared" si="216"/>
        <v>5.6687493126229782E-2</v>
      </c>
      <c r="W81" s="429">
        <f t="shared" si="216"/>
        <v>2.4720155416884992E-2</v>
      </c>
      <c r="X81" s="429">
        <f t="shared" si="216"/>
        <v>5.4322413638662637E-2</v>
      </c>
      <c r="Y81" s="429">
        <f t="shared" si="216"/>
        <v>6.652016986358511E-2</v>
      </c>
      <c r="Z81" s="429">
        <f t="shared" si="216"/>
        <v>7.6138633845943549E-2</v>
      </c>
      <c r="AA81" s="498">
        <f t="shared" si="216"/>
        <v>5.6687493126229782E-2</v>
      </c>
      <c r="AB81" s="359">
        <f t="shared" si="216"/>
        <v>5.6917688266199667E-2</v>
      </c>
      <c r="AC81" s="359">
        <f t="shared" si="216"/>
        <v>5.4495912806539454E-2</v>
      </c>
      <c r="AD81" s="359">
        <f t="shared" si="216"/>
        <v>5.5411255411255439E-2</v>
      </c>
      <c r="AE81" s="359">
        <f t="shared" si="216"/>
        <v>5.6145675265553918E-2</v>
      </c>
      <c r="AF81" s="371">
        <f t="shared" si="216"/>
        <v>5.5767599660729444E-2</v>
      </c>
      <c r="AG81" s="359">
        <f t="shared" si="216"/>
        <v>5.4894784995425466E-2</v>
      </c>
      <c r="AH81" s="359">
        <f t="shared" si="216"/>
        <v>5.9414225941422649E-2</v>
      </c>
      <c r="AI81" s="359">
        <f t="shared" si="216"/>
        <v>5.8726220016542569E-2</v>
      </c>
      <c r="AJ81" s="359">
        <f t="shared" si="216"/>
        <v>5.7239057239057284E-2</v>
      </c>
      <c r="AK81" s="371">
        <f t="shared" si="216"/>
        <v>5.7607386591730259E-2</v>
      </c>
      <c r="AL81" s="359"/>
      <c r="AM81" s="359"/>
      <c r="AN81" s="372"/>
      <c r="AO81" s="373"/>
      <c r="AP81" s="374"/>
      <c r="AQ81" s="373"/>
      <c r="AR81" s="373"/>
      <c r="AS81" s="373"/>
      <c r="AT81" s="373"/>
      <c r="AU81" s="374"/>
      <c r="AV81" s="373"/>
      <c r="AW81" s="373"/>
      <c r="AX81" s="373"/>
      <c r="AY81" s="373"/>
      <c r="AZ81" s="374"/>
      <c r="BB81" s="368"/>
    </row>
    <row r="82" spans="2:54" s="148" customFormat="1" hidden="1" outlineLevel="1">
      <c r="B82" s="409"/>
      <c r="C82" s="369"/>
      <c r="D82" s="369"/>
      <c r="E82" s="370"/>
      <c r="F82" s="371"/>
      <c r="G82" s="371"/>
      <c r="H82" s="359"/>
      <c r="I82" s="359"/>
      <c r="J82" s="359"/>
      <c r="K82" s="359"/>
      <c r="L82" s="371"/>
      <c r="M82" s="359"/>
      <c r="N82" s="359"/>
      <c r="O82" s="429"/>
      <c r="P82" s="429"/>
      <c r="Q82" s="498"/>
      <c r="R82" s="429"/>
      <c r="S82" s="429"/>
      <c r="T82" s="429"/>
      <c r="U82" s="429"/>
      <c r="V82" s="498"/>
      <c r="W82" s="429"/>
      <c r="X82" s="429"/>
      <c r="Y82" s="429"/>
      <c r="Z82" s="429"/>
      <c r="AA82" s="498"/>
      <c r="AB82" s="359"/>
      <c r="AC82" s="359"/>
      <c r="AD82" s="359"/>
      <c r="AE82" s="359"/>
      <c r="AF82" s="371"/>
      <c r="AG82" s="359"/>
      <c r="AH82" s="359"/>
      <c r="AI82" s="359"/>
      <c r="AJ82" s="359"/>
      <c r="AK82" s="371"/>
      <c r="AL82" s="359"/>
      <c r="AM82" s="359"/>
      <c r="AN82" s="372"/>
      <c r="AO82" s="373"/>
      <c r="AP82" s="374"/>
      <c r="AQ82" s="373"/>
      <c r="AR82" s="373"/>
      <c r="AS82" s="373"/>
      <c r="AT82" s="373"/>
      <c r="AU82" s="374"/>
      <c r="AV82" s="373"/>
      <c r="AW82" s="373"/>
      <c r="AX82" s="373"/>
      <c r="AY82" s="373"/>
      <c r="AZ82" s="374"/>
      <c r="BB82" s="368"/>
    </row>
    <row r="83" spans="2:54" s="148" customFormat="1" hidden="1" outlineLevel="1">
      <c r="B83" s="409" t="s">
        <v>802</v>
      </c>
      <c r="C83" s="369"/>
      <c r="D83" s="369"/>
      <c r="E83" s="509"/>
      <c r="F83" s="510">
        <f>F73/SUM(F73:F74)</f>
        <v>0.78547968885047537</v>
      </c>
      <c r="G83" s="510">
        <f t="shared" ref="G83:AK83" si="217">G73/SUM(G73:G74)</f>
        <v>0.78528428093645486</v>
      </c>
      <c r="H83" s="511">
        <f t="shared" si="217"/>
        <v>0.79178470254957511</v>
      </c>
      <c r="I83" s="511">
        <f t="shared" si="217"/>
        <v>0.78528347406513876</v>
      </c>
      <c r="J83" s="511">
        <f t="shared" si="217"/>
        <v>0.79215930304915994</v>
      </c>
      <c r="K83" s="511">
        <f t="shared" si="217"/>
        <v>0.77195281782437741</v>
      </c>
      <c r="L83" s="510">
        <f t="shared" si="217"/>
        <v>0.78526519426084151</v>
      </c>
      <c r="M83" s="511">
        <f t="shared" si="217"/>
        <v>0.8024523160762943</v>
      </c>
      <c r="N83" s="511">
        <f t="shared" si="217"/>
        <v>0.79332181922855494</v>
      </c>
      <c r="O83" s="511">
        <f t="shared" si="217"/>
        <v>0.80143971205758846</v>
      </c>
      <c r="P83" s="511">
        <f t="shared" si="217"/>
        <v>0.76978417266187049</v>
      </c>
      <c r="Q83" s="510">
        <f t="shared" si="217"/>
        <v>0.79190751445086704</v>
      </c>
      <c r="R83" s="511">
        <f t="shared" si="217"/>
        <v>0.78591549295774643</v>
      </c>
      <c r="S83" s="511">
        <f t="shared" si="217"/>
        <v>0.77989292088042828</v>
      </c>
      <c r="T83" s="511">
        <f t="shared" si="217"/>
        <v>0.78404319136172762</v>
      </c>
      <c r="U83" s="511">
        <f t="shared" si="217"/>
        <v>0.76115650534255186</v>
      </c>
      <c r="V83" s="510">
        <f t="shared" si="217"/>
        <v>0.77763799339518791</v>
      </c>
      <c r="W83" s="511">
        <f t="shared" si="217"/>
        <v>0.79908076165462905</v>
      </c>
      <c r="X83" s="511">
        <f t="shared" si="217"/>
        <v>0.81834215167548496</v>
      </c>
      <c r="Y83" s="511">
        <f t="shared" si="217"/>
        <v>0.80433574207893277</v>
      </c>
      <c r="Z83" s="511">
        <f t="shared" si="217"/>
        <v>0.78498498498498503</v>
      </c>
      <c r="AA83" s="510">
        <f t="shared" si="217"/>
        <v>0.80188397129186606</v>
      </c>
      <c r="AB83" s="511">
        <f t="shared" si="217"/>
        <v>0.79938837920489292</v>
      </c>
      <c r="AC83" s="511">
        <f t="shared" si="217"/>
        <v>0.79978643886812595</v>
      </c>
      <c r="AD83" s="511">
        <f t="shared" si="217"/>
        <v>0.79783393501805056</v>
      </c>
      <c r="AE83" s="511">
        <f t="shared" si="217"/>
        <v>0.79646017699115046</v>
      </c>
      <c r="AF83" s="510">
        <f t="shared" si="217"/>
        <v>0.79831704668838221</v>
      </c>
      <c r="AG83" s="511">
        <f t="shared" si="217"/>
        <v>0.8047852093529092</v>
      </c>
      <c r="AH83" s="511">
        <f t="shared" si="217"/>
        <v>0.78594695207073062</v>
      </c>
      <c r="AI83" s="511">
        <f t="shared" si="217"/>
        <v>0.79277652370203155</v>
      </c>
      <c r="AJ83" s="511">
        <f t="shared" si="217"/>
        <v>0.79004227336777832</v>
      </c>
      <c r="AK83" s="510">
        <f t="shared" si="217"/>
        <v>0.79296687469995197</v>
      </c>
      <c r="AL83" s="359"/>
      <c r="AM83" s="359"/>
      <c r="AN83" s="372"/>
      <c r="AO83" s="373"/>
      <c r="AP83" s="374"/>
      <c r="AQ83" s="373"/>
      <c r="AR83" s="373"/>
      <c r="AS83" s="373"/>
      <c r="AT83" s="373"/>
      <c r="AU83" s="374"/>
      <c r="AV83" s="373"/>
      <c r="AW83" s="373"/>
      <c r="AX83" s="373"/>
      <c r="AY83" s="373"/>
      <c r="AZ83" s="374"/>
      <c r="BB83" s="368"/>
    </row>
    <row r="84" spans="2:54" s="148" customFormat="1" hidden="1" outlineLevel="1">
      <c r="B84" s="409"/>
      <c r="C84" s="369"/>
      <c r="D84" s="369"/>
      <c r="E84" s="370"/>
      <c r="F84" s="371"/>
      <c r="G84" s="371"/>
      <c r="H84" s="359"/>
      <c r="I84" s="359"/>
      <c r="J84" s="359"/>
      <c r="K84" s="359"/>
      <c r="L84" s="371"/>
      <c r="M84" s="359"/>
      <c r="N84" s="359"/>
      <c r="O84" s="429"/>
      <c r="P84" s="429"/>
      <c r="Q84" s="498"/>
      <c r="R84" s="429"/>
      <c r="S84" s="429"/>
      <c r="T84" s="429"/>
      <c r="U84" s="429"/>
      <c r="V84" s="498"/>
      <c r="W84" s="429"/>
      <c r="X84" s="429"/>
      <c r="Y84" s="429"/>
      <c r="Z84" s="429"/>
      <c r="AA84" s="498"/>
      <c r="AB84" s="359"/>
      <c r="AC84" s="359"/>
      <c r="AD84" s="359"/>
      <c r="AE84" s="359"/>
      <c r="AF84" s="371"/>
      <c r="AG84" s="359"/>
      <c r="AH84" s="359"/>
      <c r="AI84" s="359"/>
      <c r="AJ84" s="359"/>
      <c r="AK84" s="371"/>
      <c r="AL84" s="359"/>
      <c r="AM84" s="359"/>
      <c r="AN84" s="372"/>
      <c r="AO84" s="373"/>
      <c r="AP84" s="374"/>
      <c r="AQ84" s="373"/>
      <c r="AR84" s="373"/>
      <c r="AS84" s="373"/>
      <c r="AT84" s="373"/>
      <c r="AU84" s="374"/>
      <c r="AV84" s="373"/>
      <c r="AW84" s="373"/>
      <c r="AX84" s="373"/>
      <c r="AY84" s="373"/>
      <c r="AZ84" s="374"/>
      <c r="BB84" s="368"/>
    </row>
    <row r="85" spans="2:54" s="148" customFormat="1" hidden="1" outlineLevel="1">
      <c r="B85" s="409"/>
      <c r="C85" s="369"/>
      <c r="D85" s="369"/>
      <c r="E85" s="370"/>
      <c r="F85" s="371"/>
      <c r="G85" s="371"/>
      <c r="H85" s="359"/>
      <c r="I85" s="359"/>
      <c r="J85" s="359"/>
      <c r="K85" s="359"/>
      <c r="L85" s="371"/>
      <c r="M85" s="359"/>
      <c r="N85" s="359"/>
      <c r="O85" s="429"/>
      <c r="P85" s="429"/>
      <c r="Q85" s="498"/>
      <c r="R85" s="429"/>
      <c r="S85" s="429"/>
      <c r="T85" s="429"/>
      <c r="U85" s="429"/>
      <c r="V85" s="498"/>
      <c r="W85" s="429"/>
      <c r="X85" s="429"/>
      <c r="Y85" s="429"/>
      <c r="Z85" s="429"/>
      <c r="AA85" s="498"/>
      <c r="AB85" s="359"/>
      <c r="AC85" s="359"/>
      <c r="AD85" s="359"/>
      <c r="AE85" s="359"/>
      <c r="AF85" s="371"/>
      <c r="AG85" s="359"/>
      <c r="AH85" s="359"/>
      <c r="AI85" s="359"/>
      <c r="AJ85" s="359"/>
      <c r="AK85" s="371"/>
      <c r="AL85" s="359"/>
      <c r="AM85" s="359"/>
      <c r="AN85" s="372"/>
      <c r="AO85" s="373"/>
      <c r="AP85" s="374"/>
      <c r="AQ85" s="373"/>
      <c r="AR85" s="373"/>
      <c r="AS85" s="373"/>
      <c r="AT85" s="373"/>
      <c r="AU85" s="374"/>
      <c r="AV85" s="373"/>
      <c r="AW85" s="373"/>
      <c r="AX85" s="373"/>
      <c r="AY85" s="373"/>
      <c r="AZ85" s="374"/>
      <c r="BB85" s="368"/>
    </row>
    <row r="86" spans="2:54" s="148" customFormat="1" hidden="1" outlineLevel="1">
      <c r="B86" s="409"/>
      <c r="C86" s="369"/>
      <c r="D86" s="369"/>
      <c r="E86" s="370"/>
      <c r="F86" s="371"/>
      <c r="G86" s="371"/>
      <c r="H86" s="359"/>
      <c r="I86" s="359"/>
      <c r="J86" s="359"/>
      <c r="K86" s="359"/>
      <c r="L86" s="371"/>
      <c r="M86" s="359"/>
      <c r="N86" s="359"/>
      <c r="O86" s="429"/>
      <c r="P86" s="429"/>
      <c r="Q86" s="498"/>
      <c r="R86" s="429"/>
      <c r="S86" s="429"/>
      <c r="T86" s="429"/>
      <c r="U86" s="429"/>
      <c r="V86" s="498"/>
      <c r="W86" s="429"/>
      <c r="X86" s="429"/>
      <c r="Y86" s="429"/>
      <c r="Z86" s="429"/>
      <c r="AA86" s="498"/>
      <c r="AB86" s="359"/>
      <c r="AC86" s="359"/>
      <c r="AD86" s="359"/>
      <c r="AE86" s="359"/>
      <c r="AF86" s="371"/>
      <c r="AG86" s="359"/>
      <c r="AH86" s="359"/>
      <c r="AI86" s="359"/>
      <c r="AJ86" s="359"/>
      <c r="AK86" s="371"/>
      <c r="AL86" s="359"/>
      <c r="AM86" s="359"/>
      <c r="AN86" s="372"/>
      <c r="AO86" s="373"/>
      <c r="AP86" s="374"/>
      <c r="AQ86" s="373"/>
      <c r="AR86" s="373"/>
      <c r="AS86" s="373"/>
      <c r="AT86" s="373"/>
      <c r="AU86" s="374"/>
      <c r="AV86" s="373"/>
      <c r="AW86" s="373"/>
      <c r="AX86" s="373"/>
      <c r="AY86" s="373"/>
      <c r="AZ86" s="374"/>
      <c r="BB86" s="368"/>
    </row>
    <row r="87" spans="2:54" s="148" customFormat="1" hidden="1" outlineLevel="1">
      <c r="B87" s="409"/>
      <c r="C87" s="369"/>
      <c r="D87" s="369"/>
      <c r="E87" s="370"/>
      <c r="F87" s="371"/>
      <c r="G87" s="371"/>
      <c r="H87" s="359"/>
      <c r="I87" s="359"/>
      <c r="J87" s="359"/>
      <c r="K87" s="359"/>
      <c r="L87" s="371"/>
      <c r="M87" s="359"/>
      <c r="N87" s="359"/>
      <c r="O87" s="429"/>
      <c r="P87" s="429"/>
      <c r="Q87" s="498"/>
      <c r="R87" s="429"/>
      <c r="S87" s="429"/>
      <c r="T87" s="429"/>
      <c r="U87" s="429"/>
      <c r="V87" s="498"/>
      <c r="W87" s="429"/>
      <c r="X87" s="429"/>
      <c r="Y87" s="429"/>
      <c r="Z87" s="429"/>
      <c r="AA87" s="498"/>
      <c r="AB87" s="359"/>
      <c r="AC87" s="359"/>
      <c r="AD87" s="359"/>
      <c r="AE87" s="359"/>
      <c r="AF87" s="371"/>
      <c r="AG87" s="359"/>
      <c r="AH87" s="359"/>
      <c r="AI87" s="359"/>
      <c r="AJ87" s="359"/>
      <c r="AK87" s="371"/>
      <c r="AL87" s="359"/>
      <c r="AM87" s="359"/>
      <c r="AN87" s="372"/>
      <c r="AO87" s="373"/>
      <c r="AP87" s="374"/>
      <c r="AQ87" s="373"/>
      <c r="AR87" s="373"/>
      <c r="AS87" s="373"/>
      <c r="AT87" s="373"/>
      <c r="AU87" s="374"/>
      <c r="AV87" s="373"/>
      <c r="AW87" s="373"/>
      <c r="AX87" s="373"/>
      <c r="AY87" s="373"/>
      <c r="AZ87" s="374"/>
      <c r="BB87" s="368"/>
    </row>
    <row r="88" spans="2:54" collapsed="1">
      <c r="B88" s="7"/>
      <c r="C88" s="6"/>
      <c r="D88" s="6"/>
      <c r="E88" s="12"/>
      <c r="F88" s="18"/>
      <c r="G88" s="18"/>
      <c r="H88" s="19"/>
      <c r="I88" s="19"/>
      <c r="J88" s="19"/>
      <c r="K88" s="19"/>
      <c r="L88" s="18"/>
      <c r="M88" s="19"/>
      <c r="N88" s="19"/>
      <c r="O88" s="19"/>
      <c r="P88" s="19"/>
      <c r="Q88" s="18"/>
      <c r="R88" s="19"/>
      <c r="S88" s="19"/>
      <c r="T88" s="19"/>
      <c r="U88" s="19"/>
      <c r="V88" s="18"/>
      <c r="W88" s="19"/>
      <c r="X88" s="19"/>
      <c r="Y88" s="19"/>
      <c r="Z88" s="19"/>
      <c r="AA88" s="18"/>
      <c r="AB88" s="19"/>
      <c r="AC88" s="19"/>
      <c r="AD88" s="19"/>
      <c r="AE88" s="19"/>
      <c r="AF88" s="18"/>
      <c r="AG88" s="19"/>
      <c r="AH88" s="19"/>
      <c r="AI88" s="19"/>
      <c r="AJ88" s="19"/>
      <c r="AK88" s="18"/>
      <c r="AL88" s="19"/>
      <c r="AM88" s="19"/>
      <c r="AN88" s="311"/>
      <c r="AO88" s="312"/>
      <c r="AP88" s="313"/>
      <c r="AQ88" s="312"/>
      <c r="AR88" s="312"/>
      <c r="AS88" s="312"/>
      <c r="AT88" s="312"/>
      <c r="AU88" s="313"/>
      <c r="AV88" s="312"/>
      <c r="AW88" s="312"/>
      <c r="AX88" s="312"/>
      <c r="AY88" s="312"/>
      <c r="AZ88" s="313"/>
    </row>
    <row r="89" spans="2:54" s="11" customFormat="1">
      <c r="B89" s="30" t="s">
        <v>595</v>
      </c>
      <c r="C89" s="33"/>
      <c r="D89" s="33"/>
      <c r="E89" s="36"/>
      <c r="F89" s="37"/>
      <c r="G89" s="37"/>
      <c r="H89" s="35"/>
      <c r="I89" s="35"/>
      <c r="J89" s="35"/>
      <c r="K89" s="35"/>
      <c r="L89" s="37"/>
      <c r="M89" s="35"/>
      <c r="N89" s="35"/>
      <c r="O89" s="35"/>
      <c r="P89" s="35"/>
      <c r="Q89" s="64"/>
      <c r="R89" s="61"/>
      <c r="S89" s="61"/>
      <c r="T89" s="61"/>
      <c r="U89" s="61"/>
      <c r="V89" s="64"/>
      <c r="W89" s="61"/>
      <c r="X89" s="61"/>
      <c r="Y89" s="61"/>
      <c r="Z89" s="61"/>
      <c r="AA89" s="64"/>
      <c r="AB89" s="61"/>
      <c r="AC89" s="61"/>
      <c r="AD89" s="61"/>
      <c r="AE89" s="61"/>
      <c r="AF89" s="64"/>
      <c r="AG89" s="61"/>
      <c r="AH89" s="61"/>
      <c r="AI89" s="61"/>
      <c r="AJ89" s="61"/>
      <c r="AK89" s="64"/>
      <c r="AL89" s="61"/>
      <c r="AM89" s="61"/>
      <c r="AP89" s="198"/>
      <c r="AU89" s="198"/>
      <c r="AV89" s="269"/>
      <c r="AW89" s="269"/>
      <c r="AX89" s="269"/>
      <c r="AY89" s="269"/>
      <c r="AZ89" s="198"/>
      <c r="BB89" s="257"/>
    </row>
    <row r="90" spans="2:54" s="11" customFormat="1" hidden="1" outlineLevel="1">
      <c r="B90" s="59" t="s">
        <v>430</v>
      </c>
      <c r="C90" s="33"/>
      <c r="D90" s="33"/>
      <c r="E90" s="36"/>
      <c r="F90" s="37"/>
      <c r="G90" s="37"/>
      <c r="H90" s="35"/>
      <c r="I90" s="35"/>
      <c r="J90" s="35"/>
      <c r="K90" s="35"/>
      <c r="L90" s="37"/>
      <c r="M90" s="61"/>
      <c r="N90" s="61"/>
      <c r="O90" s="61">
        <v>0.03</v>
      </c>
      <c r="P90" s="61">
        <v>7.3999999999999996E-2</v>
      </c>
      <c r="Q90" s="64">
        <v>7.3999999999999996E-2</v>
      </c>
      <c r="R90" s="61">
        <v>7.0000000000000007E-2</v>
      </c>
      <c r="S90" s="61">
        <v>0.13</v>
      </c>
      <c r="T90" s="61">
        <v>0.06</v>
      </c>
      <c r="U90" s="61">
        <v>0.09</v>
      </c>
      <c r="V90" s="64">
        <v>0.09</v>
      </c>
      <c r="W90" s="61">
        <v>5.6000000000000001E-2</v>
      </c>
      <c r="X90" s="61">
        <v>9.5000000000000001E-2</v>
      </c>
      <c r="Y90" s="61">
        <v>2.4E-2</v>
      </c>
      <c r="Z90" s="61"/>
      <c r="AA90" s="64">
        <v>6.3E-2</v>
      </c>
      <c r="AB90" s="61">
        <v>0.14000000000000001</v>
      </c>
      <c r="AC90" s="61">
        <v>2E-3</v>
      </c>
      <c r="AD90" s="61">
        <v>6.3E-2</v>
      </c>
      <c r="AE90" s="61"/>
      <c r="AF90" s="64">
        <v>5.6000000000000001E-2</v>
      </c>
      <c r="AG90" s="61">
        <v>-5.1999999999999998E-2</v>
      </c>
      <c r="AH90" s="61">
        <v>4.7E-2</v>
      </c>
      <c r="AI90" s="61">
        <v>3.5000000000000003E-2</v>
      </c>
      <c r="AJ90" s="61"/>
      <c r="AK90" s="64">
        <v>1.4E-2</v>
      </c>
      <c r="AL90" s="61">
        <v>-1.9E-2</v>
      </c>
      <c r="AM90" s="61">
        <v>-7.6999999999999999E-2</v>
      </c>
      <c r="AP90" s="198"/>
      <c r="AU90" s="198"/>
      <c r="AV90" s="269"/>
      <c r="AW90" s="269"/>
      <c r="AX90" s="269"/>
      <c r="AY90" s="269"/>
      <c r="AZ90" s="198"/>
      <c r="BB90" s="257"/>
    </row>
    <row r="91" spans="2:54" s="11" customFormat="1" hidden="1" outlineLevel="1">
      <c r="B91" s="59" t="s">
        <v>594</v>
      </c>
      <c r="C91" s="33"/>
      <c r="D91" s="33"/>
      <c r="E91" s="36"/>
      <c r="F91" s="37"/>
      <c r="G91" s="37"/>
      <c r="H91" s="35"/>
      <c r="I91" s="35"/>
      <c r="J91" s="35"/>
      <c r="K91" s="35"/>
      <c r="L91" s="37"/>
      <c r="M91" s="61"/>
      <c r="N91" s="61"/>
      <c r="O91" s="61"/>
      <c r="P91" s="61">
        <v>-1.4999999999999999E-2</v>
      </c>
      <c r="Q91" s="64">
        <v>-1.4999999999999999E-2</v>
      </c>
      <c r="R91" s="61">
        <v>0.12</v>
      </c>
      <c r="S91" s="61">
        <v>0.19</v>
      </c>
      <c r="T91" s="61">
        <v>0.08</v>
      </c>
      <c r="U91" s="61">
        <v>0.08</v>
      </c>
      <c r="V91" s="64">
        <v>8.2000000000000003E-2</v>
      </c>
      <c r="W91" s="61">
        <v>-2.4E-2</v>
      </c>
      <c r="X91" s="61">
        <v>0.11600000000000001</v>
      </c>
      <c r="Y91" s="61">
        <v>0.33700000000000002</v>
      </c>
      <c r="Z91" s="61"/>
      <c r="AA91" s="64">
        <v>0.21199999999999999</v>
      </c>
      <c r="AB91" s="61">
        <v>0.61</v>
      </c>
      <c r="AC91" s="61">
        <v>0.28999999999999998</v>
      </c>
      <c r="AD91" s="61">
        <v>2.1999999999999999E-2</v>
      </c>
      <c r="AE91" s="61"/>
      <c r="AF91" s="64">
        <v>0.1</v>
      </c>
      <c r="AG91" s="61">
        <v>-5.1999999999999998E-2</v>
      </c>
      <c r="AH91" s="61">
        <v>-4.2000000000000003E-2</v>
      </c>
      <c r="AI91" s="61">
        <v>0.153</v>
      </c>
      <c r="AJ91" s="61"/>
      <c r="AK91" s="64">
        <v>-5.1999999999999998E-2</v>
      </c>
      <c r="AL91" s="61">
        <v>-0.28999999999999998</v>
      </c>
      <c r="AM91" s="61">
        <v>-0.109</v>
      </c>
      <c r="AP91" s="198"/>
      <c r="AU91" s="198"/>
      <c r="AV91" s="61"/>
      <c r="AW91" s="61"/>
      <c r="AX91" s="61"/>
      <c r="AY91" s="61"/>
      <c r="AZ91" s="198"/>
      <c r="BB91" s="257"/>
    </row>
    <row r="92" spans="2:54" collapsed="1">
      <c r="B92" s="7"/>
      <c r="C92" s="6"/>
      <c r="D92" s="6"/>
      <c r="E92" s="12"/>
      <c r="F92" s="18"/>
      <c r="G92" s="18"/>
      <c r="H92" s="19"/>
      <c r="I92" s="19"/>
      <c r="J92" s="19"/>
      <c r="K92" s="19"/>
      <c r="L92" s="18"/>
      <c r="M92" s="19"/>
      <c r="N92" s="19"/>
      <c r="O92" s="19"/>
      <c r="P92" s="19"/>
      <c r="Q92" s="18"/>
      <c r="R92" s="19"/>
      <c r="S92" s="19"/>
      <c r="T92" s="19"/>
      <c r="U92" s="19"/>
      <c r="V92" s="18"/>
      <c r="W92" s="19"/>
      <c r="X92" s="19"/>
      <c r="Y92" s="19"/>
      <c r="Z92" s="19"/>
      <c r="AA92" s="18"/>
      <c r="AB92" s="19"/>
      <c r="AC92" s="19"/>
      <c r="AD92" s="19"/>
      <c r="AE92" s="19"/>
      <c r="AF92" s="18"/>
      <c r="AG92" s="19"/>
      <c r="AH92" s="19"/>
      <c r="AI92" s="19"/>
      <c r="AJ92" s="19"/>
      <c r="AK92" s="18"/>
      <c r="AL92" s="19"/>
      <c r="AM92" s="19"/>
      <c r="AN92" s="311"/>
      <c r="AO92" s="312"/>
      <c r="AP92" s="313"/>
      <c r="AQ92" s="312"/>
      <c r="AR92" s="312"/>
      <c r="AS92" s="312"/>
      <c r="AT92" s="312"/>
      <c r="AU92" s="313"/>
      <c r="AV92" s="312"/>
      <c r="AW92" s="312"/>
      <c r="AX92" s="312"/>
      <c r="AY92" s="312"/>
      <c r="AZ92" s="313"/>
    </row>
    <row r="93" spans="2:54">
      <c r="B93" s="10" t="s">
        <v>772</v>
      </c>
      <c r="C93" s="6"/>
      <c r="D93" s="6"/>
      <c r="E93" s="12"/>
      <c r="F93" s="18"/>
      <c r="G93" s="18"/>
      <c r="H93" s="19"/>
      <c r="I93" s="19"/>
      <c r="J93" s="19"/>
      <c r="K93" s="19"/>
      <c r="L93" s="18"/>
      <c r="M93" s="19"/>
      <c r="N93" s="19"/>
      <c r="O93" s="19"/>
      <c r="P93" s="19"/>
      <c r="Q93" s="18"/>
      <c r="R93" s="19"/>
      <c r="S93" s="19"/>
      <c r="T93" s="19"/>
      <c r="U93" s="19"/>
      <c r="V93" s="18"/>
      <c r="W93" s="19"/>
      <c r="X93" s="19"/>
      <c r="Y93" s="19"/>
      <c r="Z93" s="19"/>
      <c r="AA93" s="18"/>
      <c r="AB93" s="19"/>
      <c r="AC93" s="19"/>
      <c r="AD93" s="19"/>
      <c r="AE93" s="19"/>
      <c r="AF93" s="18"/>
      <c r="AG93" s="19"/>
      <c r="AH93" s="19"/>
      <c r="AI93" s="19"/>
      <c r="AJ93" s="19"/>
      <c r="AK93" s="18"/>
      <c r="AL93" s="19"/>
      <c r="AM93" s="19"/>
      <c r="AN93" s="311"/>
      <c r="AO93" s="312"/>
      <c r="AP93" s="313"/>
      <c r="AQ93" s="312"/>
      <c r="AR93" s="312"/>
      <c r="AS93" s="312"/>
      <c r="AT93" s="312"/>
      <c r="AU93" s="313"/>
      <c r="AV93" s="312"/>
      <c r="AW93" s="312"/>
      <c r="AX93" s="312"/>
      <c r="AY93" s="312"/>
      <c r="AZ93" s="313"/>
    </row>
    <row r="94" spans="2:54" hidden="1" outlineLevel="1">
      <c r="B94" s="403" t="s">
        <v>679</v>
      </c>
      <c r="C94" s="6"/>
      <c r="D94" s="6"/>
      <c r="E94" s="12"/>
      <c r="F94" s="18"/>
      <c r="G94" s="18"/>
      <c r="H94" s="19"/>
      <c r="I94" s="19"/>
      <c r="J94" s="19"/>
      <c r="K94" s="19"/>
      <c r="L94" s="18"/>
      <c r="M94" s="19"/>
      <c r="N94" s="19"/>
      <c r="O94" s="19"/>
      <c r="P94" s="19"/>
      <c r="Q94" s="18"/>
      <c r="R94" s="19"/>
      <c r="S94" s="19"/>
      <c r="T94" s="19"/>
      <c r="U94" s="19"/>
      <c r="V94" s="18"/>
      <c r="W94" s="19"/>
      <c r="X94" s="19"/>
      <c r="Y94" s="19"/>
      <c r="Z94" s="19"/>
      <c r="AA94" s="18"/>
      <c r="AB94" s="19"/>
      <c r="AC94" s="19"/>
      <c r="AD94" s="19"/>
      <c r="AE94" s="19"/>
      <c r="AF94" s="18"/>
      <c r="AG94" s="19"/>
      <c r="AH94" s="19"/>
      <c r="AI94" s="19"/>
      <c r="AJ94" s="19"/>
      <c r="AK94" s="18"/>
      <c r="AL94" s="19"/>
      <c r="AM94" s="19"/>
      <c r="AN94" s="311"/>
      <c r="AO94" s="312"/>
      <c r="AP94" s="313"/>
      <c r="AQ94" s="312"/>
      <c r="AR94" s="312"/>
      <c r="AS94" s="312"/>
      <c r="AT94" s="312"/>
      <c r="AU94" s="313"/>
      <c r="AV94" s="312"/>
      <c r="AW94" s="312"/>
      <c r="AX94" s="312"/>
      <c r="AY94" s="312"/>
      <c r="AZ94" s="313"/>
    </row>
    <row r="95" spans="2:54" s="148" customFormat="1" hidden="1" outlineLevel="1">
      <c r="B95" s="225" t="s">
        <v>642</v>
      </c>
      <c r="C95" s="369"/>
      <c r="D95" s="369"/>
      <c r="E95" s="370"/>
      <c r="F95" s="371"/>
      <c r="G95" s="371"/>
      <c r="H95" s="359"/>
      <c r="I95" s="359"/>
      <c r="J95" s="359"/>
      <c r="K95" s="359"/>
      <c r="L95" s="371"/>
      <c r="M95" s="359"/>
      <c r="N95" s="359"/>
      <c r="O95" s="359"/>
      <c r="P95" s="359"/>
      <c r="Q95" s="371"/>
      <c r="R95" s="359"/>
      <c r="S95" s="359"/>
      <c r="T95" s="359"/>
      <c r="U95" s="359"/>
      <c r="V95" s="371"/>
      <c r="W95" s="359"/>
      <c r="X95" s="359"/>
      <c r="Y95" s="359"/>
      <c r="Z95" s="359"/>
      <c r="AA95" s="371"/>
      <c r="AB95" s="359"/>
      <c r="AC95" s="359"/>
      <c r="AD95" s="359"/>
      <c r="AE95" s="359"/>
      <c r="AF95" s="371"/>
      <c r="AG95" s="359"/>
      <c r="AH95" s="359"/>
      <c r="AI95" s="359"/>
      <c r="AJ95" s="359"/>
      <c r="AK95" s="371"/>
      <c r="AL95" s="359"/>
      <c r="AM95" s="359"/>
      <c r="AN95" s="372"/>
      <c r="AO95" s="373"/>
      <c r="AP95" s="374"/>
      <c r="AQ95" s="373"/>
      <c r="AR95" s="373"/>
      <c r="AS95" s="373"/>
      <c r="AT95" s="373"/>
      <c r="AU95" s="374"/>
      <c r="AV95" s="373"/>
      <c r="AW95" s="373"/>
      <c r="AX95" s="373"/>
      <c r="AY95" s="373"/>
      <c r="AZ95" s="374"/>
      <c r="BB95" s="368"/>
    </row>
    <row r="96" spans="2:54" hidden="1" outlineLevel="1">
      <c r="B96" s="7" t="s">
        <v>643</v>
      </c>
      <c r="C96" s="6" t="s">
        <v>647</v>
      </c>
      <c r="D96" s="6" t="s">
        <v>359</v>
      </c>
      <c r="E96" s="18" cm="1">
        <f t="array" ref="E96">_xll.VAData($D96, E$5, $C96, "Consensus", "CD", "IMPL","","")/100</f>
        <v>-4.5375376909090898E-3</v>
      </c>
      <c r="F96" s="18" cm="1">
        <f t="array" ref="F96">_xll.VAData($D96, F$5, $C96, "Consensus", "CD", "IMPL","","")/100</f>
        <v>1.0813603747070251E-2</v>
      </c>
      <c r="G96" s="18" cm="1">
        <f t="array" ref="G96">_xll.VAData($D96, G$5, $C96, "Consensus", "CD", "IMPL","","")/100</f>
        <v>1.0849126813195531E-2</v>
      </c>
      <c r="H96" s="19" cm="1">
        <f t="array" ref="H96">_xll.VAData($D96, H$5, $C96, "Consensus", "CD", "IMPL","","")/100</f>
        <v>-2.523076923076923E-2</v>
      </c>
      <c r="I96" s="19" cm="1">
        <f t="array" ref="I96">_xll.VAData($D96, I$5, $C96, "Consensus", "CD", "IMPL","","")/100</f>
        <v>7.0269785708187505E-3</v>
      </c>
      <c r="J96" s="19" cm="1">
        <f t="array" ref="J96">_xll.VAData($D96, J$5, $C96, "Consensus", "CD", "IMPL","","")/100</f>
        <v>6.8461538461538499E-3</v>
      </c>
      <c r="K96" s="19" cm="1">
        <f t="array" ref="K96">_xll.VAData($D96, K$5, $C96, "Consensus", "CD", "IMPL","","")/100</f>
        <v>1.5087716014723321E-2</v>
      </c>
      <c r="L96" s="18" cm="1">
        <f t="array" ref="L96">_xll.VAData($D96, L$5, $C96, "Consensus", "CD", "IMPL","","")/100</f>
        <v>3.7655289333332999E-4</v>
      </c>
      <c r="M96" s="19" cm="1">
        <f t="array" ref="M96">_xll.VAData($D96, M$5, $C96, "Consensus", "CD", "IMPL","","")/100</f>
        <v>0.02</v>
      </c>
      <c r="N96" s="19" cm="1">
        <f t="array" ref="N96">_xll.VAData($D96, N$5, $C96, "Consensus", "CD", "IMPL","","")/100</f>
        <v>1.307692307692308E-2</v>
      </c>
      <c r="O96" s="19" cm="1">
        <f t="array" ref="O96">_xll.VAData($D96, O$5, $C96, "Consensus", "CD", "IMPL","","")/100</f>
        <v>1.384615384615385E-2</v>
      </c>
      <c r="P96" s="19" cm="1">
        <f t="array" ref="P96">_xll.VAData($D96, P$5, $C96, "Consensus", "CD", "IMPL","","")/100</f>
        <v>-2.6923076923076921E-2</v>
      </c>
      <c r="Q96" s="18" cm="1">
        <f t="array" ref="Q96">_xll.VAData($D96, Q$5, $C96, "Consensus", "CD", "IMPL","","")/100</f>
        <v>3.3277185499999999E-3</v>
      </c>
      <c r="R96" s="19" cm="1">
        <f t="array" ref="R96">_xll.VAData($D96, R$5, $C96, "Consensus", "CD", "IMPL","","")/100</f>
        <v>-0.03</v>
      </c>
      <c r="S96" s="19" cm="1">
        <f t="array" ref="S96">_xll.VAData($D96, S$5, $C96, "Consensus", "CD", "IMPL","","")/100</f>
        <v>-1.0092640692640691E-2</v>
      </c>
      <c r="T96" s="19" cm="1">
        <f t="array" ref="T96">_xll.VAData($D96, T$5, $C96, "Consensus", "CD", "IMPL","","")/100</f>
        <v>-8.6666666666666697E-3</v>
      </c>
      <c r="U96" s="19" cm="1">
        <f t="array" ref="U96">_xll.VAData($D96, U$5, $C96, "Consensus", "CD", "IMPL","","")/100</f>
        <v>2.947754240771697E-2</v>
      </c>
      <c r="V96" s="18" cm="1">
        <f t="array" ref="V96">_xll.VAData($D96, V$5, $C96, "Consensus", "CD", "IMPL","","")/100</f>
        <v>-1.4855810615384598E-3</v>
      </c>
      <c r="W96" s="19" cm="1">
        <f t="array" ref="W96">_xll.VAData($D96, W$5, $C96, "Consensus", "CD", "IMPL","","")/100</f>
        <v>0.03</v>
      </c>
      <c r="X96" s="19" cm="1">
        <f t="array" ref="X96">_xll.VAData($D96, X$5, $C96, "Consensus", "CD", "IMPL","","")/100</f>
        <v>-0.17986666666666667</v>
      </c>
      <c r="Y96" s="19" cm="1">
        <f t="array" ref="Y96">_xll.VAData($D96, Y$5, $C96, "Consensus", "CD", "IMPL","","")/100</f>
        <v>-6.9714285714285729E-2</v>
      </c>
      <c r="Z96" s="19" cm="1">
        <f t="array" ref="Z96">_xll.VAData($D96, Z$5, $C96, "Consensus", "CD", "IMPL","","")/100</f>
        <v>-0.06</v>
      </c>
      <c r="AA96" s="18" cm="1">
        <f t="array" ref="AA96">_xll.VAData($D96, AA$5, $C96, "Consensus", "CD", "IMPL","","")/100</f>
        <v>-7.0744739528571424E-2</v>
      </c>
      <c r="AB96" s="19" cm="1">
        <f t="array" ref="AB96">_xll.VAData($D96, AB$5, $C96, "Consensus", "CD", "IMPL","","")/100</f>
        <v>0</v>
      </c>
      <c r="AC96" s="19" cm="1">
        <f t="array" ref="AC96">_xll.VAData($D96, AC$5, $C96, "Consensus", "CD", "IMPL","","")/100</f>
        <v>0.15966666666666668</v>
      </c>
      <c r="AD96" s="19" cm="1">
        <f t="array" ref="AD96">_xll.VAData($D96, AD$5, $C96, "Consensus", "CD", "IMPL","","")/100</f>
        <v>7.1083333333333332E-2</v>
      </c>
      <c r="AE96" s="19" cm="1">
        <f t="array" ref="AE96">_xll.VAData($D96, AE$5, $C96, "Consensus", "CD", "IMPL","","")/100</f>
        <v>4.1666666666666671E-2</v>
      </c>
      <c r="AF96" s="18" cm="1">
        <f t="array" ref="AF96">_xll.VAData($D96, AF$5, $C96, "Consensus", "CD", "IMPL","","")/100</f>
        <v>6.9643069684615394E-2</v>
      </c>
      <c r="AG96" s="19" cm="1">
        <f t="array" ref="AG96">_xll.VAData($D96, AG$5, $C96, "Consensus", "CD", "IMPL","","")/100</f>
        <v>0.03</v>
      </c>
      <c r="AH96" s="19" cm="1">
        <f t="array" ref="AH96">_xll.VAData($D96, AH$5, $C96, "Consensus", "CD", "IMPL","","")/100</f>
        <v>0.03</v>
      </c>
      <c r="AI96" s="19" cm="1">
        <f t="array" ref="AI96">_xll.VAData($D96, AI$5, $C96, "Consensus", "CD", "IMPL","","")/100</f>
        <v>-0.01</v>
      </c>
      <c r="AJ96" s="19" cm="1">
        <f t="array" ref="AJ96">_xll.VAData($D96, AJ$5, $C96, "Consensus", "CD", "IMPL","","")/100</f>
        <v>7.9106493761666192E-3</v>
      </c>
      <c r="AK96" s="18" cm="1">
        <f t="array" ref="AK96">_xll.VAData($D96, AK$5, $C96, "Consensus", "CD", "IMPL","","")/100</f>
        <v>1.1742860745476379E-2</v>
      </c>
      <c r="AL96" s="19" cm="1">
        <f t="array" ref="AL96">_xll.VAData($D96, AL$5, $C96, "Consensus", "CD", "IMPL","","")/100</f>
        <v>-0.02</v>
      </c>
      <c r="AM96" s="19" cm="1">
        <f t="array" ref="AM96">_xll.VAData($D96, AM$5, $C96, "Consensus", "CD", "IMPL","","")/100</f>
        <v>-1E-3</v>
      </c>
      <c r="AN96" s="60" cm="1">
        <f t="array" ref="AN96">_xll.VAData($D96, AN$5, $C96, "Consensus", "CD", "IMPL","","")/100</f>
        <v>6.2655905508669195E-3</v>
      </c>
      <c r="AO96" s="60" cm="1">
        <f t="array" ref="AO96">_xll.VAData($D96, AO$5, $C96, "Consensus", "CD", "IMPL","","")/100</f>
        <v>9.7764835198568406E-3</v>
      </c>
      <c r="AP96" s="313" cm="1">
        <f t="array" ref="AP96">_xll.VAData($D96, AP$5, $C96, "Consensus", "CD", "IMPL","","")/100</f>
        <v>-9.6527027609306991E-4</v>
      </c>
      <c r="AQ96" s="60" cm="1">
        <f t="array" ref="AQ96">_xll.VAData($D96, AQ$5, $C96, "Consensus", "CD", "IMPL","","")/100</f>
        <v>1.7843310006676927E-2</v>
      </c>
      <c r="AR96" s="60" cm="1">
        <f t="array" ref="AR96">_xll.VAData($D96, AR$5, $C96, "Consensus", "CD", "IMPL","","")/100</f>
        <v>1.3349870905429271E-2</v>
      </c>
      <c r="AS96" s="60" cm="1">
        <f t="array" ref="AS96">_xll.VAData($D96, AS$5, $C96, "Consensus", "CD", "IMPL","","")/100</f>
        <v>1.5833333333333331E-2</v>
      </c>
      <c r="AT96" s="60" cm="1">
        <f t="array" ref="AT96">_xll.VAData($D96, AT$5, $C96, "Consensus", "CD", "IMPL","","")/100</f>
        <v>1.6250000000000011E-2</v>
      </c>
      <c r="AU96" s="313" cm="1">
        <f t="array" ref="AU96">_xll.VAData($D96, AU$5, $C96, "Consensus", "CD", "IMPL","","")/100</f>
        <v>1.580687509667348E-2</v>
      </c>
      <c r="AV96" s="60" cm="1">
        <f t="array" ref="AV96">_xll.VAData($D96, AV$5, $C96, "Consensus", "CD", "IMPL","","")/100</f>
        <v>2.4E-2</v>
      </c>
      <c r="AW96" s="60" cm="1">
        <f t="array" ref="AW96">_xll.VAData($D96, AW$5, $C96, "Consensus", "CD", "IMPL","","")/100</f>
        <v>1.3999999999999999E-2</v>
      </c>
      <c r="AX96" s="60" cm="1">
        <f t="array" ref="AX96">_xll.VAData($D96, AX$5, $C96, "Consensus", "CD", "IMPL","","")/100</f>
        <v>1.6E-2</v>
      </c>
      <c r="AY96" s="60" cm="1">
        <f t="array" ref="AY96">_xll.VAData($D96, AY$5, $C96, "Consensus", "CD", "IMPL","","")/100</f>
        <v>1.6E-2</v>
      </c>
      <c r="AZ96" s="313" cm="1">
        <f t="array" ref="AZ96">_xll.VAData($D96, AZ$5, $C96, "Consensus", "CD", "IMPL","","")/100</f>
        <v>1.7626619617031391E-2</v>
      </c>
    </row>
    <row r="97" spans="2:54" hidden="1" outlineLevel="1">
      <c r="B97" s="7" t="s">
        <v>644</v>
      </c>
      <c r="C97" s="6" t="s">
        <v>649</v>
      </c>
      <c r="D97" s="6" t="s">
        <v>359</v>
      </c>
      <c r="E97" s="18" cm="1">
        <f t="array" ref="E97">_xll.VAData($D97, E$5, $C97, "Consensus", "CD", "IMPL","","")/100</f>
        <v>1.1252608895335909E-2</v>
      </c>
      <c r="F97" s="18" cm="1">
        <f t="array" ref="F97">_xll.VAData($D97, F$5, $C97, "Consensus", "CD", "IMPL","","")/100</f>
        <v>3.822930987897355E-2</v>
      </c>
      <c r="G97" s="18" cm="1">
        <f t="array" ref="G97">_xll.VAData($D97, G$5, $C97, "Consensus", "CD", "IMPL","","")/100</f>
        <v>2.9513909979206252E-2</v>
      </c>
      <c r="H97" s="19" cm="1">
        <f t="array" ref="H97">_xll.VAData($D97, H$5, $C97, "Consensus", "CD", "IMPL","","")/100</f>
        <v>2.4703997807176439E-2</v>
      </c>
      <c r="I97" s="19" cm="1">
        <f t="array" ref="I97">_xll.VAData($D97, I$5, $C97, "Consensus", "CD", "IMPL","","")/100</f>
        <v>3.2431100166096821E-2</v>
      </c>
      <c r="J97" s="19" cm="1">
        <f t="array" ref="J97">_xll.VAData($D97, J$5, $C97, "Consensus", "CD", "IMPL","","")/100</f>
        <v>1.6397547295669751E-2</v>
      </c>
      <c r="K97" s="19" cm="1">
        <f t="array" ref="K97">_xll.VAData($D97, K$5, $C97, "Consensus", "CD", "IMPL","","")/100</f>
        <v>1.7634328986951872E-2</v>
      </c>
      <c r="L97" s="18" cm="1">
        <f t="array" ref="L97">_xll.VAData($D97, L$5, $C97, "Consensus", "CD", "IMPL","","")/100</f>
        <v>2.675807892514016E-2</v>
      </c>
      <c r="M97" s="19" cm="1">
        <f t="array" ref="M97">_xll.VAData($D97, M$5, $C97, "Consensus", "CD", "IMPL","","")/100</f>
        <v>-1.0091340184615381E-2</v>
      </c>
      <c r="N97" s="19" cm="1">
        <f t="array" ref="N97">_xll.VAData($D97, N$5, $C97, "Consensus", "CD", "IMPL","","")/100</f>
        <v>-3.0483319646153851E-2</v>
      </c>
      <c r="O97" s="19" cm="1">
        <f t="array" ref="O97">_xll.VAData($D97, O$5, $C97, "Consensus", "CD", "IMPL","","")/100</f>
        <v>-4.2956324615384996E-4</v>
      </c>
      <c r="P97" s="19" cm="1">
        <f t="array" ref="P97">_xll.VAData($D97, P$5, $C97, "Consensus", "CD", "IMPL","","")/100</f>
        <v>0.02</v>
      </c>
      <c r="Q97" s="18" cm="1">
        <f t="array" ref="Q97">_xll.VAData($D97, Q$5, $C97, "Consensus", "CD", "IMPL","","")/100</f>
        <v>-2.6010391666666699E-3</v>
      </c>
      <c r="R97" s="19" cm="1">
        <f t="array" ref="R97">_xll.VAData($D97, R$5, $C97, "Consensus", "CD", "IMPL","","")/100</f>
        <v>4.0198576707976351E-2</v>
      </c>
      <c r="S97" s="19" cm="1">
        <f t="array" ref="S97">_xll.VAData($D97, S$5, $C97, "Consensus", "CD", "IMPL","","")/100</f>
        <v>3.9896728540213429E-2</v>
      </c>
      <c r="T97" s="19" cm="1">
        <f t="array" ref="T97">_xll.VAData($D97, T$5, $C97, "Consensus", "CD", "IMPL","","")/100</f>
        <v>3.0370736372677492E-2</v>
      </c>
      <c r="U97" s="19" cm="1">
        <f t="array" ref="U97">_xll.VAData($D97, U$5, $C97, "Consensus", "CD", "IMPL","","")/100</f>
        <v>1.9354252307895402E-2</v>
      </c>
      <c r="V97" s="18" cm="1">
        <f t="array" ref="V97">_xll.VAData($D97, V$5, $C97, "Consensus", "CD", "IMPL","","")/100</f>
        <v>3.0980307213908057E-2</v>
      </c>
      <c r="W97" s="19" cm="1">
        <f t="array" ref="W97">_xll.VAData($D97, W$5, $C97, "Consensus", "CD", "IMPL","","")/100</f>
        <v>1.0125809513815261E-2</v>
      </c>
      <c r="X97" s="19" cm="1">
        <f t="array" ref="X97">_xll.VAData($D97, X$5, $C97, "Consensus", "CD", "IMPL","","")/100</f>
        <v>2.1976296993956001E-4</v>
      </c>
      <c r="Y97" s="19" cm="1">
        <f t="array" ref="Y97">_xll.VAData($D97, Y$5, $C97, "Consensus", "CD", "IMPL","","")/100</f>
        <v>3.9928795933602663E-2</v>
      </c>
      <c r="Z97" s="19" cm="1">
        <f t="array" ref="Z97">_xll.VAData($D97, Z$5, $C97, "Consensus", "CD", "IMPL","","")/100</f>
        <v>0.03</v>
      </c>
      <c r="AA97" s="18" cm="1">
        <f t="array" ref="AA97">_xll.VAData($D97, AA$5, $C97, "Consensus", "CD", "IMPL","","")/100</f>
        <v>2.015308920215711E-2</v>
      </c>
      <c r="AB97" s="19" cm="1">
        <f t="array" ref="AB97">_xll.VAData($D97, AB$5, $C97, "Consensus", "CD", "IMPL","","")/100</f>
        <v>4.0037593984962407E-2</v>
      </c>
      <c r="AC97" s="19" cm="1">
        <f t="array" ref="AC97">_xll.VAData($D97, AC$5, $C97, "Consensus", "CD", "IMPL","","")/100</f>
        <v>0.11898652053997077</v>
      </c>
      <c r="AD97" s="19" cm="1">
        <f t="array" ref="AD97">_xll.VAData($D97, AD$5, $C97, "Consensus", "CD", "IMPL","","")/100</f>
        <v>5.0265395417826549E-2</v>
      </c>
      <c r="AE97" s="19" cm="1">
        <f t="array" ref="AE97">_xll.VAData($D97, AE$5, $C97, "Consensus", "CD", "IMPL","","")/100</f>
        <v>0.09</v>
      </c>
      <c r="AF97" s="18" cm="1">
        <f t="array" ref="AF97">_xll.VAData($D97, AF$5, $C97, "Consensus", "CD", "IMPL","","")/100</f>
        <v>7.0607204051786526E-2</v>
      </c>
      <c r="AG97" s="19" cm="1">
        <f t="array" ref="AG97">_xll.VAData($D97, AG$5, $C97, "Consensus", "CD", "IMPL","","")/100</f>
        <v>0.11</v>
      </c>
      <c r="AH97" s="19" cm="1">
        <f t="array" ref="AH97">_xll.VAData($D97, AH$5, $C97, "Consensus", "CD", "IMPL","","")/100</f>
        <v>0.10074878987756634</v>
      </c>
      <c r="AI97" s="19" cm="1">
        <f t="array" ref="AI97">_xll.VAData($D97, AI$5, $C97, "Consensus", "CD", "IMPL","","")/100</f>
        <v>0.15076017674106207</v>
      </c>
      <c r="AJ97" s="19" cm="1">
        <f t="array" ref="AJ97">_xll.VAData($D97, AJ$5, $C97, "Consensus", "CD", "IMPL","","")/100</f>
        <v>0.11988751764563267</v>
      </c>
      <c r="AK97" s="18" cm="1">
        <f t="array" ref="AK97">_xll.VAData($D97, AK$5, $C97, "Consensus", "CD", "IMPL","","")/100</f>
        <v>0.12034375222187375</v>
      </c>
      <c r="AL97" s="19" cm="1">
        <f t="array" ref="AL97">_xll.VAData($D97, AL$5, $C97, "Consensus", "CD", "IMPL","","")/100</f>
        <v>0.10994784264680799</v>
      </c>
      <c r="AM97" s="19" cm="1">
        <f t="array" ref="AM97">_xll.VAData($D97, AM$5, $C97, "Consensus", "CD", "IMPL","","")/100</f>
        <v>8.967025448746957E-2</v>
      </c>
      <c r="AN97" s="60" cm="1">
        <f t="array" ref="AN97">_xll.VAData($D97, AN$5, $C97, "Consensus", "CD", "IMPL","","")/100</f>
        <v>4.7500000000000001E-2</v>
      </c>
      <c r="AO97" s="60" cm="1">
        <f t="array" ref="AO97">_xll.VAData($D97, AO$5, $C97, "Consensus", "CD", "IMPL","","")/100</f>
        <v>3.7935105923043666E-2</v>
      </c>
      <c r="AP97" s="313" cm="1">
        <f t="array" ref="AP97">_xll.VAData($D97, AP$5, $C97, "Consensus", "CD", "IMPL","","")/100</f>
        <v>7.0597061463507721E-2</v>
      </c>
      <c r="AQ97" s="60" cm="1">
        <f t="array" ref="AQ97">_xll.VAData($D97, AQ$5, $C97, "Consensus", "CD", "IMPL","","")/100</f>
        <v>2.5203333333333328E-2</v>
      </c>
      <c r="AR97" s="60" cm="1">
        <f t="array" ref="AR97">_xll.VAData($D97, AR$5, $C97, "Consensus", "CD", "IMPL","","")/100</f>
        <v>2.487E-2</v>
      </c>
      <c r="AS97" s="60" cm="1">
        <f t="array" ref="AS97">_xll.VAData($D97, AS$5, $C97, "Consensus", "CD", "IMPL","","")/100</f>
        <v>2.6036666666666666E-2</v>
      </c>
      <c r="AT97" s="60" cm="1">
        <f t="array" ref="AT97">_xll.VAData($D97, AT$5, $C97, "Consensus", "CD", "IMPL","","")/100</f>
        <v>2.7286666666666667E-2</v>
      </c>
      <c r="AU97" s="313" cm="1">
        <f t="array" ref="AU97">_xll.VAData($D97, AU$5, $C97, "Consensus", "CD", "IMPL","","")/100</f>
        <v>2.5796438713753669E-2</v>
      </c>
      <c r="AV97" s="60" cm="1">
        <f t="array" ref="AV97">_xll.VAData($D97, AV$5, $C97, "Consensus", "CD", "IMPL","","")/100</f>
        <v>0.02</v>
      </c>
      <c r="AW97" s="60" cm="1">
        <f t="array" ref="AW97">_xll.VAData($D97, AW$5, $C97, "Consensus", "CD", "IMPL","","")/100</f>
        <v>0.02</v>
      </c>
      <c r="AX97" s="60" cm="1">
        <f t="array" ref="AX97">_xll.VAData($D97, AX$5, $C97, "Consensus", "CD", "IMPL","","")/100</f>
        <v>0.02</v>
      </c>
      <c r="AY97" s="60" cm="1">
        <f t="array" ref="AY97">_xll.VAData($D97, AY$5, $C97, "Consensus", "CD", "IMPL","","")/100</f>
        <v>0.02</v>
      </c>
      <c r="AZ97" s="313" cm="1">
        <f t="array" ref="AZ97">_xll.VAData($D97, AZ$5, $C97, "Consensus", "CD", "IMPL","","")/100</f>
        <v>2.1017168807726461E-2</v>
      </c>
    </row>
    <row r="98" spans="2:54" hidden="1" outlineLevel="1">
      <c r="B98" s="7" t="s">
        <v>668</v>
      </c>
      <c r="C98" s="6" t="s">
        <v>670</v>
      </c>
      <c r="D98" s="6"/>
      <c r="E98" s="18">
        <f>E96+E97</f>
        <v>6.7150712044268188E-3</v>
      </c>
      <c r="F98" s="18">
        <f t="shared" ref="F98:AZ98" si="218">F96+F97</f>
        <v>4.9042913626043801E-2</v>
      </c>
      <c r="G98" s="18">
        <f t="shared" si="218"/>
        <v>4.0363036792401781E-2</v>
      </c>
      <c r="H98" s="19">
        <f t="shared" si="218"/>
        <v>-5.2677142359279158E-4</v>
      </c>
      <c r="I98" s="19">
        <f t="shared" si="218"/>
        <v>3.9458078736915571E-2</v>
      </c>
      <c r="J98" s="19">
        <f t="shared" si="218"/>
        <v>2.32437011418236E-2</v>
      </c>
      <c r="K98" s="19">
        <f t="shared" si="218"/>
        <v>3.2722045001675193E-2</v>
      </c>
      <c r="L98" s="18">
        <f t="shared" si="218"/>
        <v>2.713463181847349E-2</v>
      </c>
      <c r="M98" s="19">
        <f t="shared" si="218"/>
        <v>9.9086598153846194E-3</v>
      </c>
      <c r="N98" s="19">
        <f t="shared" si="218"/>
        <v>-1.7406396569230771E-2</v>
      </c>
      <c r="O98" s="19">
        <f t="shared" si="218"/>
        <v>1.34165906E-2</v>
      </c>
      <c r="P98" s="19">
        <f t="shared" si="218"/>
        <v>-6.9230769230769207E-3</v>
      </c>
      <c r="Q98" s="18">
        <f t="shared" si="218"/>
        <v>7.2667938333332996E-4</v>
      </c>
      <c r="R98" s="19">
        <f t="shared" si="218"/>
        <v>1.0198576707976352E-2</v>
      </c>
      <c r="S98" s="19">
        <f t="shared" si="218"/>
        <v>2.9804087847572738E-2</v>
      </c>
      <c r="T98" s="19">
        <f t="shared" si="218"/>
        <v>2.1704069706010822E-2</v>
      </c>
      <c r="U98" s="19">
        <f t="shared" si="218"/>
        <v>4.8831794715612373E-2</v>
      </c>
      <c r="V98" s="18">
        <f t="shared" si="218"/>
        <v>2.9494726152369595E-2</v>
      </c>
      <c r="W98" s="19">
        <f t="shared" si="218"/>
        <v>4.012580951381526E-2</v>
      </c>
      <c r="X98" s="19">
        <f t="shared" si="218"/>
        <v>-0.17964690369672712</v>
      </c>
      <c r="Y98" s="19">
        <f t="shared" si="218"/>
        <v>-2.9785489780683065E-2</v>
      </c>
      <c r="Z98" s="19">
        <f t="shared" si="218"/>
        <v>-0.03</v>
      </c>
      <c r="AA98" s="18">
        <f t="shared" si="218"/>
        <v>-5.0591650326414314E-2</v>
      </c>
      <c r="AB98" s="19">
        <f t="shared" si="218"/>
        <v>4.0037593984962407E-2</v>
      </c>
      <c r="AC98" s="19">
        <f t="shared" si="218"/>
        <v>0.27865318720663745</v>
      </c>
      <c r="AD98" s="19">
        <f t="shared" si="218"/>
        <v>0.12134872875115987</v>
      </c>
      <c r="AE98" s="19">
        <f t="shared" si="218"/>
        <v>0.13166666666666665</v>
      </c>
      <c r="AF98" s="18">
        <f t="shared" si="218"/>
        <v>0.14025027373640192</v>
      </c>
      <c r="AG98" s="19">
        <f t="shared" si="218"/>
        <v>0.14000000000000001</v>
      </c>
      <c r="AH98" s="19">
        <f t="shared" si="218"/>
        <v>0.13074878987756633</v>
      </c>
      <c r="AI98" s="19">
        <f t="shared" si="218"/>
        <v>0.14076017674106206</v>
      </c>
      <c r="AJ98" s="19">
        <f t="shared" si="218"/>
        <v>0.1277981670217993</v>
      </c>
      <c r="AK98" s="18">
        <f t="shared" si="218"/>
        <v>0.13208661296735014</v>
      </c>
      <c r="AL98" s="19">
        <f t="shared" si="218"/>
        <v>8.9947842646807982E-2</v>
      </c>
      <c r="AM98" s="19">
        <f t="shared" si="218"/>
        <v>8.8670254487469569E-2</v>
      </c>
      <c r="AN98" s="60">
        <f t="shared" si="218"/>
        <v>5.3765590550866924E-2</v>
      </c>
      <c r="AO98" s="60">
        <f t="shared" si="218"/>
        <v>4.7711589442900507E-2</v>
      </c>
      <c r="AP98" s="313">
        <f t="shared" si="218"/>
        <v>6.9631791187414652E-2</v>
      </c>
      <c r="AQ98" s="60">
        <f t="shared" si="218"/>
        <v>4.3046643340010252E-2</v>
      </c>
      <c r="AR98" s="60">
        <f t="shared" si="218"/>
        <v>3.8219870905429269E-2</v>
      </c>
      <c r="AS98" s="60">
        <f t="shared" si="218"/>
        <v>4.1869999999999997E-2</v>
      </c>
      <c r="AT98" s="60">
        <f t="shared" si="218"/>
        <v>4.3536666666666682E-2</v>
      </c>
      <c r="AU98" s="313">
        <f t="shared" si="218"/>
        <v>4.1603313810427145E-2</v>
      </c>
      <c r="AV98" s="60">
        <f t="shared" si="218"/>
        <v>4.3999999999999997E-2</v>
      </c>
      <c r="AW98" s="60">
        <f t="shared" si="218"/>
        <v>3.4000000000000002E-2</v>
      </c>
      <c r="AX98" s="60">
        <f t="shared" si="218"/>
        <v>3.6000000000000004E-2</v>
      </c>
      <c r="AY98" s="60">
        <f t="shared" si="218"/>
        <v>3.6000000000000004E-2</v>
      </c>
      <c r="AZ98" s="313">
        <f t="shared" si="218"/>
        <v>3.8643788424757852E-2</v>
      </c>
    </row>
    <row r="99" spans="2:54" hidden="1" outlineLevel="1">
      <c r="B99" s="7" t="s">
        <v>70</v>
      </c>
      <c r="C99" s="6" t="s">
        <v>648</v>
      </c>
      <c r="D99" s="6" t="s">
        <v>359</v>
      </c>
      <c r="E99" s="18" cm="1">
        <f t="array" ref="E99">_xll.VAData($D99, E$5, $C99, "Consensus", "CD", "IMPL","","")/100</f>
        <v>-0.14169951922403501</v>
      </c>
      <c r="F99" s="18" cm="1">
        <f t="array" ref="F99">_xll.VAData($D99, F$5, $C99, "Consensus", "CD", "IMPL","","")/100</f>
        <v>-9.9416591191514914E-2</v>
      </c>
      <c r="G99" s="18" cm="1">
        <f t="array" ref="G99">_xll.VAData($D99, G$5, $C99, "Consensus", "CD", "IMPL","","")/100</f>
        <v>-9.2933921750528899E-3</v>
      </c>
      <c r="H99" s="19" cm="1">
        <f t="array" ref="H99">_xll.VAData($D99, H$5, $C99, "Consensus", "CD", "IMPL","","")/100</f>
        <v>1.4167668367929711E-2</v>
      </c>
      <c r="I99" s="19" cm="1">
        <f t="array" ref="I99">_xll.VAData($D99, I$5, $C99, "Consensus", "CD", "IMPL","","")/100</f>
        <v>6.3758899218217438E-2</v>
      </c>
      <c r="J99" s="19" cm="1">
        <f t="array" ref="J99">_xll.VAData($D99, J$5, $C99, "Consensus", "CD", "IMPL","","")/100</f>
        <v>3.1240126831698599E-2</v>
      </c>
      <c r="K99" s="19" cm="1">
        <f t="array" ref="K99">_xll.VAData($D99, K$5, $C99, "Consensus", "CD", "IMPL","","")/100</f>
        <v>5.9784563250054074E-2</v>
      </c>
      <c r="L99" s="18" cm="1">
        <f t="array" ref="L99">_xll.VAData($D99, L$5, $C99, "Consensus", "CD", "IMPL","","")/100</f>
        <v>4.237144621787519E-2</v>
      </c>
      <c r="M99" s="19" cm="1">
        <f t="array" ref="M99">_xll.VAData($D99, M$5, $C99, "Consensus", "CD", "IMPL","","")/100</f>
        <v>0.10715070521501384</v>
      </c>
      <c r="N99" s="19" cm="1">
        <f t="array" ref="N99">_xll.VAData($D99, N$5, $C99, "Consensus", "CD", "IMPL","","")/100</f>
        <v>7.1133060511032464E-2</v>
      </c>
      <c r="O99" s="19" cm="1">
        <f t="array" ref="O99">_xll.VAData($D99, O$5, $C99, "Consensus", "CD", "IMPL","","")/100</f>
        <v>0.12674780086359116</v>
      </c>
      <c r="P99" s="19" cm="1">
        <f t="array" ref="P99">_xll.VAData($D99, P$5, $C99, "Consensus", "CD", "IMPL","","")/100</f>
        <v>7.3996184416784197E-2</v>
      </c>
      <c r="Q99" s="18" cm="1">
        <f t="array" ref="Q99">_xll.VAData($D99, Q$5, $C99, "Consensus", "CD", "IMPL","","")/100</f>
        <v>9.4378879267669705E-2</v>
      </c>
      <c r="R99" s="19" cm="1">
        <f t="array" ref="R99">_xll.VAData($D99, R$5, $C99, "Consensus", "CD", "IMPL","","")/100</f>
        <v>1.1630844644145931E-2</v>
      </c>
      <c r="S99" s="19" cm="1">
        <f t="array" ref="S99">_xll.VAData($D99, S$5, $C99, "Consensus", "CD", "IMPL","","")/100</f>
        <v>2.6834415577110339E-2</v>
      </c>
      <c r="T99" s="19" cm="1">
        <f t="array" ref="T99">_xll.VAData($D99, T$5, $C99, "Consensus", "CD", "IMPL","","")/100</f>
        <v>1.550509542766299E-2</v>
      </c>
      <c r="U99" s="19" cm="1">
        <f t="array" ref="U99">_xll.VAData($D99, U$5, $C99, "Consensus", "CD", "IMPL","","")/100</f>
        <v>4.4531528314701335E-2</v>
      </c>
      <c r="V99" s="18" cm="1">
        <f t="array" ref="V99">_xll.VAData($D99, V$5, $C99, "Consensus", "CD", "IMPL","","")/100</f>
        <v>2.4234737749462599E-2</v>
      </c>
      <c r="W99" s="19" cm="1">
        <f t="array" ref="W99">_xll.VAData($D99, W$5, $C99, "Consensus", "CD", "IMPL","","")/100</f>
        <v>6.2054069491405794E-2</v>
      </c>
      <c r="X99" s="19" cm="1">
        <f t="array" ref="X99">_xll.VAData($D99, X$5, $C99, "Consensus", "CD", "IMPL","","")/100</f>
        <v>-0.16137297069365378</v>
      </c>
      <c r="Y99" s="19" cm="1">
        <f t="array" ref="Y99">_xll.VAData($D99, Y$5, $C99, "Consensus", "CD", "IMPL","","")/100</f>
        <v>-1.701538742287171E-2</v>
      </c>
      <c r="Z99" s="19" cm="1">
        <f t="array" ref="Z99">_xll.VAData($D99, Z$5, $C99, "Consensus", "CD", "IMPL","","")/100</f>
        <v>-1.4369258741218749E-2</v>
      </c>
      <c r="AA99" s="18" cm="1">
        <f t="array" ref="AA99">_xll.VAData($D99, AA$5, $C99, "Consensus", "CD", "IMPL","","")/100</f>
        <v>-3.6919996203025288E-2</v>
      </c>
      <c r="AB99" s="19" cm="1">
        <f t="array" ref="AB99">_xll.VAData($D99, AB$5, $C99, "Consensus", "CD", "IMPL","","")/100</f>
        <v>3.0491228074385968E-2</v>
      </c>
      <c r="AC99" s="19" cm="1">
        <f t="array" ref="AC99">_xll.VAData($D99, AC$5, $C99, "Consensus", "CD", "IMPL","","")/100</f>
        <v>0.27538965876845717</v>
      </c>
      <c r="AD99" s="19" cm="1">
        <f t="array" ref="AD99">_xll.VAData($D99, AD$5, $C99, "Consensus", "CD", "IMPL","","")/100</f>
        <v>0.12748650036242087</v>
      </c>
      <c r="AE99" s="19" cm="1">
        <f t="array" ref="AE99">_xll.VAData($D99, AE$5, $C99, "Consensus", "CD", "IMPL","","")/100</f>
        <v>0.17272680073311172</v>
      </c>
      <c r="AF99" s="18" cm="1">
        <f t="array" ref="AF99">_xll.VAData($D99, AF$5, $C99, "Consensus", "CD", "IMPL","","")/100</f>
        <v>0.14922242087367049</v>
      </c>
      <c r="AG99" s="19" cm="1">
        <f t="array" ref="AG99">_xll.VAData($D99, AG$5, $C99, "Consensus", "CD", "IMPL","","")/100</f>
        <v>0.22215604620098986</v>
      </c>
      <c r="AH99" s="19" cm="1">
        <f t="array" ref="AH99">_xll.VAData($D99, AH$5, $C99, "Consensus", "CD", "IMPL","","")/100</f>
        <v>0.19150387914363076</v>
      </c>
      <c r="AI99" s="19" cm="1">
        <f t="array" ref="AI99">_xll.VAData($D99, AI$5, $C99, "Consensus", "CD", "IMPL","","")/100</f>
        <v>0.20714153050169132</v>
      </c>
      <c r="AJ99" s="19" cm="1">
        <f t="array" ref="AJ99">_xll.VAData($D99, AJ$5, $C99, "Consensus", "CD", "IMPL","","")/100</f>
        <v>0.13700287923099608</v>
      </c>
      <c r="AK99" s="18" cm="1">
        <f t="array" ref="AK99">_xll.VAData($D99, AK$5, $C99, "Consensus", "CD", "IMPL","","")/100</f>
        <v>0.18858167609494392</v>
      </c>
      <c r="AL99" s="19" cm="1">
        <f t="array" ref="AL99">_xll.VAData($D99, AL$5, $C99, "Consensus", "CD", "IMPL","","")/100</f>
        <v>8.7640882789136523E-2</v>
      </c>
      <c r="AM99" s="19" cm="1">
        <f t="array" ref="AM99">_xll.VAData($D99, AM$5, $C99, "Consensus", "CD", "IMPL","","")/100</f>
        <v>8.4025577385359845E-2</v>
      </c>
      <c r="AN99" s="60" cm="1">
        <f t="array" ref="AN99">_xll.VAData($D99, AN$5, $C99, "Consensus", "CD", "IMPL","","")/100</f>
        <v>5.0596235517159825E-2</v>
      </c>
      <c r="AO99" s="60" cm="1">
        <f t="array" ref="AO99">_xll.VAData($D99, AO$5, $C99, "Consensus", "CD", "IMPL","","")/100</f>
        <v>4.6355697110434163E-2</v>
      </c>
      <c r="AP99" s="313" cm="1">
        <f t="array" ref="AP99">_xll.VAData($D99, AP$5, $C99, "Consensus", "CD", "IMPL","","")/100</f>
        <v>6.6656861172459864E-2</v>
      </c>
      <c r="AQ99" s="60" cm="1">
        <f t="array" ref="AQ99">_xll.VAData($D99, AQ$5, $C99, "Consensus", "CD", "IMPL","","")/100</f>
        <v>4.3434653395756521E-2</v>
      </c>
      <c r="AR99" s="60" cm="1">
        <f t="array" ref="AR99">_xll.VAData($D99, AR$5, $C99, "Consensus", "CD", "IMPL","","")/100</f>
        <v>3.8876079370300076E-2</v>
      </c>
      <c r="AS99" s="60" cm="1">
        <f t="array" ref="AS99">_xll.VAData($D99, AS$5, $C99, "Consensus", "CD", "IMPL","","")/100</f>
        <v>4.2149592820800608E-2</v>
      </c>
      <c r="AT99" s="60" cm="1">
        <f t="array" ref="AT99">_xll.VAData($D99, AT$5, $C99, "Consensus", "CD", "IMPL","","")/100</f>
        <v>4.3699230769230775E-2</v>
      </c>
      <c r="AU99" s="313" cm="1">
        <f t="array" ref="AU99">_xll.VAData($D99, AU$5, $C99, "Consensus", "CD", "IMPL","","")/100</f>
        <v>4.1970770609519675E-2</v>
      </c>
      <c r="AV99" s="60" cm="1">
        <f t="array" ref="AV99">_xll.VAData($D99, AV$5, $C99, "Consensus", "CD", "IMPL","","")/100</f>
        <v>4.4029999999999993E-2</v>
      </c>
      <c r="AW99" s="60" cm="1">
        <f t="array" ref="AW99">_xll.VAData($D99, AW$5, $C99, "Consensus", "CD", "IMPL","","")/100</f>
        <v>3.4029999999999998E-2</v>
      </c>
      <c r="AX99" s="60" cm="1">
        <f t="array" ref="AX99">_xll.VAData($D99, AX$5, $C99, "Consensus", "CD", "IMPL","","")/100</f>
        <v>3.603E-2</v>
      </c>
      <c r="AY99" s="60" cm="1">
        <f t="array" ref="AY99">_xll.VAData($D99, AY$5, $C99, "Consensus", "CD", "IMPL","","")/100</f>
        <v>3.603E-2</v>
      </c>
      <c r="AZ99" s="313" cm="1">
        <f t="array" ref="AZ99">_xll.VAData($D99, AZ$5, $C99, "Consensus", "CD", "IMPL","","")/100</f>
        <v>4.1318958504747191E-2</v>
      </c>
    </row>
    <row r="100" spans="2:54" hidden="1" outlineLevel="1">
      <c r="B100" s="7" t="s">
        <v>893</v>
      </c>
      <c r="C100" s="6" t="s">
        <v>793</v>
      </c>
      <c r="D100" s="6" t="s">
        <v>359</v>
      </c>
      <c r="E100" s="623" cm="1">
        <f t="array" ref="E100">_xll.VAData($D100, E$5, $C100, "Consensus", "CD", "IMPL","","")</f>
        <v>13730.454545454546</v>
      </c>
      <c r="F100" s="623" cm="1">
        <f t="array" ref="F100">_xll.VAData($D100, F$5, $C100, "Consensus", "CD", "IMPL","","")</f>
        <v>11667.384615384615</v>
      </c>
      <c r="G100" s="623" cm="1">
        <f t="array" ref="G100">_xll.VAData($D100, G$5, $C100, "Consensus", "CD", "IMPL","","")</f>
        <v>10210.384615384615</v>
      </c>
      <c r="H100" s="624" cm="1">
        <f t="array" ref="H100">_xll.VAData($D100, H$5, $C100, "Consensus", "CD", "IMPL","","")</f>
        <v>2380.8666666666663</v>
      </c>
      <c r="I100" s="624" cm="1">
        <f t="array" ref="I100">_xll.VAData($D100, I$5, $C100, "Consensus", "CD", "IMPL","","")</f>
        <v>2875.6666666666665</v>
      </c>
      <c r="J100" s="624" cm="1">
        <f t="array" ref="J100">_xll.VAData($D100, J$5, $C100, "Consensus", "CD", "IMPL","","")</f>
        <v>2745.1538461538462</v>
      </c>
      <c r="K100" s="624" cm="1">
        <f t="array" ref="K100">_xll.VAData($D100, K$5, $C100, "Consensus", "CD", "IMPL","","")</f>
        <v>2637.125</v>
      </c>
      <c r="L100" s="623" cm="1">
        <f t="array" ref="L100">_xll.VAData($D100, L$5, $C100, "Consensus", "CD", "IMPL","","")</f>
        <v>10639.785714285716</v>
      </c>
      <c r="M100" s="624" cm="1">
        <f t="array" ref="M100">_xll.VAData($D100, M$5, $C100, "Consensus", "CD", "IMPL","","")</f>
        <v>2653.8666666666663</v>
      </c>
      <c r="N100" s="624" cm="1">
        <f t="array" ref="N100">_xll.VAData($D100, N$5, $C100, "Consensus", "CD", "IMPL","","")</f>
        <v>3082.4666666666667</v>
      </c>
      <c r="O100" s="624" cm="1">
        <f t="array" ref="O100">_xll.VAData($D100, O$5, $C100, "Consensus", "CD", "IMPL","","")</f>
        <v>3093.4</v>
      </c>
      <c r="P100" s="624" cm="1">
        <f t="array" ref="P100">_xll.VAData($D100, P$5, $C100, "Consensus", "CD", "IMPL","","")</f>
        <v>2809.4666666666667</v>
      </c>
      <c r="Q100" s="623" cm="1">
        <f t="array" ref="Q100">_xll.VAData($D100, Q$5, $C100, "Consensus", "CD", "IMPL","","")</f>
        <v>11639.857142857143</v>
      </c>
      <c r="R100" s="624" cm="1">
        <f t="array" ref="R100">_xll.VAData($D100, R$5, $C100, "Consensus", "CD", "IMPL","","")</f>
        <v>2683.125</v>
      </c>
      <c r="S100" s="624" cm="1">
        <f t="array" ref="S100">_xll.VAData($D100, S$5, $C100, "Consensus", "CD", "IMPL","","")</f>
        <v>3162</v>
      </c>
      <c r="T100" s="624" cm="1">
        <f t="array" ref="T100">_xll.VAData($D100, T$5, $C100, "Consensus", "CD", "IMPL","","")</f>
        <v>3138</v>
      </c>
      <c r="U100" s="624" cm="1">
        <f t="array" ref="U100">_xll.VAData($D100, U$5, $C100, "Consensus", "CD", "IMPL","","")</f>
        <v>2932</v>
      </c>
      <c r="V100" s="623" cm="1">
        <f t="array" ref="V100">_xll.VAData($D100, V$5, $C100, "Consensus", "CD", "IMPL","","")</f>
        <v>11915.125</v>
      </c>
      <c r="W100" s="624" cm="1">
        <f t="array" ref="W100">_xll.VAData($D100, W$5, $C100, "Consensus", "CD", "IMPL","","")</f>
        <v>2850</v>
      </c>
      <c r="X100" s="624" cm="1">
        <f t="array" ref="X100">_xll.VAData($D100, X$5, $C100, "Consensus", "CD", "IMPL","","")</f>
        <v>2651.5</v>
      </c>
      <c r="Y100" s="624" cm="1">
        <f t="array" ref="Y100">_xll.VAData($D100, Y$5, $C100, "Consensus", "CD", "IMPL","","")</f>
        <v>3086.2666666666664</v>
      </c>
      <c r="Z100" s="624" cm="1">
        <f t="array" ref="Z100">_xll.VAData($D100, Z$5, $C100, "Consensus", "CD", "IMPL","","")</f>
        <v>2890.1333333333337</v>
      </c>
      <c r="AA100" s="623" cm="1">
        <f t="array" ref="AA100">_xll.VAData($D100, AA$5, $C100, "Consensus", "CD", "IMPL","","")</f>
        <v>11477.866666666667</v>
      </c>
      <c r="AB100" s="624" cm="1">
        <f t="array" ref="AB100">_xll.VAData($D100, AB$5, $C100, "Consensus", "CD", "IMPL","","")</f>
        <v>2937</v>
      </c>
      <c r="AC100" s="624" cm="1">
        <f t="array" ref="AC100">_xll.VAData($D100, AC$5, $C100, "Consensus", "CD", "IMPL","","")</f>
        <v>3381</v>
      </c>
      <c r="AD100" s="624" cm="1">
        <f t="array" ref="AD100">_xll.VAData($D100, AD$5, $C100, "Consensus", "CD", "IMPL","","")</f>
        <v>3479</v>
      </c>
      <c r="AE100" s="624" cm="1">
        <f t="array" ref="AE100">_xll.VAData($D100, AE$5, $C100, "Consensus", "CD", "IMPL","","")</f>
        <v>3393</v>
      </c>
      <c r="AF100" s="623" cm="1">
        <f t="array" ref="AF100">_xll.VAData($D100, AF$5, $C100, "Consensus", "CD", "IMPL","","")</f>
        <v>13190</v>
      </c>
      <c r="AG100" s="624" cm="1">
        <f t="array" ref="AG100">_xll.VAData($D100, AG$5, $C100, "Consensus", "CD", "IMPL","","")</f>
        <v>3590</v>
      </c>
      <c r="AH100" s="624" cm="1">
        <f t="array" ref="AH100">_xll.VAData($D100, AH$5, $C100, "Consensus", "CD", "IMPL","","")</f>
        <v>4030</v>
      </c>
      <c r="AI100" s="624" cm="1">
        <f t="array" ref="AI100">_xll.VAData($D100, AI$5, $C100, "Consensus", "CD", "IMPL","","")</f>
        <v>4201</v>
      </c>
      <c r="AJ100" s="624" cm="1">
        <f t="array" ref="AJ100">_xll.VAData($D100, AJ$5, $C100, "Consensus", "CD", "IMPL","","")</f>
        <v>3854.8461538461538</v>
      </c>
      <c r="AK100" s="623" cm="1">
        <f t="array" ref="AK100">_xll.VAData($D100, AK$5, $C100, "Consensus", "CD", "IMPL","","")</f>
        <v>15675.846153846152</v>
      </c>
      <c r="AL100" s="624" cm="1">
        <f t="array" ref="AL100">_xll.VAData($D100, AL$5, $C100, "Consensus", "CD", "IMPL","","")</f>
        <v>3903.0769230769229</v>
      </c>
      <c r="AM100" s="624" cm="1">
        <f t="array" ref="AM100">_xll.VAData($D100, AM$5, $C100, "Consensus", "CD", "IMPL","","")</f>
        <v>4367.9230769230762</v>
      </c>
      <c r="AN100" s="625" cm="1">
        <f t="array" ref="AN100">_xll.VAData($D100, AN$5, $C100, "Consensus", "CD", "IMPL","","")</f>
        <v>4413.5547854075876</v>
      </c>
      <c r="AO100" s="625" cm="1">
        <f t="array" ref="AO100">_xll.VAData($D100, AO$5, $C100, "Consensus", "CD", "IMPL","","")</f>
        <v>4033.5404431431334</v>
      </c>
      <c r="AP100" s="626" cm="1">
        <f t="array" ref="AP100">_xll.VAData($D100, AP$5, $C100, "Consensus", "CD", "IMPL","","")</f>
        <v>16718.095228550716</v>
      </c>
      <c r="AQ100" s="625" cm="1">
        <f t="array" ref="AQ100">_xll.VAData($D100, AQ$5, $C100, "Consensus", "CD", "IMPL","","")</f>
        <v>4072.6058368190234</v>
      </c>
      <c r="AR100" s="625" cm="1">
        <f t="array" ref="AR100">_xll.VAData($D100, AR$5, $C100, "Consensus", "CD", "IMPL","","")</f>
        <v>4537.730330074085</v>
      </c>
      <c r="AS100" s="625" cm="1">
        <f t="array" ref="AS100">_xll.VAData($D100, AS$5, $C100, "Consensus", "CD", "IMPL","","")</f>
        <v>4599.5795496405572</v>
      </c>
      <c r="AT100" s="625" cm="1">
        <f t="array" ref="AT100">_xll.VAData($D100, AT$5, $C100, "Consensus", "CD", "IMPL","","")</f>
        <v>4209.9789075278795</v>
      </c>
      <c r="AU100" s="626" cm="1">
        <f t="array" ref="AU100">_xll.VAData($D100, AU$5, $C100, "Consensus", "CD", "IMPL","","")</f>
        <v>17419.894624061548</v>
      </c>
      <c r="AV100" s="625" cm="1">
        <f t="array" ref="AV100">_xll.VAData($D100, AV$5, $C100, "Consensus", "CD", "IMPL","","")</f>
        <v>4238.9904857452902</v>
      </c>
      <c r="AW100" s="625" cm="1">
        <f t="array" ref="AW100">_xll.VAData($D100, AW$5, $C100, "Consensus", "CD", "IMPL","","")</f>
        <v>4675.0798794051479</v>
      </c>
      <c r="AX100" s="625" cm="1">
        <f t="array" ref="AX100">_xll.VAData($D100, AX$5, $C100, "Consensus", "CD", "IMPL","","")</f>
        <v>4726.4750729008656</v>
      </c>
      <c r="AY100" s="625" cm="1">
        <f t="array" ref="AY100">_xll.VAData($D100, AY$5, $C100, "Consensus", "CD", "IMPL","","")</f>
        <v>4305.360245716226</v>
      </c>
      <c r="AZ100" s="626" cm="1">
        <f t="array" ref="AZ100">_xll.VAData($D100, AZ$5, $C100, "Consensus", "CD", "IMPL","","")</f>
        <v>18124.04737872081</v>
      </c>
    </row>
    <row r="101" spans="2:54" hidden="1" outlineLevel="1">
      <c r="B101" s="4" t="s">
        <v>645</v>
      </c>
      <c r="C101" s="6"/>
      <c r="D101" s="6"/>
      <c r="E101" s="18"/>
      <c r="F101" s="18"/>
      <c r="G101" s="18"/>
      <c r="H101" s="19"/>
      <c r="I101" s="19"/>
      <c r="J101" s="19"/>
      <c r="K101" s="19"/>
      <c r="L101" s="18"/>
      <c r="M101" s="19"/>
      <c r="N101" s="19"/>
      <c r="O101" s="19"/>
      <c r="P101" s="19"/>
      <c r="Q101" s="18"/>
      <c r="R101" s="19"/>
      <c r="S101" s="19"/>
      <c r="T101" s="19"/>
      <c r="U101" s="19"/>
      <c r="V101" s="18"/>
      <c r="W101" s="19"/>
      <c r="X101" s="19"/>
      <c r="Y101" s="19"/>
      <c r="Z101" s="19"/>
      <c r="AA101" s="18"/>
      <c r="AB101" s="19"/>
      <c r="AC101" s="19"/>
      <c r="AD101" s="19"/>
      <c r="AE101" s="19"/>
      <c r="AF101" s="18"/>
      <c r="AG101" s="19"/>
      <c r="AH101" s="19"/>
      <c r="AI101" s="19"/>
      <c r="AJ101" s="19"/>
      <c r="AK101" s="18"/>
      <c r="AL101" s="19"/>
      <c r="AM101" s="19"/>
      <c r="AN101" s="60"/>
      <c r="AO101" s="60"/>
      <c r="AP101" s="313"/>
      <c r="AQ101" s="60"/>
      <c r="AR101" s="60"/>
      <c r="AS101" s="60"/>
      <c r="AT101" s="60"/>
      <c r="AU101" s="313"/>
      <c r="AV101" s="60"/>
      <c r="AW101" s="60"/>
      <c r="AX101" s="60"/>
      <c r="AY101" s="60"/>
      <c r="AZ101" s="313"/>
    </row>
    <row r="102" spans="2:54" hidden="1" outlineLevel="1">
      <c r="B102" s="7" t="s">
        <v>643</v>
      </c>
      <c r="C102" s="6" t="s">
        <v>650</v>
      </c>
      <c r="D102" s="6" t="s">
        <v>348</v>
      </c>
      <c r="E102" s="18" cm="1">
        <f t="array" ref="E102">_xll.VAData($D102, E$5, $C102, "Consensus", "CD", "IMPL","","")/100</f>
        <v>-3.14236152727273E-3</v>
      </c>
      <c r="F102" s="18" cm="1">
        <f t="array" ref="F102">_xll.VAData($D102, F$5, $C102, "Consensus", "CD", "IMPL","","")/100</f>
        <v>6.6524589666666703E-3</v>
      </c>
      <c r="G102" s="18" cm="1">
        <f t="array" ref="G102">_xll.VAData($D102, G$5, $C102, "Consensus", "CD", "IMPL","","")/100</f>
        <v>9.6705935769230804E-3</v>
      </c>
      <c r="H102" s="19" cm="1">
        <f t="array" ref="H102">_xll.VAData($D102, H$5, $C102, "Consensus", "CD", "IMPL","","")/100</f>
        <v>-1.6666666666666698E-3</v>
      </c>
      <c r="I102" s="19" cm="1">
        <f t="array" ref="I102">_xll.VAData($D102, I$5, $C102, "Consensus", "CD", "IMPL","","")/100</f>
        <v>0</v>
      </c>
      <c r="J102" s="19" cm="1">
        <f t="array" ref="J102">_xll.VAData($D102, J$5, $C102, "Consensus", "CD", "IMPL","","")/100</f>
        <v>-0.06</v>
      </c>
      <c r="K102" s="19" cm="1">
        <f t="array" ref="K102">_xll.VAData($D102, K$5, $C102, "Consensus", "CD", "IMPL","","")/100</f>
        <v>-2.8333333333333332E-2</v>
      </c>
      <c r="L102" s="18" cm="1">
        <f t="array" ref="L102">_xll.VAData($D102, L$5, $C102, "Consensus", "CD", "IMPL","","")/100</f>
        <v>-2.3543702307142863E-2</v>
      </c>
      <c r="M102" s="19" cm="1">
        <f t="array" ref="M102">_xll.VAData($D102, M$5, $C102, "Consensus", "CD", "IMPL","","")/100</f>
        <v>-2.9461538461538459E-2</v>
      </c>
      <c r="N102" s="19" cm="1">
        <f t="array" ref="N102">_xll.VAData($D102, N$5, $C102, "Consensus", "CD", "IMPL","","")/100</f>
        <v>-0.02</v>
      </c>
      <c r="O102" s="19" cm="1">
        <f t="array" ref="O102">_xll.VAData($D102, O$5, $C102, "Consensus", "CD", "IMPL","","")/100</f>
        <v>0.01</v>
      </c>
      <c r="P102" s="19" cm="1">
        <f t="array" ref="P102">_xll.VAData($D102, P$5, $C102, "Consensus", "CD", "IMPL","","")/100</f>
        <v>-9.9469106499999998E-3</v>
      </c>
      <c r="Q102" s="18" cm="1">
        <f t="array" ref="Q102">_xll.VAData($D102, Q$5, $C102, "Consensus", "CD", "IMPL","","")/100</f>
        <v>-1.039829532142857E-2</v>
      </c>
      <c r="R102" s="19" cm="1">
        <f t="array" ref="R102">_xll.VAData($D102, R$5, $C102, "Consensus", "CD", "IMPL","","")/100</f>
        <v>-1.9769230769230772E-2</v>
      </c>
      <c r="S102" s="19" cm="1">
        <f t="array" ref="S102">_xll.VAData($D102, S$5, $C102, "Consensus", "CD", "IMPL","","")/100</f>
        <v>-0.02</v>
      </c>
      <c r="T102" s="19" cm="1">
        <f t="array" ref="T102">_xll.VAData($D102, T$5, $C102, "Consensus", "CD", "IMPL","","")/100</f>
        <v>-9.7692307692307696E-3</v>
      </c>
      <c r="U102" s="19" cm="1">
        <f t="array" ref="U102">_xll.VAData($D102, U$5, $C102, "Consensus", "CD", "IMPL","","")/100</f>
        <v>-2.0368675E-4</v>
      </c>
      <c r="V102" s="18" cm="1">
        <f t="array" ref="V102">_xll.VAData($D102, V$5, $C102, "Consensus", "CD", "IMPL","","")/100</f>
        <v>-1.067244900033084E-2</v>
      </c>
      <c r="W102" s="19" cm="1">
        <f t="array" ref="W102">_xll.VAData($D102, W$5, $C102, "Consensus", "CD", "IMPL","","")/100</f>
        <v>7.0000000000000007E-2</v>
      </c>
      <c r="X102" s="19" cm="1">
        <f t="array" ref="X102">_xll.VAData($D102, X$5, $C102, "Consensus", "CD", "IMPL","","")/100</f>
        <v>-0.10746153846153846</v>
      </c>
      <c r="Y102" s="19" cm="1">
        <f t="array" ref="Y102">_xll.VAData($D102, Y$5, $C102, "Consensus", "CD", "IMPL","","")/100</f>
        <v>-1.4999999999999999E-2</v>
      </c>
      <c r="Z102" s="19" cm="1">
        <f t="array" ref="Z102">_xll.VAData($D102, Z$5, $C102, "Consensus", "CD", "IMPL","","")/100</f>
        <v>9.8820321555555604E-3</v>
      </c>
      <c r="AA102" s="18" cm="1">
        <f t="array" ref="AA102">_xll.VAData($D102, AA$5, $C102, "Consensus", "CD", "IMPL","","")/100</f>
        <v>-1.116832426363636E-2</v>
      </c>
      <c r="AB102" s="19" cm="1">
        <f t="array" ref="AB102">_xll.VAData($D102, AB$5, $C102, "Consensus", "CD", "IMPL","","")/100</f>
        <v>-4.477272727272727E-2</v>
      </c>
      <c r="AC102" s="19" cm="1">
        <f t="array" ref="AC102">_xll.VAData($D102, AC$5, $C102, "Consensus", "CD", "IMPL","","")/100</f>
        <v>0.16</v>
      </c>
      <c r="AD102" s="19" cm="1">
        <f t="array" ref="AD102">_xll.VAData($D102, AD$5, $C102, "Consensus", "CD", "IMPL","","")/100</f>
        <v>0.03</v>
      </c>
      <c r="AE102" s="19" cm="1">
        <f t="array" ref="AE102">_xll.VAData($D102, AE$5, $C102, "Consensus", "CD", "IMPL","","")/100</f>
        <v>6.135512046666667E-2</v>
      </c>
      <c r="AF102" s="18" cm="1">
        <f t="array" ref="AF102">_xll.VAData($D102, AF$5, $C102, "Consensus", "CD", "IMPL","","")/100</f>
        <v>5.0452434914042076E-2</v>
      </c>
      <c r="AG102" s="19" cm="1">
        <f t="array" ref="AG102">_xll.VAData($D102, AG$5, $C102, "Consensus", "CD", "IMPL","","")/100</f>
        <v>0.04</v>
      </c>
      <c r="AH102" s="19" cm="1">
        <f t="array" ref="AH102">_xll.VAData($D102, AH$5, $C102, "Consensus", "CD", "IMPL","","")/100</f>
        <v>-1E-3</v>
      </c>
      <c r="AI102" s="19" cm="1">
        <f t="array" ref="AI102">_xll.VAData($D102, AI$5, $C102, "Consensus", "CD", "IMPL","","")/100</f>
        <v>9.7272727272727302E-3</v>
      </c>
      <c r="AJ102" s="19" cm="1">
        <f t="array" ref="AJ102">_xll.VAData($D102, AJ$5, $C102, "Consensus", "CD", "IMPL","","")/100</f>
        <v>-1.1751605536363641E-2</v>
      </c>
      <c r="AK102" s="18" cm="1">
        <f t="array" ref="AK102">_xll.VAData($D102, AK$5, $C102, "Consensus", "CD", "IMPL","","")/100</f>
        <v>7.0139550227941707E-3</v>
      </c>
      <c r="AL102" s="19" cm="1">
        <f t="array" ref="AL102">_xll.VAData($D102, AL$5, $C102, "Consensus", "CD", "IMPL","","")/100</f>
        <v>-2.8181818181818179E-2</v>
      </c>
      <c r="AM102" s="19" cm="1">
        <f t="array" ref="AM102">_xll.VAData($D102, AM$5, $C102, "Consensus", "CD", "IMPL","","")/100</f>
        <v>-4.1636363636363638E-2</v>
      </c>
      <c r="AN102" s="60" cm="1">
        <f t="array" ref="AN102">_xll.VAData($D102, AN$5, $C102, "Consensus", "CD", "IMPL","","")/100</f>
        <v>-2.863636363636364E-2</v>
      </c>
      <c r="AO102" s="60" cm="1">
        <f t="array" ref="AO102">_xll.VAData($D102, AO$5, $C102, "Consensus", "CD", "IMPL","","")/100</f>
        <v>-1.9090909090909089E-2</v>
      </c>
      <c r="AP102" s="313" cm="1">
        <f t="array" ref="AP102">_xll.VAData($D102, AP$5, $C102, "Consensus", "CD", "IMPL","","")/100</f>
        <v>-2.9048974848646259E-2</v>
      </c>
      <c r="AQ102" s="60" cm="1">
        <f t="array" ref="AQ102">_xll.VAData($D102, AQ$5, $C102, "Consensus", "CD", "IMPL","","")/100</f>
        <v>8.6E-3</v>
      </c>
      <c r="AR102" s="60" cm="1">
        <f t="array" ref="AR102">_xll.VAData($D102, AR$5, $C102, "Consensus", "CD", "IMPL","","")/100</f>
        <v>1.46E-2</v>
      </c>
      <c r="AS102" s="60" cm="1">
        <f t="array" ref="AS102">_xll.VAData($D102, AS$5, $C102, "Consensus", "CD", "IMPL","","")/100</f>
        <v>1.3100000000000001E-2</v>
      </c>
      <c r="AT102" s="60" cm="1">
        <f t="array" ref="AT102">_xll.VAData($D102, AT$5, $C102, "Consensus", "CD", "IMPL","","")/100</f>
        <v>7.6E-3</v>
      </c>
      <c r="AU102" s="313" cm="1">
        <f t="array" ref="AU102">_xll.VAData($D102, AU$5, $C102, "Consensus", "CD", "IMPL","","")/100</f>
        <v>1.0999089308568698E-2</v>
      </c>
      <c r="AV102" s="60" cm="1">
        <f t="array" ref="AV102">_xll.VAData($D102, AV$5, $C102, "Consensus", "CD", "IMPL","","")/100</f>
        <v>1.7000000000000001E-2</v>
      </c>
      <c r="AW102" s="60" cm="1">
        <f t="array" ref="AW102">_xll.VAData($D102, AW$5, $C102, "Consensus", "CD", "IMPL","","")/100</f>
        <v>1.7000000000000001E-2</v>
      </c>
      <c r="AX102" s="60" cm="1">
        <f t="array" ref="AX102">_xll.VAData($D102, AX$5, $C102, "Consensus", "CD", "IMPL","","")/100</f>
        <v>1.7000000000000001E-2</v>
      </c>
      <c r="AY102" s="60" cm="1">
        <f t="array" ref="AY102">_xll.VAData($D102, AY$5, $C102, "Consensus", "CD", "IMPL","","")/100</f>
        <v>1.7000000000000001E-2</v>
      </c>
      <c r="AZ102" s="313" cm="1">
        <f t="array" ref="AZ102">_xll.VAData($D102, AZ$5, $C102, "Consensus", "CD", "IMPL","","")/100</f>
        <v>1.6E-2</v>
      </c>
    </row>
    <row r="103" spans="2:54" hidden="1" outlineLevel="1">
      <c r="B103" s="7" t="s">
        <v>646</v>
      </c>
      <c r="C103" s="6" t="s">
        <v>651</v>
      </c>
      <c r="D103" s="6" t="s">
        <v>348</v>
      </c>
      <c r="E103" s="18" cm="1">
        <f t="array" ref="E103">_xll.VAData($D103, E$5, $C103, "Consensus", "CD", "IMPL","","")/100</f>
        <v>1.278999473E-2</v>
      </c>
      <c r="F103" s="18" cm="1">
        <f t="array" ref="F103">_xll.VAData($D103, F$5, $C103, "Consensus", "CD", "IMPL","","")/100</f>
        <v>2.7265719272727269E-2</v>
      </c>
      <c r="G103" s="18" cm="1">
        <f t="array" ref="G103">_xll.VAData($D103, G$5, $C103, "Consensus", "CD", "IMPL","","")/100</f>
        <v>1.0130894083333331E-2</v>
      </c>
      <c r="H103" s="19" cm="1">
        <f t="array" ref="H103">_xll.VAData($D103, H$5, $C103, "Consensus", "CD", "IMPL","","")/100</f>
        <v>1.615465593636364E-2</v>
      </c>
      <c r="I103" s="19" cm="1">
        <f t="array" ref="I103">_xll.VAData($D103, I$5, $C103, "Consensus", "CD", "IMPL","","")/100</f>
        <v>9.8957505090909101E-3</v>
      </c>
      <c r="J103" s="19" cm="1">
        <f t="array" ref="J103">_xll.VAData($D103, J$5, $C103, "Consensus", "CD", "IMPL","","")/100</f>
        <v>1.0572012254545451E-2</v>
      </c>
      <c r="K103" s="19" cm="1">
        <f t="array" ref="K103">_xll.VAData($D103, K$5, $C103, "Consensus", "CD", "IMPL","","")/100</f>
        <v>-2.1386768400000001E-3</v>
      </c>
      <c r="L103" s="18" cm="1">
        <f t="array" ref="L103">_xll.VAData($D103, L$5, $C103, "Consensus", "CD", "IMPL","","")/100</f>
        <v>8.0138491923076906E-3</v>
      </c>
      <c r="M103" s="19" cm="1">
        <f t="array" ref="M103">_xll.VAData($D103, M$5, $C103, "Consensus", "CD", "IMPL","","")/100</f>
        <v>1.0992526158333328E-2</v>
      </c>
      <c r="N103" s="19" cm="1">
        <f t="array" ref="N103">_xll.VAData($D103, N$5, $C103, "Consensus", "CD", "IMPL","","")/100</f>
        <v>9.80436855833333E-3</v>
      </c>
      <c r="O103" s="19" cm="1">
        <f t="array" ref="O103">_xll.VAData($D103, O$5, $C103, "Consensus", "CD", "IMPL","","")/100</f>
        <v>1.7771317833333331E-2</v>
      </c>
      <c r="P103" s="19" cm="1">
        <f t="array" ref="P103">_xll.VAData($D103, P$5, $C103, "Consensus", "CD", "IMPL","","")/100</f>
        <v>2.929317518181818E-2</v>
      </c>
      <c r="Q103" s="18" cm="1">
        <f t="array" ref="Q103">_xll.VAData($D103, Q$5, $C103, "Consensus", "CD", "IMPL","","")/100</f>
        <v>1.7898118075E-2</v>
      </c>
      <c r="R103" s="19" cm="1">
        <f t="array" ref="R103">_xll.VAData($D103, R$5, $C103, "Consensus", "CD", "IMPL","","")/100</f>
        <v>4.154312948333333E-2</v>
      </c>
      <c r="S103" s="19" cm="1">
        <f t="array" ref="S103">_xll.VAData($D103, S$5, $C103, "Consensus", "CD", "IMPL","","")/100</f>
        <v>3.9986761025000005E-2</v>
      </c>
      <c r="T103" s="19" cm="1">
        <f t="array" ref="T103">_xll.VAData($D103, T$5, $C103, "Consensus", "CD", "IMPL","","")/100</f>
        <v>3.3022849462365583E-2</v>
      </c>
      <c r="U103" s="19" cm="1">
        <f t="array" ref="U103">_xll.VAData($D103, U$5, $C103, "Consensus", "CD", "IMPL","","")/100</f>
        <v>3.4540082351410241E-2</v>
      </c>
      <c r="V103" s="18" cm="1">
        <f t="array" ref="V103">_xll.VAData($D103, V$5, $C103, "Consensus", "CD", "IMPL","","")/100</f>
        <v>3.8544882744652779E-2</v>
      </c>
      <c r="W103" s="19" cm="1">
        <f t="array" ref="W103">_xll.VAData($D103, W$5, $C103, "Consensus", "CD", "IMPL","","")/100</f>
        <v>-5.5555555555555601E-3</v>
      </c>
      <c r="X103" s="19" cm="1">
        <f t="array" ref="X103">_xll.VAData($D103, X$5, $C103, "Consensus", "CD", "IMPL","","")/100</f>
        <v>3.1090909090909089E-2</v>
      </c>
      <c r="Y103" s="19" cm="1">
        <f t="array" ref="Y103">_xll.VAData($D103, Y$5, $C103, "Consensus", "CD", "IMPL","","")/100</f>
        <v>4.9444444444444437E-2</v>
      </c>
      <c r="Z103" s="19" cm="1">
        <f t="array" ref="Z103">_xll.VAData($D103, Z$5, $C103, "Consensus", "CD", "IMPL","","")/100</f>
        <v>5.0349866572727268E-2</v>
      </c>
      <c r="AA103" s="18" cm="1">
        <f t="array" ref="AA103">_xll.VAData($D103, AA$5, $C103, "Consensus", "CD", "IMPL","","")/100</f>
        <v>3.151179687890545E-2</v>
      </c>
      <c r="AB103" s="19" cm="1">
        <f t="array" ref="AB103">_xll.VAData($D103, AB$5, $C103, "Consensus", "CD", "IMPL","","")/100</f>
        <v>6.0777777777777785E-2</v>
      </c>
      <c r="AC103" s="19" cm="1">
        <f t="array" ref="AC103">_xll.VAData($D103, AC$5, $C103, "Consensus", "CD", "IMPL","","")/100</f>
        <v>4.5555555555555564E-2</v>
      </c>
      <c r="AD103" s="19" cm="1">
        <f t="array" ref="AD103">_xll.VAData($D103, AD$5, $C103, "Consensus", "CD", "IMPL","","")/100</f>
        <v>3.996013763333333E-2</v>
      </c>
      <c r="AE103" s="19" cm="1">
        <f t="array" ref="AE103">_xll.VAData($D103, AE$5, $C103, "Consensus", "CD", "IMPL","","")/100</f>
        <v>5.8341571799999999E-2</v>
      </c>
      <c r="AF103" s="18" cm="1">
        <f t="array" ref="AF103">_xll.VAData($D103, AF$5, $C103, "Consensus", "CD", "IMPL","","")/100</f>
        <v>5.0974163119379551E-2</v>
      </c>
      <c r="AG103" s="19" cm="1">
        <f t="array" ref="AG103">_xll.VAData($D103, AG$5, $C103, "Consensus", "CD", "IMPL","","")/100</f>
        <v>8.1498620420000001E-2</v>
      </c>
      <c r="AH103" s="19" cm="1">
        <f t="array" ref="AH103">_xll.VAData($D103, AH$5, $C103, "Consensus", "CD", "IMPL","","")/100</f>
        <v>9.11E-2</v>
      </c>
      <c r="AI103" s="19" cm="1">
        <f t="array" ref="AI103">_xll.VAData($D103, AI$5, $C103, "Consensus", "CD", "IMPL","","")/100</f>
        <v>0.11967226150918744</v>
      </c>
      <c r="AJ103" s="19" cm="1">
        <f t="array" ref="AJ103">_xll.VAData($D103, AJ$5, $C103, "Consensus", "CD", "IMPL","","")/100</f>
        <v>0.11920894487802426</v>
      </c>
      <c r="AK103" s="18" cm="1">
        <f t="array" ref="AK103">_xll.VAData($D103, AK$5, $C103, "Consensus", "CD", "IMPL","","")/100</f>
        <v>0.10379323540836427</v>
      </c>
      <c r="AL103" s="19" cm="1">
        <f t="array" ref="AL103">_xll.VAData($D103, AL$5, $C103, "Consensus", "CD", "IMPL","","")/100</f>
        <v>0.14755735950953583</v>
      </c>
      <c r="AM103" s="19" cm="1">
        <f t="array" ref="AM103">_xll.VAData($D103, AM$5, $C103, "Consensus", "CD", "IMPL","","")/100</f>
        <v>0.14125074272133101</v>
      </c>
      <c r="AN103" s="60" cm="1">
        <f t="array" ref="AN103">_xll.VAData($D103, AN$5, $C103, "Consensus", "CD", "IMPL","","")/100</f>
        <v>9.1363636363636369E-2</v>
      </c>
      <c r="AO103" s="60" cm="1">
        <f t="array" ref="AO103">_xll.VAData($D103, AO$5, $C103, "Consensus", "CD", "IMPL","","")/100</f>
        <v>6.7727272727272733E-2</v>
      </c>
      <c r="AP103" s="313" cm="1">
        <f t="array" ref="AP103">_xll.VAData($D103, AP$5, $C103, "Consensus", "CD", "IMPL","","")/100</f>
        <v>0.10265736177778673</v>
      </c>
      <c r="AQ103" s="60" cm="1">
        <f t="array" ref="AQ103">_xll.VAData($D103, AQ$5, $C103, "Consensus", "CD", "IMPL","","")/100</f>
        <v>3.1300000000000001E-2</v>
      </c>
      <c r="AR103" s="60" cm="1">
        <f t="array" ref="AR103">_xll.VAData($D103, AR$5, $C103, "Consensus", "CD", "IMPL","","")/100</f>
        <v>3.1300000000000001E-2</v>
      </c>
      <c r="AS103" s="60" cm="1">
        <f t="array" ref="AS103">_xll.VAData($D103, AS$5, $C103, "Consensus", "CD", "IMPL","","")/100</f>
        <v>2.8300000000000002E-2</v>
      </c>
      <c r="AT103" s="60" cm="1">
        <f t="array" ref="AT103">_xll.VAData($D103, AT$5, $C103, "Consensus", "CD", "IMPL","","")/100</f>
        <v>2.6800000000000001E-2</v>
      </c>
      <c r="AU103" s="313" cm="1">
        <f t="array" ref="AU103">_xll.VAData($D103, AU$5, $C103, "Consensus", "CD", "IMPL","","")/100</f>
        <v>2.9109952853566479E-2</v>
      </c>
      <c r="AV103" s="60" cm="1">
        <f t="array" ref="AV103">_xll.VAData($D103, AV$5, $C103, "Consensus", "CD", "IMPL","","")/100</f>
        <v>0.02</v>
      </c>
      <c r="AW103" s="60" cm="1">
        <f t="array" ref="AW103">_xll.VAData($D103, AW$5, $C103, "Consensus", "CD", "IMPL","","")/100</f>
        <v>0.02</v>
      </c>
      <c r="AX103" s="60" cm="1">
        <f t="array" ref="AX103">_xll.VAData($D103, AX$5, $C103, "Consensus", "CD", "IMPL","","")/100</f>
        <v>0.02</v>
      </c>
      <c r="AY103" s="60" cm="1">
        <f t="array" ref="AY103">_xll.VAData($D103, AY$5, $C103, "Consensus", "CD", "IMPL","","")/100</f>
        <v>0.02</v>
      </c>
      <c r="AZ103" s="313" cm="1">
        <f t="array" ref="AZ103">_xll.VAData($D103, AZ$5, $C103, "Consensus", "CD", "IMPL","","")/100</f>
        <v>1.9714285714285712E-2</v>
      </c>
    </row>
    <row r="104" spans="2:54" hidden="1" outlineLevel="1">
      <c r="B104" s="7" t="s">
        <v>668</v>
      </c>
      <c r="C104" s="6" t="s">
        <v>671</v>
      </c>
      <c r="D104" s="6"/>
      <c r="E104" s="18">
        <f>E102+E103</f>
        <v>9.6476332027272699E-3</v>
      </c>
      <c r="F104" s="18">
        <f t="shared" ref="F104" si="219">F102+F103</f>
        <v>3.3918178239393942E-2</v>
      </c>
      <c r="G104" s="18">
        <f t="shared" ref="G104" si="220">G102+G103</f>
        <v>1.9801487660256412E-2</v>
      </c>
      <c r="H104" s="19">
        <f t="shared" ref="H104" si="221">H102+H103</f>
        <v>1.4487989269696969E-2</v>
      </c>
      <c r="I104" s="19">
        <f t="shared" ref="I104" si="222">I102+I103</f>
        <v>9.8957505090909101E-3</v>
      </c>
      <c r="J104" s="19">
        <f t="shared" ref="J104" si="223">J102+J103</f>
        <v>-4.9427987745454545E-2</v>
      </c>
      <c r="K104" s="19">
        <f t="shared" ref="K104" si="224">K102+K103</f>
        <v>-3.0472010173333331E-2</v>
      </c>
      <c r="L104" s="18">
        <f t="shared" ref="L104" si="225">L102+L103</f>
        <v>-1.5529853114835172E-2</v>
      </c>
      <c r="M104" s="19">
        <f t="shared" ref="M104" si="226">M102+M103</f>
        <v>-1.8469012303205131E-2</v>
      </c>
      <c r="N104" s="19">
        <f t="shared" ref="N104" si="227">N102+N103</f>
        <v>-1.019563144166667E-2</v>
      </c>
      <c r="O104" s="19">
        <f t="shared" ref="O104" si="228">O102+O103</f>
        <v>2.777131783333333E-2</v>
      </c>
      <c r="P104" s="19">
        <f t="shared" ref="P104" si="229">P102+P103</f>
        <v>1.9346264531818182E-2</v>
      </c>
      <c r="Q104" s="18">
        <f t="shared" ref="Q104" si="230">Q102+Q103</f>
        <v>7.4998227535714307E-3</v>
      </c>
      <c r="R104" s="19">
        <f t="shared" ref="R104" si="231">R102+R103</f>
        <v>2.1773898714102558E-2</v>
      </c>
      <c r="S104" s="19">
        <f t="shared" ref="S104" si="232">S102+S103</f>
        <v>1.9986761025000004E-2</v>
      </c>
      <c r="T104" s="19">
        <f t="shared" ref="T104" si="233">T102+T103</f>
        <v>2.3253618693134814E-2</v>
      </c>
      <c r="U104" s="19">
        <f t="shared" ref="U104" si="234">U102+U103</f>
        <v>3.433639560141024E-2</v>
      </c>
      <c r="V104" s="18">
        <f t="shared" ref="V104" si="235">V102+V103</f>
        <v>2.7872433744321939E-2</v>
      </c>
      <c r="W104" s="19">
        <f t="shared" ref="W104" si="236">W102+W103</f>
        <v>6.4444444444444443E-2</v>
      </c>
      <c r="X104" s="19">
        <f t="shared" ref="X104" si="237">X102+X103</f>
        <v>-7.637062937062937E-2</v>
      </c>
      <c r="Y104" s="19">
        <f t="shared" ref="Y104" si="238">Y102+Y103</f>
        <v>3.4444444444444437E-2</v>
      </c>
      <c r="Z104" s="19">
        <f t="shared" ref="Z104" si="239">Z102+Z103</f>
        <v>6.0231898728282829E-2</v>
      </c>
      <c r="AA104" s="18">
        <f t="shared" ref="AA104" si="240">AA102+AA103</f>
        <v>2.034347261526909E-2</v>
      </c>
      <c r="AB104" s="19">
        <f t="shared" ref="AB104" si="241">AB102+AB103</f>
        <v>1.6005050505050515E-2</v>
      </c>
      <c r="AC104" s="19">
        <f t="shared" ref="AC104" si="242">AC102+AC103</f>
        <v>0.20555555555555557</v>
      </c>
      <c r="AD104" s="19">
        <f t="shared" ref="AD104" si="243">AD102+AD103</f>
        <v>6.9960137633333336E-2</v>
      </c>
      <c r="AE104" s="19">
        <f t="shared" ref="AE104" si="244">AE102+AE103</f>
        <v>0.11969669226666667</v>
      </c>
      <c r="AF104" s="18">
        <f t="shared" ref="AF104" si="245">AF102+AF103</f>
        <v>0.10142659803342163</v>
      </c>
      <c r="AG104" s="19">
        <f t="shared" ref="AG104" si="246">AG102+AG103</f>
        <v>0.12149862042000001</v>
      </c>
      <c r="AH104" s="19">
        <f t="shared" ref="AH104" si="247">AH102+AH103</f>
        <v>9.01E-2</v>
      </c>
      <c r="AI104" s="19">
        <f t="shared" ref="AI104" si="248">AI102+AI103</f>
        <v>0.12939953423646017</v>
      </c>
      <c r="AJ104" s="19">
        <f t="shared" ref="AJ104" si="249">AJ102+AJ103</f>
        <v>0.10745733934166062</v>
      </c>
      <c r="AK104" s="18">
        <f t="shared" ref="AK104" si="250">AK102+AK103</f>
        <v>0.11080719043115844</v>
      </c>
      <c r="AL104" s="19">
        <f t="shared" ref="AL104" si="251">AL102+AL103</f>
        <v>0.11937554132771765</v>
      </c>
      <c r="AM104" s="19">
        <f t="shared" ref="AM104" si="252">AM102+AM103</f>
        <v>9.9614379084967369E-2</v>
      </c>
      <c r="AN104" s="60">
        <f t="shared" ref="AN104" si="253">AN102+AN103</f>
        <v>6.2727272727272729E-2</v>
      </c>
      <c r="AO104" s="60">
        <f t="shared" ref="AO104" si="254">AO102+AO103</f>
        <v>4.8636363636363644E-2</v>
      </c>
      <c r="AP104" s="313">
        <f t="shared" ref="AP104" si="255">AP102+AP103</f>
        <v>7.3608386929140471E-2</v>
      </c>
      <c r="AQ104" s="60">
        <f t="shared" ref="AQ104" si="256">AQ102+AQ103</f>
        <v>3.9900000000000005E-2</v>
      </c>
      <c r="AR104" s="60">
        <f t="shared" ref="AR104" si="257">AR102+AR103</f>
        <v>4.5900000000000003E-2</v>
      </c>
      <c r="AS104" s="60">
        <f t="shared" ref="AS104" si="258">AS102+AS103</f>
        <v>4.1400000000000006E-2</v>
      </c>
      <c r="AT104" s="60">
        <f t="shared" ref="AT104" si="259">AT102+AT103</f>
        <v>3.44E-2</v>
      </c>
      <c r="AU104" s="313">
        <f t="shared" ref="AU104" si="260">AU102+AU103</f>
        <v>4.0109042162135178E-2</v>
      </c>
      <c r="AV104" s="60">
        <f t="shared" ref="AV104" si="261">AV102+AV103</f>
        <v>3.7000000000000005E-2</v>
      </c>
      <c r="AW104" s="60">
        <f t="shared" ref="AW104" si="262">AW102+AW103</f>
        <v>3.7000000000000005E-2</v>
      </c>
      <c r="AX104" s="60">
        <f t="shared" ref="AX104" si="263">AX102+AX103</f>
        <v>3.7000000000000005E-2</v>
      </c>
      <c r="AY104" s="60">
        <f t="shared" ref="AY104" si="264">AY102+AY103</f>
        <v>3.7000000000000005E-2</v>
      </c>
      <c r="AZ104" s="313">
        <f t="shared" ref="AZ104" si="265">AZ102+AZ103</f>
        <v>3.5714285714285712E-2</v>
      </c>
    </row>
    <row r="105" spans="2:54" hidden="1" outlineLevel="1">
      <c r="B105" s="7" t="s">
        <v>70</v>
      </c>
      <c r="C105" s="6" t="s">
        <v>652</v>
      </c>
      <c r="D105" s="6" t="s">
        <v>348</v>
      </c>
      <c r="E105" s="18" cm="1">
        <f t="array" ref="E105">_xll.VAData($D105, E$5, $C105, "Consensus", "CD", "IMPL","","")/100</f>
        <v>-4.3608109234183198E-3</v>
      </c>
      <c r="F105" s="18" cm="1">
        <f t="array" ref="F105">_xll.VAData($D105, F$5, $C105, "Consensus", "CD", "IMPL","","")/100</f>
        <v>2.1653709235450978E-2</v>
      </c>
      <c r="G105" s="18" cm="1">
        <f t="array" ref="G105">_xll.VAData($D105, G$5, $C105, "Consensus", "CD", "IMPL","","")/100</f>
        <v>3.0898344295005851E-2</v>
      </c>
      <c r="H105" s="19" cm="1">
        <f t="array" ref="H105">_xll.VAData($D105, H$5, $C105, "Consensus", "CD", "IMPL","","")/100</f>
        <v>2.221008524705342E-2</v>
      </c>
      <c r="I105" s="19" cm="1">
        <f t="array" ref="I105">_xll.VAData($D105, I$5, $C105, "Consensus", "CD", "IMPL","","")/100</f>
        <v>1.9061754580722682E-2</v>
      </c>
      <c r="J105" s="19" cm="1">
        <f t="array" ref="J105">_xll.VAData($D105, J$5, $C105, "Consensus", "CD", "IMPL","","")/100</f>
        <v>-3.3033707888049026E-2</v>
      </c>
      <c r="K105" s="19" cm="1">
        <f t="array" ref="K105">_xll.VAData($D105, K$5, $C105, "Consensus", "CD", "IMPL","","")/100</f>
        <v>-6.1134628695257931E-2</v>
      </c>
      <c r="L105" s="18" cm="1">
        <f t="array" ref="L105">_xll.VAData($D105, L$5, $C105, "Consensus", "CD", "IMPL","","")/100</f>
        <v>-1.6926415914252712E-2</v>
      </c>
      <c r="M105" s="19" cm="1">
        <f t="array" ref="M105">_xll.VAData($D105, M$5, $C105, "Consensus", "CD", "IMPL","","")/100</f>
        <v>-1.0074738416554561E-2</v>
      </c>
      <c r="N105" s="19" cm="1">
        <f t="array" ref="N105">_xll.VAData($D105, N$5, $C105, "Consensus", "CD", "IMPL","","")/100</f>
        <v>-9.4563144133822993E-3</v>
      </c>
      <c r="O105" s="19" cm="1">
        <f t="array" ref="O105">_xll.VAData($D105, O$5, $C105, "Consensus", "CD", "IMPL","","")/100</f>
        <v>2.2713178329457372E-2</v>
      </c>
      <c r="P105" s="19" cm="1">
        <f t="array" ref="P105">_xll.VAData($D105, P$5, $C105, "Consensus", "CD", "IMPL","","")/100</f>
        <v>1.833092021406612E-2</v>
      </c>
      <c r="Q105" s="18" cm="1">
        <f t="array" ref="Q105">_xll.VAData($D105, Q$5, $C105, "Consensus", "CD", "IMPL","","")/100</f>
        <v>7.03506659573205E-3</v>
      </c>
      <c r="R105" s="19" cm="1">
        <f t="array" ref="R105">_xll.VAData($D105, R$5, $C105, "Consensus", "CD", "IMPL","","")/100</f>
        <v>2.1138165349490378E-2</v>
      </c>
      <c r="S105" s="19" cm="1">
        <f t="array" ref="S105">_xll.VAData($D105, S$5, $C105, "Consensus", "CD", "IMPL","","")/100</f>
        <v>2.4880849224456009E-2</v>
      </c>
      <c r="T105" s="19" cm="1">
        <f t="array" ref="T105">_xll.VAData($D105, T$5, $C105, "Consensus", "CD", "IMPL","","")/100</f>
        <v>3.4395161266129001E-2</v>
      </c>
      <c r="U105" s="19" cm="1">
        <f t="array" ref="U105">_xll.VAData($D105, U$5, $C105, "Consensus", "CD", "IMPL","","")/100</f>
        <v>4.1010773532913672E-2</v>
      </c>
      <c r="V105" s="18" cm="1">
        <f t="array" ref="V105">_xll.VAData($D105, V$5, $C105, "Consensus", "CD", "IMPL","","")/100</f>
        <v>3.2080332003814077E-2</v>
      </c>
      <c r="W105" s="19" cm="1">
        <f t="array" ref="W105">_xll.VAData($D105, W$5, $C105, "Consensus", "CD", "IMPL","","")/100</f>
        <v>7.2499999984090929E-2</v>
      </c>
      <c r="X105" s="19" cm="1">
        <f t="array" ref="X105">_xll.VAData($D105, X$5, $C105, "Consensus", "CD", "IMPL","","")/100</f>
        <v>-6.6462169630305032E-2</v>
      </c>
      <c r="Y105" s="19" cm="1">
        <f t="array" ref="Y105">_xll.VAData($D105, Y$5, $C105, "Consensus", "CD", "IMPL","","")/100</f>
        <v>5.5821371604929677E-2</v>
      </c>
      <c r="Z105" s="19" cm="1">
        <f t="array" ref="Z105">_xll.VAData($D105, Z$5, $C105, "Consensus", "CD", "IMPL","","")/100</f>
        <v>8.6675992511790603E-2</v>
      </c>
      <c r="AA105" s="18" cm="1">
        <f t="array" ref="AA105">_xll.VAData($D105, AA$5, $C105, "Consensus", "CD", "IMPL","","")/100</f>
        <v>3.8434634849127416E-2</v>
      </c>
      <c r="AB105" s="19" cm="1">
        <f t="array" ref="AB105">_xll.VAData($D105, AB$5, $C105, "Consensus", "CD", "IMPL","","")/100</f>
        <v>4.8780487801951239E-2</v>
      </c>
      <c r="AC105" s="19" cm="1">
        <f t="array" ref="AC105">_xll.VAData($D105, AC$5, $C105, "Consensus", "CD", "IMPL","","")/100</f>
        <v>0.23784708249497</v>
      </c>
      <c r="AD105" s="19" cm="1">
        <f t="array" ref="AD105">_xll.VAData($D105, AD$5, $C105, "Consensus", "CD", "IMPL","","")/100</f>
        <v>7.3656046894882324E-2</v>
      </c>
      <c r="AE105" s="19" cm="1">
        <f t="array" ref="AE105">_xll.VAData($D105, AE$5, $C105, "Consensus", "CD", "IMPL","","")/100</f>
        <v>0.12570547221069817</v>
      </c>
      <c r="AF105" s="18" cm="1">
        <f t="array" ref="AF105">_xll.VAData($D105, AF$5, $C105, "Consensus", "CD", "IMPL","","")/100</f>
        <v>0.11990523838500255</v>
      </c>
      <c r="AG105" s="19" cm="1">
        <f t="array" ref="AG105">_xll.VAData($D105, AG$5, $C105, "Consensus", "CD", "IMPL","","")/100</f>
        <v>5.4987458355695712E-2</v>
      </c>
      <c r="AH105" s="19" cm="1">
        <f t="array" ref="AH105">_xll.VAData($D105, AH$5, $C105, "Consensus", "CD", "IMPL","","")/100</f>
        <v>-6.2254120059543009E-3</v>
      </c>
      <c r="AI105" s="19" cm="1">
        <f t="array" ref="AI105">_xll.VAData($D105, AI$5, $C105, "Consensus", "CD", "IMPL","","")/100</f>
        <v>3.6722615091295353E-2</v>
      </c>
      <c r="AJ105" s="19" cm="1">
        <f t="array" ref="AJ105">_xll.VAData($D105, AJ$5, $C105, "Consensus", "CD", "IMPL","","")/100</f>
        <v>5.4622515683697269E-2</v>
      </c>
      <c r="AK105" s="18" cm="1">
        <f t="array" ref="AK105">_xll.VAData($D105, AK$5, $C105, "Consensus", "CD", "IMPL","","")/100</f>
        <v>3.5488424533086357E-2</v>
      </c>
      <c r="AL105" s="19" cm="1">
        <f t="array" ref="AL105">_xll.VAData($D105, AL$5, $C105, "Consensus", "CD", "IMPL","","")/100</f>
        <v>8.2846322365861091E-2</v>
      </c>
      <c r="AM105" s="19" cm="1">
        <f t="array" ref="AM105">_xll.VAData($D105, AM$5, $C105, "Consensus", "CD", "IMPL","","")/100</f>
        <v>0.10387106357694637</v>
      </c>
      <c r="AN105" s="60" cm="1">
        <f t="array" ref="AN105">_xll.VAData($D105, AN$5, $C105, "Consensus", "CD", "IMPL","","")/100</f>
        <v>6.2651284895929152E-2</v>
      </c>
      <c r="AO105" s="60" cm="1">
        <f t="array" ref="AO105">_xll.VAData($D105, AO$5, $C105, "Consensus", "CD", "IMPL","","")/100</f>
        <v>9.0590012328479498E-3</v>
      </c>
      <c r="AP105" s="313" cm="1">
        <f t="array" ref="AP105">_xll.VAData($D105, AP$5, $C105, "Consensus", "CD", "IMPL","","")/100</f>
        <v>6.0138741789429018E-2</v>
      </c>
      <c r="AQ105" s="60" cm="1">
        <f t="array" ref="AQ105">_xll.VAData($D105, AQ$5, $C105, "Consensus", "CD", "IMPL","","")/100</f>
        <v>3.7801373248738696E-2</v>
      </c>
      <c r="AR105" s="60" cm="1">
        <f t="array" ref="AR105">_xll.VAData($D105, AR$5, $C105, "Consensus", "CD", "IMPL","","")/100</f>
        <v>4.6110538322494315E-2</v>
      </c>
      <c r="AS105" s="60" cm="1">
        <f t="array" ref="AS105">_xll.VAData($D105, AS$5, $C105, "Consensus", "CD", "IMPL","","")/100</f>
        <v>4.1402075735662638E-2</v>
      </c>
      <c r="AT105" s="60" cm="1">
        <f t="array" ref="AT105">_xll.VAData($D105, AT$5, $C105, "Consensus", "CD", "IMPL","","")/100</f>
        <v>3.4395399999999993E-2</v>
      </c>
      <c r="AU105" s="313" cm="1">
        <f t="array" ref="AU105">_xll.VAData($D105, AU$5, $C105, "Consensus", "CD", "IMPL","","")/100</f>
        <v>3.9767070226304317E-2</v>
      </c>
      <c r="AV105" s="60" cm="1">
        <f t="array" ref="AV105">_xll.VAData($D105, AV$5, $C105, "Consensus", "CD", "IMPL","","")/100</f>
        <v>3.7000000000000005E-2</v>
      </c>
      <c r="AW105" s="60" cm="1">
        <f t="array" ref="AW105">_xll.VAData($D105, AW$5, $C105, "Consensus", "CD", "IMPL","","")/100</f>
        <v>3.7000000000000005E-2</v>
      </c>
      <c r="AX105" s="60" cm="1">
        <f t="array" ref="AX105">_xll.VAData($D105, AX$5, $C105, "Consensus", "CD", "IMPL","","")/100</f>
        <v>3.7000000000000005E-2</v>
      </c>
      <c r="AY105" s="60" cm="1">
        <f t="array" ref="AY105">_xll.VAData($D105, AY$5, $C105, "Consensus", "CD", "IMPL","","")/100</f>
        <v>3.7000000000000005E-2</v>
      </c>
      <c r="AZ105" s="313" cm="1">
        <f t="array" ref="AZ105">_xll.VAData($D105, AZ$5, $C105, "Consensus", "CD", "IMPL","","")/100</f>
        <v>3.811925E-2</v>
      </c>
    </row>
    <row r="106" spans="2:54" hidden="1" outlineLevel="1">
      <c r="B106" s="7" t="s">
        <v>894</v>
      </c>
      <c r="C106" s="6" t="s">
        <v>796</v>
      </c>
      <c r="D106" s="6" t="s">
        <v>348</v>
      </c>
      <c r="E106" s="623" cm="1">
        <f t="array" ref="E106">_xll.VAData($D106, E$5, $C106, "Consensus", "CD", "IMPL","","")</f>
        <v>20287.916666666668</v>
      </c>
      <c r="F106" s="623" cm="1">
        <f t="array" ref="F106">_xll.VAData($D106, F$5, $C106, "Consensus", "CD", "IMPL","","")</f>
        <v>20643.642857142855</v>
      </c>
      <c r="G106" s="623" cm="1">
        <f t="array" ref="G106">_xll.VAData($D106, G$5, $C106, "Consensus", "CD", "IMPL","","")</f>
        <v>21290.571428571428</v>
      </c>
      <c r="H106" s="624" cm="1">
        <f t="array" ref="H106">_xll.VAData($D106, H$5, $C106, "Consensus", "CD", "IMPL","","")</f>
        <v>4460</v>
      </c>
      <c r="I106" s="624" cm="1">
        <f t="array" ref="I106">_xll.VAData($D106, I$5, $C106, "Consensus", "CD", "IMPL","","")</f>
        <v>5242</v>
      </c>
      <c r="J106" s="624" cm="1">
        <f t="array" ref="J106">_xll.VAData($D106, J$5, $C106, "Consensus", "CD", "IMPL","","")</f>
        <v>5332</v>
      </c>
      <c r="K106" s="624" cm="1">
        <f t="array" ref="K106">_xll.VAData($D106, K$5, $C106, "Consensus", "CD", "IMPL","","")</f>
        <v>5902</v>
      </c>
      <c r="L106" s="623" cm="1">
        <f t="array" ref="L106">_xll.VAData($D106, L$5, $C106, "Consensus", "CD", "IMPL","","")</f>
        <v>20936</v>
      </c>
      <c r="M106" s="624" cm="1">
        <f t="array" ref="M106">_xll.VAData($D106, M$5, $C106, "Consensus", "CD", "IMPL","","")</f>
        <v>4415</v>
      </c>
      <c r="N106" s="624" cm="1">
        <f t="array" ref="N106">_xll.VAData($D106, N$5, $C106, "Consensus", "CD", "IMPL","","")</f>
        <v>5193</v>
      </c>
      <c r="O106" s="624" cm="1">
        <f t="array" ref="O106">_xll.VAData($D106, O$5, $C106, "Consensus", "CD", "IMPL","","")</f>
        <v>5456</v>
      </c>
      <c r="P106" s="624" cm="1">
        <f t="array" ref="P106">_xll.VAData($D106, P$5, $C106, "Consensus", "CD", "IMPL","","")</f>
        <v>6008</v>
      </c>
      <c r="Q106" s="623" cm="1">
        <f t="array" ref="Q106">_xll.VAData($D106, Q$5, $C106, "Consensus", "CD", "IMPL","","")</f>
        <v>21072</v>
      </c>
      <c r="R106" s="624" cm="1">
        <f t="array" ref="R106">_xll.VAData($D106, R$5, $C106, "Consensus", "CD", "IMPL","","")</f>
        <v>4510</v>
      </c>
      <c r="S106" s="624" cm="1">
        <f t="array" ref="S106">_xll.VAData($D106, S$5, $C106, "Consensus", "CD", "IMPL","","")</f>
        <v>5322</v>
      </c>
      <c r="T106" s="624" cm="1">
        <f t="array" ref="T106">_xll.VAData($D106, T$5, $C106, "Consensus", "CD", "IMPL","","")</f>
        <v>5643</v>
      </c>
      <c r="U106" s="624" cm="1">
        <f t="array" ref="U106">_xll.VAData($D106, U$5, $C106, "Consensus", "CD", "IMPL","","")</f>
        <v>6255</v>
      </c>
      <c r="V106" s="623" cm="1">
        <f t="array" ref="V106">_xll.VAData($D106, V$5, $C106, "Consensus", "CD", "IMPL","","")</f>
        <v>21730</v>
      </c>
      <c r="W106" s="624" cm="1">
        <f t="array" ref="W106">_xll.VAData($D106, W$5, $C106, "Consensus", "CD", "IMPL","","")</f>
        <v>4838</v>
      </c>
      <c r="X106" s="624" cm="1">
        <f t="array" ref="X106">_xll.VAData($D106, X$5, $C106, "Consensus", "CD", "IMPL","","")</f>
        <v>4970</v>
      </c>
      <c r="Y106" s="624" cm="1">
        <f t="array" ref="Y106">_xll.VAData($D106, Y$5, $C106, "Consensus", "CD", "IMPL","","")</f>
        <v>5958</v>
      </c>
      <c r="Z106" s="624" cm="1">
        <f t="array" ref="Z106">_xll.VAData($D106, Z$5, $C106, "Consensus", "CD", "IMPL","","")</f>
        <v>6793</v>
      </c>
      <c r="AA106" s="623" cm="1">
        <f t="array" ref="AA106">_xll.VAData($D106, AA$5, $C106, "Consensus", "CD", "IMPL","","")</f>
        <v>22559</v>
      </c>
      <c r="AB106" s="624" cm="1">
        <f t="array" ref="AB106">_xll.VAData($D106, AB$5, $C106, "Consensus", "CD", "IMPL","","")</f>
        <v>5042.75</v>
      </c>
      <c r="AC106" s="624" cm="1">
        <f t="array" ref="AC106">_xll.VAData($D106, AC$5, $C106, "Consensus", "CD", "IMPL","","")</f>
        <v>6110.166666666667</v>
      </c>
      <c r="AD106" s="624" cm="1">
        <f t="array" ref="AD106">_xll.VAData($D106, AD$5, $C106, "Consensus", "CD", "IMPL","","")</f>
        <v>6339.5</v>
      </c>
      <c r="AE106" s="624" cm="1">
        <f t="array" ref="AE106">_xll.VAData($D106, AE$5, $C106, "Consensus", "CD", "IMPL","","")</f>
        <v>7581.5</v>
      </c>
      <c r="AF106" s="623" cm="1">
        <f t="array" ref="AF106">_xll.VAData($D106, AF$5, $C106, "Consensus", "CD", "IMPL","","")</f>
        <v>25073.916666666668</v>
      </c>
      <c r="AG106" s="624" cm="1">
        <f t="array" ref="AG106">_xll.VAData($D106, AG$5, $C106, "Consensus", "CD", "IMPL","","")</f>
        <v>5353</v>
      </c>
      <c r="AH106" s="624" cm="1">
        <f t="array" ref="AH106">_xll.VAData($D106, AH$5, $C106, "Consensus", "CD", "IMPL","","")</f>
        <v>6120</v>
      </c>
      <c r="AI106" s="624" cm="1">
        <f t="array" ref="AI106">_xll.VAData($D106, AI$5, $C106, "Consensus", "CD", "IMPL","","")</f>
        <v>6635</v>
      </c>
      <c r="AJ106" s="624" cm="1">
        <f t="array" ref="AJ106">_xll.VAData($D106, AJ$5, $C106, "Consensus", "CD", "IMPL","","")</f>
        <v>8058.2745098039213</v>
      </c>
      <c r="AK106" s="623" cm="1">
        <f t="array" ref="AK106">_xll.VAData($D106, AK$5, $C106, "Consensus", "CD", "IMPL","","")</f>
        <v>26166.274509803919</v>
      </c>
      <c r="AL106" s="624" cm="1">
        <f t="array" ref="AL106">_xll.VAData($D106, AL$5, $C106, "Consensus", "CD", "IMPL","","")</f>
        <v>5798</v>
      </c>
      <c r="AM106" s="624" cm="1">
        <f t="array" ref="AM106">_xll.VAData($D106, AM$5, $C106, "Consensus", "CD", "IMPL","","")</f>
        <v>6755</v>
      </c>
      <c r="AN106" s="625" cm="1">
        <f t="array" ref="AN106">_xll.VAData($D106, AN$5, $C106, "Consensus", "CD", "IMPL","","")</f>
        <v>7050.4743641200121</v>
      </c>
      <c r="AO106" s="625" cm="1">
        <f t="array" ref="AO106">_xll.VAData($D106, AO$5, $C106, "Consensus", "CD", "IMPL","","")</f>
        <v>8129.1254820866216</v>
      </c>
      <c r="AP106" s="626" cm="1">
        <f t="array" ref="AP106">_xll.VAData($D106, AP$5, $C106, "Consensus", "CD", "IMPL","","")</f>
        <v>27732.599846206627</v>
      </c>
      <c r="AQ106" s="625" cm="1">
        <f t="array" ref="AQ106">_xll.VAData($D106, AQ$5, $C106, "Consensus", "CD", "IMPL","","")</f>
        <v>6017.3698450295124</v>
      </c>
      <c r="AR106" s="625" cm="1">
        <f t="array" ref="AR106">_xll.VAData($D106, AR$5, $C106, "Consensus", "CD", "IMPL","","")</f>
        <v>7066.6107262198548</v>
      </c>
      <c r="AS106" s="625" cm="1">
        <f t="array" ref="AS106">_xll.VAData($D106, AS$5, $C106, "Consensus", "CD", "IMPL","","")</f>
        <v>7337.3129802348931</v>
      </c>
      <c r="AT106" s="625" cm="1">
        <f t="array" ref="AT106">_xll.VAData($D106, AT$5, $C106, "Consensus", "CD", "IMPL","","")</f>
        <v>8395.5101134731303</v>
      </c>
      <c r="AU106" s="626" cm="1">
        <f t="array" ref="AU106">_xll.VAData($D106, AU$5, $C106, "Consensus", "CD", "IMPL","","")</f>
        <v>28824.070081779446</v>
      </c>
      <c r="AV106" s="625" cm="1">
        <f t="array" ref="AV106">_xll.VAData($D106, AV$5, $C106, "Consensus", "CD", "IMPL","","")</f>
        <v>6251.8353626463449</v>
      </c>
      <c r="AW106" s="625" cm="1">
        <f t="array" ref="AW106">_xll.VAData($D106, AW$5, $C106, "Consensus", "CD", "IMPL","","")</f>
        <v>7274.2927034561226</v>
      </c>
      <c r="AX106" s="625" cm="1">
        <f t="array" ref="AX106">_xll.VAData($D106, AX$5, $C106, "Consensus", "CD", "IMPL","","")</f>
        <v>7633.9196589719231</v>
      </c>
      <c r="AY106" s="625" cm="1">
        <f t="array" ref="AY106">_xll.VAData($D106, AY$5, $C106, "Consensus", "CD", "IMPL","","")</f>
        <v>8802.5220957456531</v>
      </c>
      <c r="AZ106" s="626" cm="1">
        <f t="array" ref="AZ106">_xll.VAData($D106, AZ$5, $C106, "Consensus", "CD", "IMPL","","")</f>
        <v>29895.03795931935</v>
      </c>
    </row>
    <row r="107" spans="2:54" hidden="1" outlineLevel="1">
      <c r="B107" s="7"/>
      <c r="C107" s="6"/>
      <c r="D107" s="6"/>
      <c r="E107" s="18"/>
      <c r="F107" s="18"/>
      <c r="G107" s="18"/>
      <c r="H107" s="19"/>
      <c r="I107" s="19"/>
      <c r="J107" s="19"/>
      <c r="K107" s="19"/>
      <c r="L107" s="18"/>
      <c r="M107" s="19"/>
      <c r="N107" s="19"/>
      <c r="O107" s="19"/>
      <c r="P107" s="19"/>
      <c r="Q107" s="18"/>
      <c r="R107" s="19"/>
      <c r="S107" s="19"/>
      <c r="T107" s="19"/>
      <c r="U107" s="19"/>
      <c r="V107" s="18"/>
      <c r="W107" s="19"/>
      <c r="X107" s="19"/>
      <c r="Y107" s="19"/>
      <c r="Z107" s="19"/>
      <c r="AA107" s="18"/>
      <c r="AB107" s="19"/>
      <c r="AC107" s="19"/>
      <c r="AD107" s="19"/>
      <c r="AE107" s="19"/>
      <c r="AF107" s="18"/>
      <c r="AG107" s="19"/>
      <c r="AH107" s="19"/>
      <c r="AI107" s="19"/>
      <c r="AJ107" s="19"/>
      <c r="AK107" s="18"/>
      <c r="AL107" s="19"/>
      <c r="AM107" s="19"/>
      <c r="AN107" s="60"/>
      <c r="AO107" s="60"/>
      <c r="AP107" s="313"/>
      <c r="AQ107" s="60"/>
      <c r="AR107" s="60"/>
      <c r="AS107" s="60"/>
      <c r="AT107" s="60"/>
      <c r="AU107" s="313"/>
      <c r="AV107" s="60"/>
      <c r="AW107" s="60"/>
      <c r="AX107" s="60"/>
      <c r="AY107" s="60"/>
      <c r="AZ107" s="313"/>
    </row>
    <row r="108" spans="2:54" hidden="1" outlineLevel="1">
      <c r="B108" s="403" t="s">
        <v>363</v>
      </c>
      <c r="C108" s="6"/>
      <c r="D108" s="6"/>
      <c r="E108" s="18"/>
      <c r="F108" s="18"/>
      <c r="G108" s="18"/>
      <c r="H108" s="19"/>
      <c r="I108" s="19"/>
      <c r="J108" s="19"/>
      <c r="K108" s="19"/>
      <c r="L108" s="18"/>
      <c r="M108" s="19"/>
      <c r="N108" s="19"/>
      <c r="O108" s="19"/>
      <c r="P108" s="19"/>
      <c r="Q108" s="18"/>
      <c r="R108" s="19"/>
      <c r="S108" s="19"/>
      <c r="T108" s="19"/>
      <c r="U108" s="19"/>
      <c r="V108" s="18"/>
      <c r="W108" s="19"/>
      <c r="X108" s="19"/>
      <c r="Y108" s="19"/>
      <c r="Z108" s="19"/>
      <c r="AA108" s="18"/>
      <c r="AB108" s="19"/>
      <c r="AC108" s="19"/>
      <c r="AD108" s="19"/>
      <c r="AE108" s="19"/>
      <c r="AF108" s="18"/>
      <c r="AG108" s="19"/>
      <c r="AH108" s="19"/>
      <c r="AI108" s="19"/>
      <c r="AJ108" s="19"/>
      <c r="AK108" s="18"/>
      <c r="AL108" s="19"/>
      <c r="AM108" s="19"/>
      <c r="AN108" s="60"/>
      <c r="AO108" s="60"/>
      <c r="AP108" s="313"/>
      <c r="AQ108" s="60"/>
      <c r="AR108" s="60"/>
      <c r="AS108" s="60"/>
      <c r="AT108" s="60"/>
      <c r="AU108" s="313"/>
      <c r="AV108" s="60"/>
      <c r="AW108" s="60"/>
      <c r="AX108" s="60"/>
      <c r="AY108" s="60"/>
      <c r="AZ108" s="313"/>
    </row>
    <row r="109" spans="2:54" hidden="1" outlineLevel="1">
      <c r="B109" s="225" t="s">
        <v>714</v>
      </c>
      <c r="C109" s="6"/>
      <c r="D109" s="6"/>
      <c r="E109" s="18"/>
      <c r="F109" s="18"/>
      <c r="G109" s="18"/>
      <c r="H109" s="19"/>
      <c r="I109" s="19"/>
      <c r="J109" s="19"/>
      <c r="K109" s="19"/>
      <c r="L109" s="18"/>
      <c r="M109" s="19"/>
      <c r="N109" s="19"/>
      <c r="O109" s="19"/>
      <c r="P109" s="19"/>
      <c r="Q109" s="18"/>
      <c r="R109" s="19"/>
      <c r="S109" s="19"/>
      <c r="T109" s="19"/>
      <c r="U109" s="19"/>
      <c r="V109" s="18"/>
      <c r="W109" s="19"/>
      <c r="X109" s="19"/>
      <c r="Y109" s="19"/>
      <c r="Z109" s="19"/>
      <c r="AA109" s="18"/>
      <c r="AB109" s="19"/>
      <c r="AC109" s="19"/>
      <c r="AD109" s="19"/>
      <c r="AE109" s="19"/>
      <c r="AF109" s="18"/>
      <c r="AG109" s="19"/>
      <c r="AH109" s="19"/>
      <c r="AI109" s="19"/>
      <c r="AJ109" s="19"/>
      <c r="AK109" s="18"/>
      <c r="AL109" s="19"/>
      <c r="AM109" s="19"/>
      <c r="AN109" s="60"/>
      <c r="AO109" s="60"/>
      <c r="AP109" s="313"/>
      <c r="AQ109" s="60"/>
      <c r="AR109" s="60"/>
      <c r="AS109" s="60"/>
      <c r="AT109" s="60"/>
      <c r="AU109" s="313"/>
      <c r="AV109" s="60"/>
      <c r="AW109" s="60"/>
      <c r="AX109" s="60"/>
      <c r="AY109" s="60"/>
      <c r="AZ109" s="313"/>
    </row>
    <row r="110" spans="2:54" s="11" customFormat="1" hidden="1" outlineLevel="1">
      <c r="B110" s="245" t="s">
        <v>771</v>
      </c>
      <c r="C110" s="33"/>
      <c r="D110" s="33"/>
      <c r="E110" s="36"/>
      <c r="F110" s="37"/>
      <c r="G110" s="37"/>
      <c r="H110" s="35"/>
      <c r="I110" s="35"/>
      <c r="J110" s="35"/>
      <c r="K110" s="35"/>
      <c r="L110" s="37"/>
      <c r="M110" s="35"/>
      <c r="N110" s="35"/>
      <c r="O110" s="35"/>
      <c r="P110" s="35"/>
      <c r="Q110" s="64"/>
      <c r="R110" s="61"/>
      <c r="S110" s="61"/>
      <c r="T110" s="61"/>
      <c r="U110" s="61"/>
      <c r="V110" s="64"/>
      <c r="W110" s="29">
        <v>1359</v>
      </c>
      <c r="X110" s="29">
        <v>1402.5</v>
      </c>
      <c r="Y110" s="29">
        <v>1418.5</v>
      </c>
      <c r="Z110" s="29">
        <v>1704.5</v>
      </c>
      <c r="AA110" s="28">
        <f>SUM(W110:Z110)</f>
        <v>5884.5</v>
      </c>
      <c r="AB110" s="29">
        <v>1571</v>
      </c>
      <c r="AC110" s="29">
        <v>1587</v>
      </c>
      <c r="AD110" s="29">
        <v>1496</v>
      </c>
      <c r="AE110" s="29">
        <v>1764.3999999999996</v>
      </c>
      <c r="AF110" s="28">
        <f>SUM(AB110:AE110)</f>
        <v>6418.4</v>
      </c>
      <c r="AG110" s="29">
        <v>1602</v>
      </c>
      <c r="AH110" s="29">
        <v>1588</v>
      </c>
      <c r="AI110" s="29">
        <v>1480.7544000000003</v>
      </c>
      <c r="AJ110" s="29">
        <v>1774</v>
      </c>
      <c r="AK110" s="28">
        <f>SUM(AG110:AJ110)</f>
        <v>6444.7543999999998</v>
      </c>
      <c r="AL110" s="29">
        <v>1567</v>
      </c>
      <c r="AM110" s="29">
        <v>1561</v>
      </c>
      <c r="AN110" s="29">
        <v>1506.1844397294822</v>
      </c>
      <c r="AO110" s="29">
        <v>1792.2741729182269</v>
      </c>
      <c r="AP110" s="244">
        <v>6426.4586126477088</v>
      </c>
      <c r="AQ110" s="181"/>
      <c r="AR110" s="181"/>
      <c r="AS110" s="181"/>
      <c r="AT110" s="181"/>
      <c r="AU110" s="244">
        <f>(1+AU111)*AP110</f>
        <v>6747.7815432800944</v>
      </c>
      <c r="AV110" s="279"/>
      <c r="AW110" s="279"/>
      <c r="AX110" s="279"/>
      <c r="AY110" s="279"/>
      <c r="AZ110" s="244">
        <f>(1+AZ111)*AU110</f>
        <v>7051.4317127276981</v>
      </c>
      <c r="BB110" s="257"/>
    </row>
    <row r="111" spans="2:54" s="11" customFormat="1" hidden="1" outlineLevel="1">
      <c r="B111" s="245" t="s">
        <v>589</v>
      </c>
      <c r="C111" s="33"/>
      <c r="D111" s="33"/>
      <c r="E111" s="36"/>
      <c r="F111" s="37"/>
      <c r="G111" s="37"/>
      <c r="H111" s="35"/>
      <c r="I111" s="35"/>
      <c r="J111" s="35"/>
      <c r="K111" s="35"/>
      <c r="L111" s="37"/>
      <c r="M111" s="35"/>
      <c r="N111" s="35"/>
      <c r="O111" s="35"/>
      <c r="P111" s="35"/>
      <c r="Q111" s="64"/>
      <c r="R111" s="61"/>
      <c r="S111" s="61"/>
      <c r="T111" s="61"/>
      <c r="U111" s="61"/>
      <c r="V111" s="64"/>
      <c r="AA111" s="64"/>
      <c r="AB111" s="61">
        <v>0.1559970566593083</v>
      </c>
      <c r="AC111" s="61">
        <v>0.13155080213903747</v>
      </c>
      <c r="AD111" s="61">
        <v>5.4635178004934781E-2</v>
      </c>
      <c r="AE111" s="61">
        <v>3.51422704605453E-2</v>
      </c>
      <c r="AF111" s="64">
        <v>9.0729883592488569E-2</v>
      </c>
      <c r="AG111" s="61">
        <v>1.9732654360280044E-2</v>
      </c>
      <c r="AH111" s="61">
        <v>6.3011972274740202E-4</v>
      </c>
      <c r="AI111" s="61">
        <v>-1.0190909090908917E-2</v>
      </c>
      <c r="AJ111" s="61">
        <v>5.4409430968036521E-3</v>
      </c>
      <c r="AK111" s="64">
        <v>4.6117412439237171E-3</v>
      </c>
      <c r="AL111" s="61">
        <v>-2.1847690387016283E-2</v>
      </c>
      <c r="AM111" s="61">
        <v>-1.700251889168769E-2</v>
      </c>
      <c r="AN111" s="61">
        <v>1.7173705328501487E-2</v>
      </c>
      <c r="AO111" s="61">
        <v>1.0301112129778467E-2</v>
      </c>
      <c r="AP111" s="280">
        <f>AP110/AK110-1</f>
        <v>-2.8388649460856508E-3</v>
      </c>
      <c r="AQ111" s="181"/>
      <c r="AR111" s="181"/>
      <c r="AS111" s="181"/>
      <c r="AT111" s="181"/>
      <c r="AU111" s="280">
        <f>AU112</f>
        <v>0.05</v>
      </c>
      <c r="AV111" s="279"/>
      <c r="AW111" s="279"/>
      <c r="AX111" s="279"/>
      <c r="AY111" s="279"/>
      <c r="AZ111" s="280">
        <f>AZ112</f>
        <v>4.5000000000000005E-2</v>
      </c>
      <c r="BB111" s="257"/>
    </row>
    <row r="112" spans="2:54" s="11" customFormat="1" hidden="1" outlineLevel="1">
      <c r="B112" s="245" t="s">
        <v>681</v>
      </c>
      <c r="C112" s="33"/>
      <c r="D112" s="33"/>
      <c r="E112" s="36"/>
      <c r="F112" s="37"/>
      <c r="G112" s="37"/>
      <c r="H112" s="35"/>
      <c r="I112" s="35"/>
      <c r="J112" s="35"/>
      <c r="K112" s="35"/>
      <c r="L112" s="37"/>
      <c r="M112" s="35"/>
      <c r="N112" s="35"/>
      <c r="O112" s="35"/>
      <c r="P112" s="35"/>
      <c r="Q112" s="64"/>
      <c r="R112" s="61"/>
      <c r="S112" s="61"/>
      <c r="T112" s="61"/>
      <c r="U112" s="61"/>
      <c r="V112" s="64"/>
      <c r="AA112" s="64"/>
      <c r="AB112" s="61">
        <v>0.171519</v>
      </c>
      <c r="AC112" s="61">
        <v>0.12206009197860962</v>
      </c>
      <c r="AD112" s="61">
        <v>4.0607839266831161E-2</v>
      </c>
      <c r="AE112" s="61">
        <v>3.2000000000000001E-2</v>
      </c>
      <c r="AF112" s="64">
        <v>8.7761036621633107E-2</v>
      </c>
      <c r="AG112" s="61">
        <v>3.3000000000000002E-2</v>
      </c>
      <c r="AH112" s="61">
        <v>1.9070573408947702E-2</v>
      </c>
      <c r="AI112" s="61">
        <v>3.8443850267379696E-2</v>
      </c>
      <c r="AJ112" s="61">
        <v>4.6399999999999997E-2</v>
      </c>
      <c r="AK112" s="64">
        <v>3.4508313598404589E-2</v>
      </c>
      <c r="AL112" s="61">
        <v>2.86E-2</v>
      </c>
      <c r="AM112" s="61">
        <v>6.1544584382871539E-2</v>
      </c>
      <c r="AN112" s="61">
        <v>6.8677711194943009E-2</v>
      </c>
      <c r="AO112" s="61">
        <v>6.0948553882089959E-2</v>
      </c>
      <c r="AP112" s="242">
        <v>5.4802660921319586E-2</v>
      </c>
      <c r="AQ112" s="181"/>
      <c r="AR112" s="181"/>
      <c r="AS112" s="181"/>
      <c r="AT112" s="181"/>
      <c r="AU112" s="280">
        <v>0.05</v>
      </c>
      <c r="AV112" s="279"/>
      <c r="AW112" s="279"/>
      <c r="AX112" s="279"/>
      <c r="AY112" s="279"/>
      <c r="AZ112" s="280">
        <v>4.5000000000000005E-2</v>
      </c>
      <c r="BB112" s="257"/>
    </row>
    <row r="113" spans="2:54" hidden="1" outlineLevel="1">
      <c r="B113" s="7" t="s">
        <v>672</v>
      </c>
      <c r="D113" s="6"/>
      <c r="E113" s="18"/>
      <c r="F113" s="18"/>
      <c r="G113" s="18"/>
      <c r="H113" s="19"/>
      <c r="I113" s="19"/>
      <c r="J113" s="19"/>
      <c r="K113" s="19"/>
      <c r="L113" s="18"/>
      <c r="M113" s="19"/>
      <c r="N113" s="19"/>
      <c r="O113" s="19"/>
      <c r="P113" s="19"/>
      <c r="Q113" s="18" t="s">
        <v>713</v>
      </c>
      <c r="R113" s="19"/>
      <c r="S113" s="19"/>
      <c r="T113" s="19"/>
      <c r="U113" s="19"/>
      <c r="V113" s="18" t="s">
        <v>713</v>
      </c>
      <c r="W113" s="19"/>
      <c r="X113" s="19"/>
      <c r="Y113" s="19"/>
      <c r="Z113" s="19"/>
      <c r="AA113" s="64">
        <v>7.0000000000000007E-2</v>
      </c>
      <c r="AB113" s="19" cm="1">
        <f t="array" ref="AB113">_xll.BQL("SEG0000505603 Segment", "IS_ORGANIC_GROWTH_RATE", "FPR="&amp;AB$3, "FPT=Q", "FA_ACT_EST_DATA=A", "ACT_EST_MAPPING=PRECISE", "FS=MRC", "CURRENCY=CHF", "XLFILL=b")/100</f>
        <v>0.17100000000000001</v>
      </c>
      <c r="AC113" s="19" cm="1">
        <f t="array" ref="AC113">_xll.BQL("SEG0000505603 Segment", "IS_ORGANIC_GROWTH_RATE", "FPR="&amp;AC$3, "FPT=Q", "FA_ACT_EST_DATA=A", "ACT_EST_MAPPING=PRECISE", "FS=MRC", "CURRENCY=CHF", "XLFILL=b")/100</f>
        <v>0.12200000000000001</v>
      </c>
      <c r="AD113" s="19" cm="1">
        <f t="array" ref="AD113">_xll.BQL("SEG0000505603 Segment", "IS_ORGANIC_GROWTH_RATE", "FPR="&amp;AD$3, "FPT=Q", "FA_ACT_EST_DATA=A", "ACT_EST_MAPPING=PRECISE", "FS=MRC", "CURRENCY=CHF", "XLFILL=b")/100</f>
        <v>0.04</v>
      </c>
      <c r="AE113" s="19" cm="1">
        <f t="array" ref="AE113">_xll.BQL("SEG0000505603 Segment", "IS_ORGANIC_GROWTH_RATE", "FPR="&amp;AE$3, "FPT=Q", "FA_ACT_EST_DATA=A", "ACT_EST_MAPPING=PRECISE", "FS=MRC", "CURRENCY=CHF", "XLFILL=b")/100</f>
        <v>3.5000000000000003E-2</v>
      </c>
      <c r="AF113" s="64" cm="1">
        <f t="array" ref="AF113">_xll.BQL("SEG0000505603 Segment", "IS_ORGANIC_GROWTH_RATE", "FPR=2021Y", "FPT=A", "FA_ACT_EST_DATA=A", "ACT_EST_MAPPING=PRECISE", "FS=MRC", "CURRENCY=CHF", "XLFILL=b")/100</f>
        <v>8.8000000000000009E-2</v>
      </c>
      <c r="AG113" s="19" cm="1">
        <f t="array" ref="AG113">_xll.BQL("SEG0000505603 Segment", "IS_ORGANIC_GROWTH_RATE", "FPR="&amp;AG$3, "FPT=Q", "FA_ACT_EST_DATA=A", "ACT_EST_MAPPING=PRECISE", "FS=MRC", "CURRENCY=CHF", "XLFILL=b")/100</f>
        <v>3.3000000000000002E-2</v>
      </c>
      <c r="AH113" s="19" cm="1">
        <f t="array" ref="AH113">_xll.BQL("SEG0000505603 Segment", "IS_ORGANIC_GROWTH_RATE", "FPR="&amp;AH$3, "FPT=Q", "FA_ACT_EST_DATA=A", "ACT_EST_MAPPING=PRECISE", "FS=MRC", "CURRENCY=CHF", "XLFILL=b")/100</f>
        <v>1.9000000000000003E-2</v>
      </c>
      <c r="AI113" s="19" cm="1">
        <f t="array" ref="AI113">_xll.BQL("SEG0000505603 Segment", "IS_ORGANIC_GROWTH_RATE", "FPR="&amp;AI$3, "FPT=Q", "FA_ACT_EST_DATA=A", "ACT_EST_MAPPING=PRECISE", "FS=MRC", "CURRENCY=CHF", "XLFILL=b")/100</f>
        <v>3.8000000000000006E-2</v>
      </c>
      <c r="AJ113" s="19" cm="1">
        <f t="array" ref="AJ113">_xll.BQL("SEG0000505603 Segment", "IS_ORGANIC_GROWTH_RATE", "FPR="&amp;AJ$3, "FPT=Q", "FA_ACT_EST_DATA=A", "ACT_EST_MAPPING=PRECISE", "FS=MRC", "CURRENCY=CHF", "XLFILL=b")/100</f>
        <v>4.8000000000000001E-2</v>
      </c>
      <c r="AK113" s="64" cm="1">
        <f t="array" ref="AK113">_xll.BQL("SEG0000505603 Segment", "IS_ORGANIC_GROWTH_RATE", "FPR=2022Y", "FPT=A", "FA_ACT_EST_DATA=A", "ACT_EST_MAPPING=PRECISE", "FS=MRC", "CURRENCY=CHF", "XLFILL=b")/100</f>
        <v>3.5000000000000003E-2</v>
      </c>
      <c r="AL113" s="19" cm="1">
        <f t="array" ref="AL113">_xll.BQL("SEG0000505603 Segment", "IS_ORGANIC_GROWTH_RATE", "FPR="&amp;AL$3, "FPT=Q", "FA_ACT_EST_DATA=A", "ACT_EST_MAPPING=PRECISE", "FS=MRC", "CURRENCY=CHF", "XLFILL=b")/100</f>
        <v>2.8999999999999998E-2</v>
      </c>
      <c r="AM113" s="19" cm="1">
        <f t="array" ref="AM113">_xll.BQL("SEG0000505603 Segment", "IS_ORGANIC_GROWTH_RATE", "FPR="&amp;AM$3, "FPT=Q", "FA_ACT_EST_DATA=A", "ACT_EST_MAPPING=PRECISE", "FS=MRC", "CURRENCY=CHF", "XLFILL=b")/100</f>
        <v>6.1000000000000006E-2</v>
      </c>
      <c r="AO113" s="60"/>
      <c r="AP113" s="445" cm="1">
        <f t="array" ref="AP113">_xll.BQL("SEG0000505603 Segment", "IS_ORGANIC_GROWTH_RATE", "FPR=2025Y", "FPT=A", "FA_ACT_EST_DATA=E", "ACT_EST_MAPPING=PRECISE", "FS=MRC", "CURRENCY=CHF", "XLFILL=b")/100</f>
        <v>6.1745298143759772E-2</v>
      </c>
      <c r="AQ113" s="60"/>
      <c r="AR113" s="60"/>
      <c r="AS113" s="60"/>
      <c r="AT113" s="60"/>
      <c r="AU113" s="445" cm="1">
        <f t="array" ref="AU113">_xll.BQL("SEG0000505603 Segment", "IS_ORGANIC_GROWTH_RATE", "FPR=2025Y", "FPT=A", "FA_ACT_EST_DATA=E", "ACT_EST_MAPPING=PRECISE", "FS=MRC", "CURRENCY=CHF", "XLFILL=b")/100</f>
        <v>6.1745298143759772E-2</v>
      </c>
      <c r="AV113" s="60"/>
      <c r="AW113" s="60"/>
      <c r="AX113" s="60"/>
      <c r="AY113" s="60"/>
      <c r="AZ113" s="445" cm="1">
        <f t="array" ref="AZ113">_xll.BQL("SEG0000505603 Segment", "IS_ORGANIC_GROWTH_RATE", "FPR=2025Y", "FPT=A", "FA_ACT_EST_DATA=E", "ACT_EST_MAPPING=PRECISE", "FS=MRC", "CURRENCY=CHF", "XLFILL=b")/100</f>
        <v>6.1745298143759772E-2</v>
      </c>
    </row>
    <row r="114" spans="2:54" hidden="1" outlineLevel="1">
      <c r="B114" s="7" t="s">
        <v>770</v>
      </c>
      <c r="C114" s="6"/>
      <c r="D114" s="6"/>
      <c r="E114" s="18"/>
      <c r="F114" s="18"/>
      <c r="G114" s="18"/>
      <c r="H114" s="29"/>
      <c r="I114" s="29"/>
      <c r="J114" s="29"/>
      <c r="K114" s="29"/>
      <c r="L114" s="18"/>
      <c r="M114" s="29"/>
      <c r="N114" s="29"/>
      <c r="O114" s="29"/>
      <c r="P114" s="29"/>
      <c r="Q114" s="18"/>
      <c r="R114" s="29"/>
      <c r="S114" s="29"/>
      <c r="T114" s="29"/>
      <c r="U114" s="29"/>
      <c r="V114" s="18"/>
      <c r="W114" s="29" cm="1">
        <f t="array" ref="W114">_xll.BQL("SEG0000505603 Segment", "SALES_REV_TURN/1M", "FPR="&amp;W3, "FPT=Q", "FA_ACT_EST_DATA=A", "ACT_EST_MAPPING=PRECISE", "FS=MRC", "CURRENCY=CHF", "XLFILL=b")</f>
        <v>1359</v>
      </c>
      <c r="X114" s="29" cm="1">
        <f t="array" ref="X114">_xll.BQL("SEG0000505603 Segment", "SALES_REV_TURN/1M", "FPR="&amp;X3, "FPT=Q", "FA_ACT_EST_DATA=A", "ACT_EST_MAPPING=PRECISE", "FS=MRC", "CURRENCY=CHF", "XLFILL=b")</f>
        <v>1403</v>
      </c>
      <c r="Y114" s="29" cm="1">
        <f t="array" ref="Y114">_xll.BQL("SEG0000505603 Segment", "SALES_REV_TURN/1M", "FPR="&amp;Y3, "FPT=Q", "FA_ACT_EST_DATA=A", "ACT_EST_MAPPING=PRECISE", "FS=MRC", "CURRENCY=CHF", "XLFILL=b")</f>
        <v>1418</v>
      </c>
      <c r="Z114" s="29">
        <f>Z110</f>
        <v>1704.5</v>
      </c>
      <c r="AA114" s="18"/>
      <c r="AB114" s="29" cm="1">
        <f t="array" ref="AB114">_xll.BQL("SEG0000505603 Segment", "SALES_REV_TURN/1M", "FPR="&amp;AB3, "FPT=Q", "FA_ACT_EST_DATA=A", "ACT_EST_MAPPING=PRECISE", "FS=MRC", "CURRENCY=CHF", "XLFILL=b")</f>
        <v>1571</v>
      </c>
      <c r="AC114" s="29" cm="1">
        <f t="array" ref="AC114">_xll.BQL("SEG0000505603 Segment", "SALES_REV_TURN/1M", "FPR="&amp;AC3, "FPT=Q", "FA_ACT_EST_DATA=A", "ACT_EST_MAPPING=PRECISE", "FS=MRC", "CURRENCY=CHF", "XLFILL=b")</f>
        <v>1587</v>
      </c>
      <c r="AD114" s="29" cm="1">
        <f t="array" ref="AD114">_xll.BQL("SEG0000505603 Segment", "SALES_REV_TURN/1M", "FPR="&amp;AD3, "FPT=Q", "FA_ACT_EST_DATA=A", "ACT_EST_MAPPING=PRECISE", "FS=MRC", "CURRENCY=CHF", "XLFILL=b")</f>
        <v>1496</v>
      </c>
      <c r="AE114" s="29" cm="1">
        <f t="array" ref="AE114">_xll.BQL("SEG0000505603 Segment", "SALES_REV_TURN/1M", "FPR="&amp;AE3, "FPT=Q", "FA_ACT_EST_DATA=A", "ACT_EST_MAPPING=PRECISE", "FS=MRC", "CURRENCY=CHF", "XLFILL=b")</f>
        <v>1764</v>
      </c>
      <c r="AF114" s="28">
        <f>SUM(AB114:AE114)</f>
        <v>6418</v>
      </c>
      <c r="AG114" s="29" cm="1">
        <f t="array" ref="AG114">_xll.BQL("SEG0000505603 Segment", "SALES_REV_TURN/1M", "FPR="&amp;AG3, "FPT=Q", "FA_ACT_EST_DATA=A", "ACT_EST_MAPPING=PRECISE", "FS=MRC", "CURRENCY=CHF", "XLFILL=b")</f>
        <v>1602</v>
      </c>
      <c r="AH114" s="29" cm="1">
        <f t="array" ref="AH114">_xll.BQL("SEG0000505603 Segment", "SALES_REV_TURN/1M", "FPR="&amp;AH3, "FPT=Q", "FA_ACT_EST_DATA=A", "ACT_EST_MAPPING=PRECISE", "FS=MRC", "CURRENCY=CHF", "XLFILL=b")</f>
        <v>1588</v>
      </c>
      <c r="AI114" s="29" cm="1">
        <f t="array" ref="AI114">_xll.BQL("SEG0000505603 Segment", "SALES_REV_TURN/1M", "FPR="&amp;AI3, "FPT=Q", "FA_ACT_EST_DATA=A", "ACT_EST_MAPPING=PRECISE", "FS=MRC", "CURRENCY=CHF", "XLFILL=b")</f>
        <v>1484</v>
      </c>
      <c r="AJ114" s="29" cm="1">
        <f t="array" ref="AJ114">_xll.BQL("SEG0000505603 Segment", "SALES_REV_TURN/1M", "FPR="&amp;AJ3, "FPT=Q", "FA_ACT_EST_DATA=A", "ACT_EST_MAPPING=PRECISE", "FS=MRC", "CURRENCY=CHF", "XLFILL=b")</f>
        <v>1774</v>
      </c>
      <c r="AK114" s="28">
        <f>SUM(AG114:AJ114)</f>
        <v>6448</v>
      </c>
      <c r="AL114" s="29" cm="1">
        <f t="array" ref="AL114">_xll.BQL("SEG0000505603 Segment", "SALES_REV_TURN/1M", "FPR="&amp;AL3, "FPT=Q", "FA_ACT_EST_DATA=A", "ACT_EST_MAPPING=PRECISE", "FS=MRC", "CURRENCY=CHF", "XLFILL=b")</f>
        <v>1567</v>
      </c>
      <c r="AM114" s="29" cm="1">
        <f t="array" ref="AM114">_xll.BQL("SEG0000505603 Segment", "SALES_REV_TURN/1M", "FPR="&amp;AM3, "FPT=Q", "FA_ACT_EST_DATA=A", "ACT_EST_MAPPING=PRECISE", "FS=MRC", "CURRENCY=CHF", "XLFILL=b")</f>
        <v>1561</v>
      </c>
      <c r="AN114" s="29" cm="1">
        <f t="array" ref="AN114">_xll.BQL("SEG0000505603 Segment", "SALES_REV_TURN/1M", "FPR="&amp;AN3, "FPT=Q", "FA_ACT_EST_DATA=E", "ACT_EST_MAPPING=PRECISE", "FS=MRC", "CURRENCY=CHF", "XLFILL=b")</f>
        <v>1503.5616247808559</v>
      </c>
      <c r="AO114" s="29" cm="1">
        <f t="array" ref="AO114">_xll.BQL("SEG0000505603 Segment", "SALES_REV_TURN/1M", "FPR="&amp;AO3, "FPT=Q", "FA_ACT_EST_DATA=E", "ACT_EST_MAPPING=PRECISE", "FS=MRC", "CURRENCY=CHF", "XLFILL=b")</f>
        <v>1805.8095955391482</v>
      </c>
      <c r="AP114" s="465">
        <f>SUM(AL114:AO114)</f>
        <v>6437.3712203200039</v>
      </c>
      <c r="AQ114" s="29" cm="1">
        <f t="array" ref="AQ114">_xll.BQL("SEG0000505603 Segment", "SALES_REV_TURN/1M", "FPR="&amp;AQ3, "FPT=Q", "FA_ACT_EST_DATA=E", "ACT_EST_MAPPING=PRECISE", "FS=MRC", "CURRENCY=CHF", "XLFILL=b")</f>
        <v>1618.3568140553939</v>
      </c>
      <c r="AR114" s="29" cm="1">
        <f t="array" ref="AR114">_xll.BQL("SEG0000505603 Segment", "SALES_REV_TURN/1M", "FPR="&amp;AR3, "FPT=Q", "FA_ACT_EST_DATA=E", "ACT_EST_MAPPING=PRECISE", "FS=MRC", "CURRENCY=CHF", "XLFILL=b")</f>
        <v>1620.086752824225</v>
      </c>
      <c r="AS114" s="29" cm="1">
        <f t="array" ref="AS114">_xll.BQL("SEG0000505603 Segment", "SALES_REV_TURN/1M", "FPR="&amp;AS3, "FPT=Q", "FA_ACT_EST_DATA=E", "ACT_EST_MAPPING=PRECISE", "FS=MRC", "CURRENCY=CHF", "XLFILL=b")</f>
        <v>1565.8530196206752</v>
      </c>
      <c r="AT114" s="29" cm="1">
        <f t="array" ref="AT114">_xll.BQL("SEG0000505603 Segment", "SALES_REV_TURN/1M", "FPR="&amp;AT3, "FPT=Q", "FA_ACT_EST_DATA=E", "ACT_EST_MAPPING=PRECISE", "FS=MRC", "CURRENCY=CHF", "XLFILL=b")</f>
        <v>1825.0115629481945</v>
      </c>
      <c r="AU114" s="465">
        <f>SUM(AQ114:AT114)</f>
        <v>6629.3081494484877</v>
      </c>
      <c r="AV114" s="29" cm="1">
        <f t="array" ref="AV114">_xll.BQL("SEG0000505603 Segment", "SALES_REV_TURN/1M", "FPR="&amp;AV3, "FPT=Q", "FA_ACT_EST_DATA=E", "ACT_EST_MAPPING=PRECISE", "FS=MRC", "CURRENCY=CHF", "XLFILL=b")</f>
        <v>1699.9314796949222</v>
      </c>
      <c r="AW114" s="29" cm="1">
        <f t="array" ref="AW114">_xll.BQL("SEG0000505603 Segment", "SALES_REV_TURN/1M", "FPR="&amp;AW3, "FPT=Q", "FA_ACT_EST_DATA=E", "ACT_EST_MAPPING=PRECISE", "FS=MRC", "CURRENCY=CHF", "XLFILL=b")</f>
        <v>1705.0523060343301</v>
      </c>
      <c r="AX114" s="29" cm="1">
        <f t="array" ref="AX114">_xll.BQL("SEG0000505603 Segment", "SALES_REV_TURN/1M", "FPR="&amp;AX3, "FPT=Q", "FA_ACT_EST_DATA=E", "ACT_EST_MAPPING=PRECISE", "FS=MRC", "CURRENCY=CHF", "XLFILL=b")</f>
        <v>1672.113335966465</v>
      </c>
      <c r="AY114" s="29" cm="1">
        <f t="array" ref="AY114">_xll.BQL("SEG0000505603 Segment", "SALES_REV_TURN/1M", "FPR="&amp;AY3, "FPT=Q", "FA_ACT_EST_DATA=E", "ACT_EST_MAPPING=PRECISE", "FS=MRC", "CURRENCY=CHF", "XLFILL=b")</f>
        <v>2012.7190816847551</v>
      </c>
      <c r="AZ114" s="465">
        <f>SUM(AV114:AY114)</f>
        <v>7089.816203380472</v>
      </c>
    </row>
    <row r="115" spans="2:54" hidden="1" outlineLevel="1">
      <c r="B115" s="7" t="s">
        <v>673</v>
      </c>
      <c r="C115" s="6"/>
      <c r="D115" s="6"/>
      <c r="E115" s="18"/>
      <c r="F115" s="18"/>
      <c r="G115" s="18"/>
      <c r="H115" s="19"/>
      <c r="I115" s="19"/>
      <c r="J115" s="19"/>
      <c r="K115" s="19"/>
      <c r="L115" s="18"/>
      <c r="M115" s="19"/>
      <c r="N115" s="19"/>
      <c r="O115" s="19"/>
      <c r="P115" s="19"/>
      <c r="Q115" s="18"/>
      <c r="R115" s="19"/>
      <c r="S115" s="19"/>
      <c r="T115" s="19"/>
      <c r="U115" s="19"/>
      <c r="V115" s="18"/>
      <c r="W115" s="19"/>
      <c r="X115" s="19"/>
      <c r="Y115" s="19"/>
      <c r="Z115" s="19"/>
      <c r="AA115" s="18"/>
      <c r="AB115" s="19">
        <f t="shared" ref="AB115" si="266">AB114/W114-1</f>
        <v>0.1559970566593083</v>
      </c>
      <c r="AC115" s="19">
        <f t="shared" ref="AC115" si="267">AC114/X114-1</f>
        <v>0.13114754098360648</v>
      </c>
      <c r="AD115" s="19">
        <f t="shared" ref="AD115" si="268">AD114/Y114-1</f>
        <v>5.500705218617763E-2</v>
      </c>
      <c r="AE115" s="19">
        <f>AE114/Z114-1</f>
        <v>3.4907597535934309E-2</v>
      </c>
      <c r="AF115" s="18"/>
      <c r="AG115" s="19">
        <f t="shared" ref="AG115:AJ115" si="269">AG114/AB114-1</f>
        <v>1.9732654360280044E-2</v>
      </c>
      <c r="AH115" s="19">
        <f t="shared" si="269"/>
        <v>6.3011972274740202E-4</v>
      </c>
      <c r="AI115" s="19">
        <f t="shared" si="269"/>
        <v>-8.0213903743315829E-3</v>
      </c>
      <c r="AJ115" s="19">
        <f t="shared" si="269"/>
        <v>5.6689342403628551E-3</v>
      </c>
      <c r="AK115" s="18"/>
      <c r="AL115" s="19">
        <f t="shared" ref="AL115" si="270">AL114/AG114-1</f>
        <v>-2.1847690387016283E-2</v>
      </c>
      <c r="AM115" s="19">
        <f t="shared" ref="AM115" si="271">AM114/AH114-1</f>
        <v>-1.700251889168769E-2</v>
      </c>
      <c r="AN115" s="19">
        <f t="shared" ref="AN115" si="272">AN114/AI114-1</f>
        <v>1.318168785771956E-2</v>
      </c>
      <c r="AO115" s="19">
        <f t="shared" ref="AO115:AP115" si="273">AO114/AJ114-1</f>
        <v>1.7931000867614566E-2</v>
      </c>
      <c r="AP115" s="445">
        <f t="shared" si="273"/>
        <v>-1.6483839454087823E-3</v>
      </c>
      <c r="AQ115" s="19">
        <f t="shared" ref="AQ115" si="274">AQ114/AL114-1</f>
        <v>3.2773971956218118E-2</v>
      </c>
      <c r="AR115" s="19">
        <f t="shared" ref="AR115" si="275">AR114/AM114-1</f>
        <v>3.7851859592713089E-2</v>
      </c>
      <c r="AS115" s="19">
        <f t="shared" ref="AS115" si="276">AS114/AN114-1</f>
        <v>4.1429226320469859E-2</v>
      </c>
      <c r="AT115" s="19">
        <f t="shared" ref="AT115:AU115" si="277">AT114/AO114-1</f>
        <v>1.0633439680728607E-2</v>
      </c>
      <c r="AU115" s="445">
        <f t="shared" si="277"/>
        <v>2.9816041759813672E-2</v>
      </c>
      <c r="AV115" s="19">
        <f t="shared" ref="AV115" si="278">AV114/AQ114-1</f>
        <v>5.0405859159768918E-2</v>
      </c>
      <c r="AW115" s="19">
        <f t="shared" ref="AW115" si="279">AW114/AR114-1</f>
        <v>5.2445063859690499E-2</v>
      </c>
      <c r="AX115" s="19">
        <f t="shared" ref="AX115" si="280">AX114/AS114-1</f>
        <v>6.7860977380578946E-2</v>
      </c>
      <c r="AY115" s="19">
        <f t="shared" ref="AY115:AZ115" si="281">AY114/AT114-1</f>
        <v>0.10285278326309921</v>
      </c>
      <c r="AZ115" s="445">
        <f t="shared" si="281"/>
        <v>6.9465477173556334E-2</v>
      </c>
    </row>
    <row r="116" spans="2:54" hidden="1" outlineLevel="1">
      <c r="B116" s="7"/>
      <c r="C116" s="6"/>
      <c r="D116" s="6"/>
      <c r="E116" s="18"/>
      <c r="F116" s="18"/>
      <c r="G116" s="18"/>
      <c r="H116" s="19"/>
      <c r="I116" s="19"/>
      <c r="J116" s="19"/>
      <c r="K116" s="19"/>
      <c r="L116" s="18"/>
      <c r="M116" s="19"/>
      <c r="N116" s="19"/>
      <c r="O116" s="19"/>
      <c r="P116" s="19"/>
      <c r="Q116" s="18"/>
      <c r="R116" s="19"/>
      <c r="S116" s="19"/>
      <c r="T116" s="19"/>
      <c r="U116" s="19"/>
      <c r="V116" s="18"/>
      <c r="W116" s="19"/>
      <c r="X116" s="19"/>
      <c r="Y116" s="19"/>
      <c r="Z116" s="19"/>
      <c r="AA116" s="18"/>
      <c r="AB116" s="19"/>
      <c r="AC116" s="19"/>
      <c r="AD116" s="19"/>
      <c r="AE116" s="19"/>
      <c r="AF116" s="18"/>
      <c r="AG116" s="19"/>
      <c r="AH116" s="19"/>
      <c r="AI116" s="19"/>
      <c r="AJ116" s="19"/>
      <c r="AK116" s="18"/>
      <c r="AL116" s="19"/>
      <c r="AM116" s="19"/>
      <c r="AN116" s="60"/>
      <c r="AO116" s="60"/>
      <c r="AP116" s="445"/>
      <c r="AQ116" s="60"/>
      <c r="AR116" s="60"/>
      <c r="AS116" s="60"/>
      <c r="AT116" s="60"/>
      <c r="AU116" s="445"/>
      <c r="AV116" s="60"/>
      <c r="AW116" s="60"/>
      <c r="AX116" s="60"/>
      <c r="AY116" s="60"/>
      <c r="AZ116" s="445"/>
    </row>
    <row r="117" spans="2:54" hidden="1" outlineLevel="1">
      <c r="B117" s="7" t="s">
        <v>675</v>
      </c>
      <c r="C117" s="6" t="s">
        <v>675</v>
      </c>
      <c r="D117" s="6"/>
      <c r="E117" s="18"/>
      <c r="F117" s="18"/>
      <c r="G117" s="18"/>
      <c r="H117" s="19"/>
      <c r="I117" s="19"/>
      <c r="J117" s="19"/>
      <c r="K117" s="19"/>
      <c r="L117" s="18"/>
      <c r="M117" s="19"/>
      <c r="N117" s="19"/>
      <c r="O117" s="19"/>
      <c r="P117" s="19"/>
      <c r="Q117" s="18"/>
      <c r="R117" s="19"/>
      <c r="S117" s="19"/>
      <c r="T117" s="19"/>
      <c r="U117" s="19"/>
      <c r="V117" s="18"/>
      <c r="W117" s="19"/>
      <c r="X117" s="19"/>
      <c r="Y117" s="19"/>
      <c r="Z117" s="19"/>
      <c r="AA117" s="18">
        <f>IF(ISNUMBER(AA113),AA113,AA115)</f>
        <v>7.0000000000000007E-2</v>
      </c>
      <c r="AB117" s="19">
        <f>IF(ISNUMBER(AB113),AB113,AB115)</f>
        <v>0.17100000000000001</v>
      </c>
      <c r="AC117" s="19">
        <f t="shared" ref="AC117:AE117" si="282">IF(ISNUMBER(AC113),AC113,AC115)</f>
        <v>0.12200000000000001</v>
      </c>
      <c r="AD117" s="19">
        <f t="shared" si="282"/>
        <v>0.04</v>
      </c>
      <c r="AE117" s="19">
        <f t="shared" si="282"/>
        <v>3.5000000000000003E-2</v>
      </c>
      <c r="AF117" s="18">
        <f>IF(ISNUMBER(AF113),AF113,AF115)</f>
        <v>8.8000000000000009E-2</v>
      </c>
      <c r="AG117" s="19">
        <f>IF(ISNUMBER(AG113),AG113,AG115)</f>
        <v>3.3000000000000002E-2</v>
      </c>
      <c r="AH117" s="19">
        <f t="shared" ref="AH117:AJ117" si="283">IF(ISNUMBER(AH113),AH113,AH115)</f>
        <v>1.9000000000000003E-2</v>
      </c>
      <c r="AI117" s="19">
        <f t="shared" si="283"/>
        <v>3.8000000000000006E-2</v>
      </c>
      <c r="AJ117" s="19">
        <f t="shared" si="283"/>
        <v>4.8000000000000001E-2</v>
      </c>
      <c r="AK117" s="18">
        <f>IF(ISNUMBER(AK113),AK113,AK115)</f>
        <v>3.5000000000000003E-2</v>
      </c>
      <c r="AL117" s="19">
        <f>IF(ISNUMBER(AL113),AL113,AL115)</f>
        <v>2.8999999999999998E-2</v>
      </c>
      <c r="AM117" s="19">
        <f t="shared" ref="AM117:AP117" si="284">IF(ISNUMBER(AM113),AM113,AM115)</f>
        <v>6.1000000000000006E-2</v>
      </c>
      <c r="AN117" s="19">
        <f t="shared" si="284"/>
        <v>1.318168785771956E-2</v>
      </c>
      <c r="AO117" s="19">
        <f t="shared" si="284"/>
        <v>1.7931000867614566E-2</v>
      </c>
      <c r="AP117" s="445">
        <f t="shared" si="284"/>
        <v>6.1745298143759772E-2</v>
      </c>
      <c r="AQ117" s="19">
        <f>IF(ISNUMBER(AQ113),AQ113,AQ115)</f>
        <v>3.2773971956218118E-2</v>
      </c>
      <c r="AR117" s="19">
        <f t="shared" ref="AR117:AU117" si="285">IF(ISNUMBER(AR113),AR113,AR115)</f>
        <v>3.7851859592713089E-2</v>
      </c>
      <c r="AS117" s="19">
        <f t="shared" si="285"/>
        <v>4.1429226320469859E-2</v>
      </c>
      <c r="AT117" s="19">
        <f t="shared" si="285"/>
        <v>1.0633439680728607E-2</v>
      </c>
      <c r="AU117" s="445">
        <f t="shared" si="285"/>
        <v>6.1745298143759772E-2</v>
      </c>
      <c r="AV117" s="19">
        <f>IF(ISNUMBER(AV113),AV113,AV115)</f>
        <v>5.0405859159768918E-2</v>
      </c>
      <c r="AW117" s="19">
        <f t="shared" ref="AW117:AZ117" si="286">IF(ISNUMBER(AW113),AW113,AW115)</f>
        <v>5.2445063859690499E-2</v>
      </c>
      <c r="AX117" s="19">
        <f t="shared" si="286"/>
        <v>6.7860977380578946E-2</v>
      </c>
      <c r="AY117" s="19">
        <f t="shared" si="286"/>
        <v>0.10285278326309921</v>
      </c>
      <c r="AZ117" s="445">
        <f t="shared" si="286"/>
        <v>6.1745298143759772E-2</v>
      </c>
    </row>
    <row r="118" spans="2:54" hidden="1" outlineLevel="1">
      <c r="B118" s="7" t="s">
        <v>712</v>
      </c>
      <c r="C118" s="6"/>
      <c r="D118" s="6"/>
      <c r="E118" s="18"/>
      <c r="F118" s="18"/>
      <c r="G118" s="18"/>
      <c r="H118" s="19"/>
      <c r="I118" s="19"/>
      <c r="J118" s="19"/>
      <c r="K118" s="19"/>
      <c r="L118" s="18"/>
      <c r="M118" s="19"/>
      <c r="N118" s="19"/>
      <c r="O118" s="19"/>
      <c r="P118" s="19"/>
      <c r="Q118" s="18"/>
      <c r="R118" s="19"/>
      <c r="S118" s="19"/>
      <c r="T118" s="19"/>
      <c r="U118" s="19"/>
      <c r="V118" s="18"/>
      <c r="W118" s="19"/>
      <c r="X118" s="19"/>
      <c r="Y118" s="19"/>
      <c r="Z118" s="19"/>
      <c r="AA118" s="18">
        <f t="shared" ref="AA118:AZ118" si="287">AA51-AA117</f>
        <v>-3.5000000000000031E-3</v>
      </c>
      <c r="AB118" s="19">
        <f t="shared" si="287"/>
        <v>1.6000000000000014E-2</v>
      </c>
      <c r="AC118" s="19">
        <f t="shared" si="287"/>
        <v>-7.6000000000000012E-2</v>
      </c>
      <c r="AD118" s="19">
        <f t="shared" si="287"/>
        <v>1.2999999999999998E-2</v>
      </c>
      <c r="AE118" s="19">
        <f t="shared" si="287"/>
        <v>-4.3000000000000003E-2</v>
      </c>
      <c r="AF118" s="18">
        <f t="shared" si="287"/>
        <v>-2.6000000000000016E-2</v>
      </c>
      <c r="AG118" s="19">
        <f t="shared" si="287"/>
        <v>-8.6999999999999994E-2</v>
      </c>
      <c r="AH118" s="19">
        <f t="shared" si="287"/>
        <v>5.7999999999999996E-2</v>
      </c>
      <c r="AI118" s="19">
        <f t="shared" si="287"/>
        <v>4.9999999999999975E-3</v>
      </c>
      <c r="AJ118" s="19">
        <f t="shared" si="287"/>
        <v>8.4000000000000005E-2</v>
      </c>
      <c r="AK118" s="18">
        <f t="shared" si="287"/>
        <v>1.7000000000000001E-2</v>
      </c>
      <c r="AL118" s="19">
        <f t="shared" si="287"/>
        <v>-4.2000000000000003E-2</v>
      </c>
      <c r="AM118" s="19">
        <f t="shared" si="287"/>
        <v>-0.11799999999999999</v>
      </c>
      <c r="AN118" s="19">
        <f t="shared" si="287"/>
        <v>-6.4839688261598805E-2</v>
      </c>
      <c r="AO118" s="19">
        <f t="shared" si="287"/>
        <v>-7.1596458391929518E-2</v>
      </c>
      <c r="AP118" s="445">
        <f t="shared" si="287"/>
        <v>-0.10682728869252749</v>
      </c>
      <c r="AQ118" s="19">
        <f t="shared" si="287"/>
        <v>-9.425492851295636E-2</v>
      </c>
      <c r="AR118" s="19">
        <f t="shared" si="287"/>
        <v>-5.8953288149544369E-2</v>
      </c>
      <c r="AS118" s="19">
        <f t="shared" si="287"/>
        <v>-6.828494178814537E-2</v>
      </c>
      <c r="AT118" s="19">
        <f t="shared" si="287"/>
        <v>-3.8829796452528931E-2</v>
      </c>
      <c r="AU118" s="445">
        <f t="shared" si="287"/>
        <v>-9.5486193769752023E-2</v>
      </c>
      <c r="AV118" s="19">
        <f t="shared" si="287"/>
        <v>-7.3055886250803947E-2</v>
      </c>
      <c r="AW118" s="19">
        <f t="shared" si="287"/>
        <v>-7.5187491752305213E-2</v>
      </c>
      <c r="AX118" s="19">
        <f t="shared" si="287"/>
        <v>-8.9927528325986383E-2</v>
      </c>
      <c r="AY118" s="19">
        <f t="shared" si="287"/>
        <v>-0.12492751857087758</v>
      </c>
      <c r="AZ118" s="445">
        <f t="shared" si="287"/>
        <v>-8.4104397908118009E-2</v>
      </c>
    </row>
    <row r="119" spans="2:54" s="11" customFormat="1" hidden="1" outlineLevel="1">
      <c r="B119" s="245" t="s">
        <v>590</v>
      </c>
      <c r="C119" s="33"/>
      <c r="D119" s="33"/>
      <c r="E119" s="36"/>
      <c r="F119" s="37"/>
      <c r="G119" s="37"/>
      <c r="H119" s="35"/>
      <c r="I119" s="35"/>
      <c r="J119" s="35"/>
      <c r="K119" s="35"/>
      <c r="L119" s="37"/>
      <c r="M119" s="35"/>
      <c r="N119" s="35"/>
      <c r="O119" s="35"/>
      <c r="P119" s="35"/>
      <c r="Q119" s="64"/>
      <c r="R119" s="61"/>
      <c r="S119" s="61"/>
      <c r="T119" s="61"/>
      <c r="U119" s="61"/>
      <c r="V119" s="64"/>
      <c r="AA119" s="64"/>
      <c r="AB119" s="61">
        <v>0.16349900000000001</v>
      </c>
      <c r="AC119" s="61">
        <v>0.11407947165775401</v>
      </c>
      <c r="AD119" s="61">
        <v>3.8501388790976379E-2</v>
      </c>
      <c r="AE119" s="61">
        <v>2.7E-2</v>
      </c>
      <c r="AF119" s="64">
        <v>8.2050695895997963E-2</v>
      </c>
      <c r="AG119" s="61">
        <v>2E-3</v>
      </c>
      <c r="AH119" s="61">
        <v>-3.381852551984877E-2</v>
      </c>
      <c r="AI119" s="61">
        <v>-2.5332887700534761E-2</v>
      </c>
      <c r="AJ119" s="61">
        <v>-1.2E-2</v>
      </c>
      <c r="AK119" s="64">
        <v>-1.7075719805559018E-2</v>
      </c>
      <c r="AL119" s="61">
        <v>-1.14E-2</v>
      </c>
      <c r="AM119" s="61">
        <v>2.7571032745591941E-2</v>
      </c>
      <c r="AN119" s="61">
        <v>0.03</v>
      </c>
      <c r="AO119" s="61">
        <v>0.02</v>
      </c>
      <c r="AP119" s="242">
        <v>1.634966377171216E-2</v>
      </c>
      <c r="AQ119" s="181"/>
      <c r="AR119" s="181"/>
      <c r="AS119" s="181"/>
      <c r="AT119" s="181"/>
      <c r="AU119" s="280">
        <v>0.03</v>
      </c>
      <c r="AV119" s="279"/>
      <c r="AW119" s="279"/>
      <c r="AX119" s="279"/>
      <c r="AY119" s="279"/>
      <c r="AZ119" s="280">
        <v>3.5000000000000003E-2</v>
      </c>
      <c r="BB119" s="257"/>
    </row>
    <row r="120" spans="2:54" s="11" customFormat="1" hidden="1" outlineLevel="1">
      <c r="B120" s="245" t="s">
        <v>591</v>
      </c>
      <c r="C120" s="33"/>
      <c r="D120" s="33"/>
      <c r="E120" s="36"/>
      <c r="F120" s="37"/>
      <c r="G120" s="37"/>
      <c r="H120" s="35"/>
      <c r="I120" s="35"/>
      <c r="J120" s="35"/>
      <c r="K120" s="35"/>
      <c r="L120" s="37"/>
      <c r="M120" s="35"/>
      <c r="N120" s="35"/>
      <c r="O120" s="35"/>
      <c r="P120" s="35"/>
      <c r="Q120" s="64"/>
      <c r="R120" s="61"/>
      <c r="S120" s="61"/>
      <c r="T120" s="61"/>
      <c r="U120" s="61"/>
      <c r="V120" s="64"/>
      <c r="AA120" s="64"/>
      <c r="AB120" s="61">
        <v>8.0199999999999994E-3</v>
      </c>
      <c r="AC120" s="61">
        <v>7.9806203208556137E-3</v>
      </c>
      <c r="AD120" s="61">
        <v>2.1064504758547785E-3</v>
      </c>
      <c r="AE120" s="61">
        <v>5.0000000000000001E-3</v>
      </c>
      <c r="AF120" s="64">
        <v>5.7103407256351444E-3</v>
      </c>
      <c r="AG120" s="61">
        <v>3.1E-2</v>
      </c>
      <c r="AH120" s="61">
        <v>5.2889098928796473E-2</v>
      </c>
      <c r="AI120" s="61">
        <v>6.3776737967914457E-2</v>
      </c>
      <c r="AJ120" s="61">
        <v>5.8400000000000001E-2</v>
      </c>
      <c r="AK120" s="64">
        <v>5.1584033403963607E-2</v>
      </c>
      <c r="AL120" s="61">
        <v>0.04</v>
      </c>
      <c r="AM120" s="61">
        <v>3.3973551637279602E-2</v>
      </c>
      <c r="AN120" s="61">
        <v>3.867771119494301E-2</v>
      </c>
      <c r="AO120" s="61">
        <v>4.0948553882089955E-2</v>
      </c>
      <c r="AP120" s="242">
        <v>3.8452997149607426E-2</v>
      </c>
      <c r="AQ120" s="181"/>
      <c r="AR120" s="181"/>
      <c r="AS120" s="181"/>
      <c r="AT120" s="181"/>
      <c r="AU120" s="280">
        <v>0.02</v>
      </c>
      <c r="AV120" s="279"/>
      <c r="AW120" s="279"/>
      <c r="AX120" s="279"/>
      <c r="AY120" s="279"/>
      <c r="AZ120" s="280">
        <v>0.01</v>
      </c>
      <c r="BB120" s="257"/>
    </row>
    <row r="121" spans="2:54" s="11" customFormat="1" hidden="1" outlineLevel="1">
      <c r="B121" s="245" t="s">
        <v>592</v>
      </c>
      <c r="C121" s="33"/>
      <c r="D121" s="33"/>
      <c r="E121" s="36"/>
      <c r="F121" s="37"/>
      <c r="G121" s="37"/>
      <c r="H121" s="35"/>
      <c r="I121" s="35"/>
      <c r="J121" s="35"/>
      <c r="K121" s="35"/>
      <c r="L121" s="37"/>
      <c r="M121" s="35"/>
      <c r="N121" s="35"/>
      <c r="O121" s="35"/>
      <c r="P121" s="35"/>
      <c r="Q121" s="64"/>
      <c r="R121" s="61"/>
      <c r="S121" s="61"/>
      <c r="T121" s="61"/>
      <c r="U121" s="61"/>
      <c r="V121" s="64"/>
      <c r="W121" s="61"/>
      <c r="X121" s="61"/>
      <c r="Y121" s="61"/>
      <c r="Z121" s="61"/>
      <c r="AA121" s="64"/>
      <c r="AB121" s="281">
        <f>AB119/AB120</f>
        <v>20.386408977556112</v>
      </c>
      <c r="AC121" s="282">
        <f t="shared" ref="AC121:AP121" si="288">AC119/AC120</f>
        <v>14.294561960256667</v>
      </c>
      <c r="AD121" s="282">
        <f t="shared" si="288"/>
        <v>18.277851405622467</v>
      </c>
      <c r="AE121" s="282">
        <f t="shared" si="288"/>
        <v>5.3999999999999995</v>
      </c>
      <c r="AF121" s="283">
        <f t="shared" si="288"/>
        <v>14.368791607767276</v>
      </c>
      <c r="AG121" s="282">
        <f t="shared" si="288"/>
        <v>6.4516129032258063E-2</v>
      </c>
      <c r="AH121" s="282">
        <f t="shared" si="288"/>
        <v>-0.63942336331685234</v>
      </c>
      <c r="AI121" s="282">
        <f t="shared" si="288"/>
        <v>-0.39721203228173135</v>
      </c>
      <c r="AJ121" s="282">
        <f t="shared" si="288"/>
        <v>-0.20547945205479451</v>
      </c>
      <c r="AK121" s="283">
        <f t="shared" si="288"/>
        <v>-0.33102723224134228</v>
      </c>
      <c r="AL121" s="282">
        <f t="shared" si="288"/>
        <v>-0.28500000000000003</v>
      </c>
      <c r="AM121" s="282">
        <f t="shared" si="288"/>
        <v>0.81154402224281741</v>
      </c>
      <c r="AN121" s="284">
        <f t="shared" si="288"/>
        <v>0.77564051938839662</v>
      </c>
      <c r="AO121" s="284">
        <f t="shared" si="288"/>
        <v>0.48841773649905579</v>
      </c>
      <c r="AP121" s="285">
        <f t="shared" si="288"/>
        <v>0.42518568079625169</v>
      </c>
      <c r="AU121" s="285">
        <f t="shared" ref="AU121" si="289">AU119/AU120</f>
        <v>1.5</v>
      </c>
      <c r="AV121" s="269"/>
      <c r="AW121" s="269"/>
      <c r="AX121" s="269"/>
      <c r="AY121" s="269"/>
      <c r="AZ121" s="285">
        <f t="shared" ref="AZ121" si="290">AZ119/AZ120</f>
        <v>3.5000000000000004</v>
      </c>
      <c r="BB121" s="257"/>
    </row>
    <row r="122" spans="2:54" hidden="1" outlineLevel="1">
      <c r="B122" s="225" t="s">
        <v>908</v>
      </c>
      <c r="C122" s="6"/>
      <c r="D122" s="6"/>
      <c r="E122" s="18"/>
      <c r="F122" s="18"/>
      <c r="G122" s="18"/>
      <c r="H122" s="19"/>
      <c r="I122" s="19"/>
      <c r="J122" s="19"/>
      <c r="K122" s="19"/>
      <c r="L122" s="18"/>
      <c r="M122" s="19"/>
      <c r="N122" s="19"/>
      <c r="O122" s="19"/>
      <c r="P122" s="19"/>
      <c r="Q122" s="18"/>
      <c r="R122" s="19"/>
      <c r="S122" s="19"/>
      <c r="T122" s="19"/>
      <c r="U122" s="19"/>
      <c r="V122" s="18"/>
      <c r="W122" s="19"/>
      <c r="X122" s="19"/>
      <c r="Y122" s="19"/>
      <c r="Z122" s="19"/>
      <c r="AA122" s="18"/>
      <c r="AB122" s="19"/>
      <c r="AC122" s="19"/>
      <c r="AD122" s="19"/>
      <c r="AE122" s="19"/>
      <c r="AF122" s="18"/>
      <c r="AG122" s="19"/>
      <c r="AH122" s="19"/>
      <c r="AI122" s="19"/>
      <c r="AJ122" s="19"/>
      <c r="AK122" s="18"/>
      <c r="AL122" s="19"/>
      <c r="AM122" s="19"/>
      <c r="AN122" s="501"/>
      <c r="AO122" s="501"/>
      <c r="AP122" s="502"/>
      <c r="AQ122" s="501"/>
      <c r="AR122" s="60"/>
      <c r="AS122" s="60"/>
      <c r="AT122" s="60"/>
      <c r="AU122" s="313"/>
      <c r="AV122" s="60"/>
      <c r="AW122" s="60"/>
      <c r="AX122" s="60"/>
      <c r="AY122" s="60"/>
      <c r="AZ122" s="313"/>
    </row>
    <row r="123" spans="2:54" s="11" customFormat="1" hidden="1" outlineLevel="1">
      <c r="B123" s="245" t="s">
        <v>781</v>
      </c>
      <c r="C123" s="33" t="s">
        <v>783</v>
      </c>
      <c r="D123" s="33" t="s">
        <v>360</v>
      </c>
      <c r="E123" s="36"/>
      <c r="F123" s="37"/>
      <c r="G123" s="37"/>
      <c r="H123" s="35"/>
      <c r="I123" s="35"/>
      <c r="J123" s="35"/>
      <c r="K123" s="35"/>
      <c r="L123" s="37"/>
      <c r="M123" s="35"/>
      <c r="N123" s="35"/>
      <c r="O123" s="35"/>
      <c r="P123" s="35"/>
      <c r="Q123" s="64"/>
      <c r="R123" s="19" cm="1">
        <f t="array" ref="R123">_xll.VAData($D123, R$5, $C123, "Consensus", "CD", "IMPL","","")/100</f>
        <v>7.8100000000000003E-2</v>
      </c>
      <c r="S123" s="19" cm="1">
        <f t="array" ref="S123">_xll.VAData($D123, S$5, $C123, "Consensus", "CD", "IMPL","","")/100</f>
        <v>-1.9833333333333328E-2</v>
      </c>
      <c r="T123" s="19" cm="1">
        <f t="array" ref="T123">_xll.VAData($D123, T$5, $C123, "Consensus", "CD", "IMPL","","")/100</f>
        <v>0.04</v>
      </c>
      <c r="U123" s="19" cm="1">
        <f t="array" ref="U123">_xll.VAData($D123, U$5, $C123, "Consensus", "CD", "IMPL","","")/100</f>
        <v>4.7507122502374148E-2</v>
      </c>
      <c r="V123" s="18" cm="1">
        <f t="array" ref="V123">_xll.VAData($D123, V$5, $C123, "Consensus", "CD", "IMPL","","")/100</f>
        <v>4.7400000000000005E-2</v>
      </c>
      <c r="W123" s="19" cm="1">
        <f t="array" ref="W123">_xll.VAData($D123, W$5, $C123, "Consensus", "CD", "IMPL","","")/100</f>
        <v>0.13016666666666668</v>
      </c>
      <c r="X123" s="19" cm="1">
        <f t="array" ref="X123">_xll.VAData($D123, X$5, $C123, "Consensus", "CD", "IMPL","","")/100</f>
        <v>0.22933333333333333</v>
      </c>
      <c r="Y123" s="19" cm="1">
        <f t="array" ref="Y123">_xll.VAData($D123, Y$5, $C123, "Consensus", "CD", "IMPL","","")/100</f>
        <v>0.1014009324</v>
      </c>
      <c r="Z123" s="19" cm="1">
        <f t="array" ref="Z123">_xll.VAData($D123, Z$5, $C123, "Consensus", "CD", "IMPL","","")/100</f>
        <v>0.13</v>
      </c>
      <c r="AA123" s="18" cm="1">
        <f t="array" ref="AA123">_xll.VAData($D123, AA$5, $C123, "Consensus", "CD", "IMPL","","")/100</f>
        <v>9.4299999999999995E-2</v>
      </c>
      <c r="AB123" s="19" cm="1">
        <f t="array" ref="AB123">_xll.VAData($D123, AB$5, $C123, "Consensus", "CD", "IMPL","","")/100</f>
        <v>0</v>
      </c>
      <c r="AC123" s="19" cm="1">
        <f t="array" ref="AC123">_xll.VAData($D123, AC$5, $C123, "Consensus", "CD", "IMPL","","")/100</f>
        <v>-0.02</v>
      </c>
      <c r="AD123" s="19" cm="1">
        <f t="array" ref="AD123">_xll.VAData($D123, AD$5, $C123, "Consensus", "CD", "IMPL","","")/100</f>
        <v>0.05</v>
      </c>
      <c r="AE123" s="19" cm="1">
        <f t="array" ref="AE123">_xll.VAData($D123, AE$5, $C123, "Consensus", "CD", "IMPL","","")/100</f>
        <v>-0.01</v>
      </c>
      <c r="AF123" s="18" cm="1">
        <f t="array" ref="AF123">_xll.VAData($D123, AF$5, $C123, "Consensus", "CD", "IMPL","","")/100</f>
        <v>0.02</v>
      </c>
      <c r="AG123" s="19" cm="1">
        <f t="array" ref="AG123">_xll.VAData($D123, AG$5, $C123, "Consensus", "CD", "IMPL","","")/100</f>
        <v>-0.06</v>
      </c>
      <c r="AH123" s="19" cm="1">
        <f t="array" ref="AH123">_xll.VAData($D123, AH$5, $C123, "Consensus", "CD", "IMPL","","")/100</f>
        <v>-0.14000000000000001</v>
      </c>
      <c r="AI123" s="19" cm="1">
        <f t="array" ref="AI123">_xll.VAData($D123, AI$5, $C123, "Consensus", "CD", "IMPL","","")/100</f>
        <v>-0.13</v>
      </c>
      <c r="AJ123" s="19" cm="1">
        <f t="array" ref="AJ123">_xll.VAData($D123, AJ$5, $C123, "Consensus", "CD", "IMPL","","")/100</f>
        <v>-0.08</v>
      </c>
      <c r="AK123" s="18" cm="1">
        <f t="array" ref="AK123">_xll.VAData($D123, AK$5, $C123, "Consensus", "CD", "IMPL","","")/100</f>
        <v>-7.22E-2</v>
      </c>
      <c r="AL123" s="61" cm="1">
        <f t="array" ref="AL123">_xll.VAData($D123, AL$5, $C123, "Consensus", "CD", "IMPL","","")/100</f>
        <v>-0.03</v>
      </c>
      <c r="AM123" s="61" cm="1">
        <f t="array" ref="AM123">_xll.VAData($D123, AM$5, $C123, "Consensus", "CD", "IMPL","","")/100</f>
        <v>4.1500000000000002E-2</v>
      </c>
      <c r="AN123" s="180" cm="1">
        <f t="array" ref="AN123">_xll.VAData($D123, AN$5, $C123, "Consensus", "CD", "IMPL","","")/100</f>
        <v>3.291666666666667E-2</v>
      </c>
      <c r="AO123" s="180" cm="1">
        <f t="array" ref="AO123">_xll.VAData($D123, AO$5, $C123, "Consensus", "CD", "IMPL","","")/100</f>
        <v>2.6249999999999999E-2</v>
      </c>
      <c r="AP123" s="239" cm="1">
        <f t="array" ref="AP123">_xll.VAData($D123, AP$5, $C123, "Consensus", "CD", "IMPL","","")/100</f>
        <v>-8.0000000000000004E-4</v>
      </c>
      <c r="AQ123" s="61" cm="1">
        <f t="array" ref="AQ123">_xll.VAData($D123, AQ$5, $C123, "Consensus", "CD", "IMPL","","")/100</f>
        <v>2.0609083998796632E-2</v>
      </c>
      <c r="AR123" s="61" cm="1">
        <f t="array" ref="AR123">_xll.VAData($D123, AR$5, $C123, "Consensus", "CD", "IMPL","","")/100</f>
        <v>2.1000000000000001E-2</v>
      </c>
      <c r="AS123" s="180" cm="1">
        <f t="array" ref="AS123">_xll.VAData($D123, AS$5, $C123, "Consensus", "CD", "IMPL","","")/100</f>
        <v>1.9E-2</v>
      </c>
      <c r="AT123" s="180" cm="1">
        <f t="array" ref="AT123">_xll.VAData($D123, AT$5, $C123, "Consensus", "CD", "IMPL","","")/100</f>
        <v>1.9E-2</v>
      </c>
      <c r="AU123" s="239" cm="1">
        <f t="array" ref="AU123">_xll.VAData($D123, AU$5, $C123, "Consensus", "CD", "IMPL","","")/100</f>
        <v>1.9699999999999999E-2</v>
      </c>
      <c r="AV123" s="61" cm="1">
        <f t="array" ref="AV123">_xll.VAData($D123, AV$5, $C123, "Consensus", "CD", "IMPL","","")/100</f>
        <v>1.1327649499599779E-2</v>
      </c>
      <c r="AW123" s="61" cm="1">
        <f t="array" ref="AW123">_xll.VAData($D123, AW$5, $C123, "Consensus", "CD", "IMPL","","")/100</f>
        <v>6.6666666666666697E-3</v>
      </c>
      <c r="AX123" s="180" cm="1">
        <f t="array" ref="AX123">_xll.VAData($D123, AX$5, $C123, "Consensus", "CD", "IMPL","","")/100</f>
        <v>6.6666666666666697E-3</v>
      </c>
      <c r="AY123" s="180" cm="1">
        <f t="array" ref="AY123">_xll.VAData($D123, AY$5, $C123, "Consensus", "CD", "IMPL","","")/100</f>
        <v>6.6666666666666697E-3</v>
      </c>
      <c r="AZ123" s="239" cm="1">
        <f t="array" ref="AZ123">_xll.VAData($D123, AZ$5, $C123, "Consensus", "CD", "IMPL","","")/100</f>
        <v>9.7000000000000003E-3</v>
      </c>
      <c r="BB123" s="257"/>
    </row>
    <row r="124" spans="2:54" s="11" customFormat="1" hidden="1" outlineLevel="1">
      <c r="B124" s="245" t="s">
        <v>591</v>
      </c>
      <c r="C124" s="33" t="s">
        <v>784</v>
      </c>
      <c r="D124" s="33" t="s">
        <v>360</v>
      </c>
      <c r="E124" s="36"/>
      <c r="F124" s="37"/>
      <c r="G124" s="37"/>
      <c r="H124" s="35"/>
      <c r="I124" s="35"/>
      <c r="J124" s="35"/>
      <c r="K124" s="35"/>
      <c r="L124" s="37"/>
      <c r="M124" s="35"/>
      <c r="N124" s="35"/>
      <c r="O124" s="35"/>
      <c r="P124" s="35"/>
      <c r="Q124" s="64"/>
      <c r="R124" s="19" cm="1">
        <f t="array" ref="R124">_xll.VAData($D124, R$5, $C124, "Consensus", "CD", "IMPL","","")/100</f>
        <v>-4.0522450440000003E-2</v>
      </c>
      <c r="S124" s="19" cm="1">
        <f t="array" ref="S124">_xll.VAData($D124, S$5, $C124, "Consensus", "CD", "IMPL","","")/100</f>
        <v>-2.9540347296578152E-2</v>
      </c>
      <c r="T124" s="19" cm="1">
        <f t="array" ref="T124">_xll.VAData($D124, T$5, $C124, "Consensus", "CD", "IMPL","","")/100</f>
        <v>-4.0917599563109433E-2</v>
      </c>
      <c r="U124" s="19" cm="1">
        <f t="array" ref="U124">_xll.VAData($D124, U$5, $C124, "Consensus", "CD", "IMPL","","")/100</f>
        <v>-5.0833333333333328E-2</v>
      </c>
      <c r="V124" s="18" cm="1">
        <f t="array" ref="V124">_xll.VAData($D124, V$5, $C124, "Consensus", "CD", "IMPL","","")/100</f>
        <v>-3.3500000000000002E-2</v>
      </c>
      <c r="W124" s="19" cm="1">
        <f t="array" ref="W124">_xll.VAData($D124, W$5, $C124, "Consensus", "CD", "IMPL","","")/100</f>
        <v>-2.92E-2</v>
      </c>
      <c r="X124" s="19" cm="1">
        <f t="array" ref="X124">_xll.VAData($D124, X$5, $C124, "Consensus", "CD", "IMPL","","")/100</f>
        <v>0</v>
      </c>
      <c r="Y124" s="19" cm="1">
        <f t="array" ref="Y124">_xll.VAData($D124, Y$5, $C124, "Consensus", "CD", "IMPL","","")/100</f>
        <v>-8.5314685324008998E-3</v>
      </c>
      <c r="Z124" s="19" cm="1">
        <f t="array" ref="Z124">_xll.VAData($D124, Z$5, $C124, "Consensus", "CD", "IMPL","","")/100</f>
        <v>-0.01</v>
      </c>
      <c r="AA124" s="18" cm="1">
        <f t="array" ref="AA124">_xll.VAData($D124, AA$5, $C124, "Consensus", "CD", "IMPL","","")/100</f>
        <v>-1.3100000000000001E-2</v>
      </c>
      <c r="AB124" s="19" cm="1">
        <f t="array" ref="AB124">_xll.VAData($D124, AB$5, $C124, "Consensus", "CD", "IMPL","","")/100</f>
        <v>5.1581843191196998E-4</v>
      </c>
      <c r="AC124" s="19" cm="1">
        <f t="array" ref="AC124">_xll.VAData($D124, AC$5, $C124, "Consensus", "CD", "IMPL","","")/100</f>
        <v>-2.95066269649705E-2</v>
      </c>
      <c r="AD124" s="19" cm="1">
        <f t="array" ref="AD124">_xll.VAData($D124, AD$5, $C124, "Consensus", "CD", "IMPL","","")/100</f>
        <v>0.03</v>
      </c>
      <c r="AE124" s="19" cm="1">
        <f t="array" ref="AE124">_xll.VAData($D124, AE$5, $C124, "Consensus", "CD", "IMPL","","")/100</f>
        <v>6.9471481067263141E-2</v>
      </c>
      <c r="AF124" s="18" cm="1">
        <f t="array" ref="AF124">_xll.VAData($D124, AF$5, $C124, "Consensus", "CD", "IMPL","","")/100</f>
        <v>4.4400000000000002E-2</v>
      </c>
      <c r="AG124" s="19" cm="1">
        <f t="array" ref="AG124">_xll.VAData($D124, AG$5, $C124, "Consensus", "CD", "IMPL","","")/100</f>
        <v>0.16997656205339282</v>
      </c>
      <c r="AH124" s="19" cm="1">
        <f t="array" ref="AH124">_xll.VAData($D124, AH$5, $C124, "Consensus", "CD", "IMPL","","")/100</f>
        <v>0.24011659302896415</v>
      </c>
      <c r="AI124" s="19" cm="1">
        <f t="array" ref="AI124">_xll.VAData($D124, AI$5, $C124, "Consensus", "CD", "IMPL","","")/100</f>
        <v>0.23004908799669299</v>
      </c>
      <c r="AJ124" s="19" cm="1">
        <f t="array" ref="AJ124">_xll.VAData($D124, AJ$5, $C124, "Consensus", "CD", "IMPL","","")/100</f>
        <v>0.19012642288707568</v>
      </c>
      <c r="AK124" s="18" cm="1">
        <f t="array" ref="AK124">_xll.VAData($D124, AK$5, $C124, "Consensus", "CD", "IMPL","","")/100</f>
        <v>0.15620000000000001</v>
      </c>
      <c r="AL124" s="61" cm="1">
        <f t="array" ref="AL124">_xll.VAData($D124, AL$5, $C124, "Consensus", "CD", "IMPL","","")/100</f>
        <v>9.9998969916666666E-2</v>
      </c>
      <c r="AM124" s="61" cm="1">
        <f t="array" ref="AM124">_xll.VAData($D124, AM$5, $C124, "Consensus", "CD", "IMPL","","")/100</f>
        <v>2.9154262166666699E-3</v>
      </c>
      <c r="AN124" s="180" cm="1">
        <f t="array" ref="AN124">_xll.VAData($D124, AN$5, $C124, "Consensus", "CD", "IMPL","","")/100</f>
        <v>-3.7499999999999999E-2</v>
      </c>
      <c r="AO124" s="180" cm="1">
        <f t="array" ref="AO124">_xll.VAData($D124, AO$5, $C124, "Consensus", "CD", "IMPL","","")/100</f>
        <v>-3.4166666666666672E-2</v>
      </c>
      <c r="AP124" s="239" cm="1">
        <f t="array" ref="AP124">_xll.VAData($D124, AP$5, $C124, "Consensus", "CD", "IMPL","","")/100</f>
        <v>2.7099999999999999E-2</v>
      </c>
      <c r="AQ124" s="61" cm="1">
        <f t="array" ref="AQ124">_xll.VAData($D124, AQ$5, $C124, "Consensus", "CD", "IMPL","","")/100</f>
        <v>-3.2436861614741269E-2</v>
      </c>
      <c r="AR124" s="61" cm="1">
        <f t="array" ref="AR124">_xll.VAData($D124, AR$5, $C124, "Consensus", "CD", "IMPL","","")/100</f>
        <v>-1.54E-2</v>
      </c>
      <c r="AS124" s="180" cm="1">
        <f t="array" ref="AS124">_xll.VAData($D124, AS$5, $C124, "Consensus", "CD", "IMPL","","")/100</f>
        <v>-1.4000000000000002E-3</v>
      </c>
      <c r="AT124" s="180" cm="1">
        <f t="array" ref="AT124">_xll.VAData($D124, AT$5, $C124, "Consensus", "CD", "IMPL","","")/100</f>
        <v>-1.4000000000000002E-3</v>
      </c>
      <c r="AU124" s="239" cm="1">
        <f t="array" ref="AU124">_xll.VAData($D124, AU$5, $C124, "Consensus", "CD", "IMPL","","")/100</f>
        <v>-1.1899999999999999E-2</v>
      </c>
      <c r="AV124" s="61" cm="1">
        <f t="array" ref="AV124">_xll.VAData($D124, AV$5, $C124, "Consensus", "CD", "IMPL","","")/100</f>
        <v>-1.8011890841600861E-2</v>
      </c>
      <c r="AW124" s="61" cm="1">
        <f t="array" ref="AW124">_xll.VAData($D124, AW$5, $C124, "Consensus", "CD", "IMPL","","")/100</f>
        <v>4.3333333333333305E-3</v>
      </c>
      <c r="AX124" s="180" cm="1">
        <f t="array" ref="AX124">_xll.VAData($D124, AX$5, $C124, "Consensus", "CD", "IMPL","","")/100</f>
        <v>4.3333333333333305E-3</v>
      </c>
      <c r="AY124" s="180" cm="1">
        <f t="array" ref="AY124">_xll.VAData($D124, AY$5, $C124, "Consensus", "CD", "IMPL","","")/100</f>
        <v>4.3333333333333305E-3</v>
      </c>
      <c r="AZ124" s="239" cm="1">
        <f t="array" ref="AZ124">_xll.VAData($D124, AZ$5, $C124, "Consensus", "CD", "IMPL","","")/100</f>
        <v>7.000000000000001E-4</v>
      </c>
      <c r="BB124" s="257"/>
    </row>
    <row r="125" spans="2:54" s="11" customFormat="1" hidden="1" outlineLevel="1">
      <c r="B125" s="245" t="s">
        <v>782</v>
      </c>
      <c r="C125" s="33" t="s">
        <v>785</v>
      </c>
      <c r="D125" s="33" t="s">
        <v>360</v>
      </c>
      <c r="E125" s="36"/>
      <c r="F125" s="37"/>
      <c r="G125" s="37"/>
      <c r="H125" s="35"/>
      <c r="I125" s="35"/>
      <c r="J125" s="35"/>
      <c r="K125" s="35"/>
      <c r="L125" s="37"/>
      <c r="M125" s="35"/>
      <c r="N125" s="35"/>
      <c r="O125" s="35"/>
      <c r="P125" s="35"/>
      <c r="Q125" s="64"/>
      <c r="R125" s="19" cm="1">
        <f t="array" ref="R125">_xll.VAData($D125, R$5, $C125, "Consensus", "CD", "IMPL","","")/100</f>
        <v>3.757754956E-2</v>
      </c>
      <c r="S125" s="19" cm="1">
        <f t="array" ref="S125">_xll.VAData($D125, S$5, $C125, "Consensus", "CD", "IMPL","","")/100</f>
        <v>-4.9373680629911473E-2</v>
      </c>
      <c r="T125" s="19" cm="1">
        <f t="array" ref="T125">_xll.VAData($D125, T$5, $C125, "Consensus", "CD", "IMPL","","")/100</f>
        <v>-9.1759956310944E-4</v>
      </c>
      <c r="U125" s="19" cm="1">
        <f t="array" ref="U125">_xll.VAData($D125, U$5, $C125, "Consensus", "CD", "IMPL","","")/100</f>
        <v>-3.9914529971510296E-3</v>
      </c>
      <c r="V125" s="18" cm="1">
        <f t="array" ref="V125">_xll.VAData($D125, V$5, $C125, "Consensus", "CD", "IMPL","","")/100</f>
        <v>1.3899999999999999E-2</v>
      </c>
      <c r="W125" s="19" cm="1">
        <f t="array" ref="W125">_xll.VAData($D125, W$5, $C125, "Consensus", "CD", "IMPL","","")/100</f>
        <v>0.10125000000000001</v>
      </c>
      <c r="X125" s="19" cm="1">
        <f t="array" ref="X125">_xll.VAData($D125, X$5, $C125, "Consensus", "CD", "IMPL","","")/100</f>
        <v>0.22796549996421167</v>
      </c>
      <c r="Y125" s="19" cm="1">
        <f t="array" ref="Y125">_xll.VAData($D125, Y$5, $C125, "Consensus", "CD", "IMPL","","")/100</f>
        <v>9.2869463867599103E-2</v>
      </c>
      <c r="Z125" s="19" cm="1">
        <f t="array" ref="Z125">_xll.VAData($D125, Z$5, $C125, "Consensus", "CD", "IMPL","","")/100</f>
        <v>0.12002624671916</v>
      </c>
      <c r="AA125" s="18" cm="1">
        <f t="array" ref="AA125">_xll.VAData($D125, AA$5, $C125, "Consensus", "CD", "IMPL","","")/100</f>
        <v>8.1500000000000003E-2</v>
      </c>
      <c r="AB125" s="19" cm="1">
        <f t="array" ref="AB125">_xll.VAData($D125, AB$5, $C125, "Consensus", "CD", "IMPL","","")/100</f>
        <v>6.4477303988996998E-4</v>
      </c>
      <c r="AC125" s="19" cm="1">
        <f t="array" ref="AC125">_xll.VAData($D125, AC$5, $C125, "Consensus", "CD", "IMPL","","")/100</f>
        <v>-4.9506626964970497E-2</v>
      </c>
      <c r="AD125" s="19" cm="1">
        <f t="array" ref="AD125">_xll.VAData($D125, AD$5, $C125, "Consensus", "CD", "IMPL","","")/100</f>
        <v>0.08</v>
      </c>
      <c r="AE125" s="19" cm="1">
        <f t="array" ref="AE125">_xll.VAData($D125, AE$5, $C125, "Consensus", "CD", "IMPL","","")/100</f>
        <v>5.9471481067263146E-2</v>
      </c>
      <c r="AF125" s="18" cm="1">
        <f t="array" ref="AF125">_xll.VAData($D125, AF$5, $C125, "Consensus", "CD", "IMPL","","")/100</f>
        <v>6.4399999999999999E-2</v>
      </c>
      <c r="AG125" s="19" cm="1">
        <f t="array" ref="AG125">_xll.VAData($D125, AG$5, $C125, "Consensus", "CD", "IMPL","","")/100</f>
        <v>0.10997656205339283</v>
      </c>
      <c r="AH125" s="19" cm="1">
        <f t="array" ref="AH125">_xll.VAData($D125, AH$5, $C125, "Consensus", "CD", "IMPL","","")/100</f>
        <v>0.10011659302896417</v>
      </c>
      <c r="AI125" s="19" cm="1">
        <f t="array" ref="AI125">_xll.VAData($D125, AI$5, $C125, "Consensus", "CD", "IMPL","","")/100</f>
        <v>0.100049087996693</v>
      </c>
      <c r="AJ125" s="19" cm="1">
        <f t="array" ref="AJ125">_xll.VAData($D125, AJ$5, $C125, "Consensus", "CD", "IMPL","","")/100</f>
        <v>0.11012642288707568</v>
      </c>
      <c r="AK125" s="18" cm="1">
        <f t="array" ref="AK125">_xll.VAData($D125, AK$5, $C125, "Consensus", "CD", "IMPL","","")/100</f>
        <v>8.3900000000000002E-2</v>
      </c>
      <c r="AL125" s="61" cm="1">
        <f t="array" ref="AL125">_xll.VAData($D125, AL$5, $C125, "Consensus", "CD", "IMPL","","")/100</f>
        <v>6.9998969916666667E-2</v>
      </c>
      <c r="AM125" s="61" cm="1">
        <f t="array" ref="AM125">_xll.VAData($D125, AM$5, $C125, "Consensus", "CD", "IMPL","","")/100</f>
        <v>4.4415426216666665E-2</v>
      </c>
      <c r="AN125" s="180" cm="1">
        <f t="array" ref="AN125">_xll.VAData($D125, AN$5, $C125, "Consensus", "CD", "IMPL","","")/100</f>
        <v>-4.5833333333333299E-3</v>
      </c>
      <c r="AO125" s="180" cm="1">
        <f t="array" ref="AO125">_xll.VAData($D125, AO$5, $C125, "Consensus", "CD", "IMPL","","")/100</f>
        <v>-7.9166666666666691E-3</v>
      </c>
      <c r="AP125" s="239" cm="1">
        <f t="array" ref="AP125">_xll.VAData($D125, AP$5, $C125, "Consensus", "CD", "IMPL","","")/100</f>
        <v>2.63E-2</v>
      </c>
      <c r="AQ125" s="61" cm="1">
        <f t="array" ref="AQ125">_xll.VAData($D125, AQ$5, $C125, "Consensus", "CD", "IMPL","","")/100</f>
        <v>-1.1827777615944651E-2</v>
      </c>
      <c r="AR125" s="61" cm="1">
        <f t="array" ref="AR125">_xll.VAData($D125, AR$5, $C125, "Consensus", "CD", "IMPL","","")/100</f>
        <v>5.6000000000000008E-3</v>
      </c>
      <c r="AS125" s="180" cm="1">
        <f t="array" ref="AS125">_xll.VAData($D125, AS$5, $C125, "Consensus", "CD", "IMPL","","")/100</f>
        <v>1.7600000000000001E-2</v>
      </c>
      <c r="AT125" s="180" cm="1">
        <f t="array" ref="AT125">_xll.VAData($D125, AT$5, $C125, "Consensus", "CD", "IMPL","","")/100</f>
        <v>1.7600000000000001E-2</v>
      </c>
      <c r="AU125" s="239" cm="1">
        <f t="array" ref="AU125">_xll.VAData($D125, AU$5, $C125, "Consensus", "CD", "IMPL","","")/100</f>
        <v>7.8000000000000005E-3</v>
      </c>
      <c r="AV125" s="61" cm="1">
        <f t="array" ref="AV125">_xll.VAData($D125, AV$5, $C125, "Consensus", "CD", "IMPL","","")/100</f>
        <v>-6.6842413620010598E-3</v>
      </c>
      <c r="AW125" s="61" cm="1">
        <f t="array" ref="AW125">_xll.VAData($D125, AW$5, $C125, "Consensus", "CD", "IMPL","","")/100</f>
        <v>1.1000000000000001E-2</v>
      </c>
      <c r="AX125" s="180" cm="1">
        <f t="array" ref="AX125">_xll.VAData($D125, AX$5, $C125, "Consensus", "CD", "IMPL","","")/100</f>
        <v>1.1000000000000001E-2</v>
      </c>
      <c r="AY125" s="180" cm="1">
        <f t="array" ref="AY125">_xll.VAData($D125, AY$5, $C125, "Consensus", "CD", "IMPL","","")/100</f>
        <v>1.1000000000000001E-2</v>
      </c>
      <c r="AZ125" s="239" cm="1">
        <f t="array" ref="AZ125">_xll.VAData($D125, AZ$5, $C125, "Consensus", "CD", "IMPL","","")/100</f>
        <v>1.03E-2</v>
      </c>
      <c r="BB125" s="257"/>
    </row>
    <row r="126" spans="2:54" s="11" customFormat="1" collapsed="1">
      <c r="B126" s="33"/>
      <c r="C126" s="33"/>
      <c r="D126" s="33"/>
      <c r="E126" s="36"/>
      <c r="F126" s="37"/>
      <c r="G126" s="37"/>
      <c r="H126" s="35"/>
      <c r="I126" s="35"/>
      <c r="J126" s="35"/>
      <c r="K126" s="35"/>
      <c r="L126" s="37"/>
      <c r="M126" s="68"/>
      <c r="N126" s="68"/>
      <c r="O126" s="68"/>
      <c r="P126" s="35"/>
      <c r="Q126" s="67"/>
      <c r="R126" s="61"/>
      <c r="S126" s="61"/>
      <c r="T126" s="61"/>
      <c r="U126" s="61"/>
      <c r="V126" s="64"/>
      <c r="W126" s="61"/>
      <c r="X126" s="61"/>
      <c r="Y126" s="61"/>
      <c r="Z126" s="61"/>
      <c r="AA126" s="64"/>
      <c r="AB126" s="61"/>
      <c r="AC126" s="61"/>
      <c r="AD126" s="61"/>
      <c r="AE126" s="61"/>
      <c r="AF126" s="64"/>
      <c r="AG126" s="61"/>
      <c r="AH126" s="61"/>
      <c r="AI126" s="61"/>
      <c r="AJ126" s="61"/>
      <c r="AK126" s="64"/>
      <c r="AL126" s="61"/>
      <c r="AM126" s="61"/>
      <c r="AN126" s="184"/>
      <c r="AO126" s="184"/>
      <c r="AP126" s="198"/>
      <c r="AU126" s="198"/>
      <c r="AV126" s="61"/>
      <c r="AW126" s="61"/>
      <c r="AX126" s="61"/>
      <c r="AY126" s="61"/>
      <c r="AZ126" s="198"/>
      <c r="BB126" s="257"/>
    </row>
    <row r="127" spans="2:54" s="11" customFormat="1">
      <c r="B127" s="30" t="s">
        <v>263</v>
      </c>
      <c r="C127" s="30"/>
      <c r="D127" s="30"/>
      <c r="E127" s="36"/>
      <c r="F127" s="37"/>
      <c r="G127" s="37"/>
      <c r="H127" s="35"/>
      <c r="I127" s="35"/>
      <c r="J127" s="35"/>
      <c r="K127" s="35"/>
      <c r="L127" s="37"/>
      <c r="M127" s="35"/>
      <c r="N127" s="35"/>
      <c r="O127" s="35"/>
      <c r="P127" s="35"/>
      <c r="Q127" s="37"/>
      <c r="R127" s="35"/>
      <c r="S127" s="35"/>
      <c r="T127" s="35"/>
      <c r="U127" s="35"/>
      <c r="V127" s="37"/>
      <c r="W127" s="35"/>
      <c r="X127" s="35"/>
      <c r="Y127" s="35"/>
      <c r="Z127" s="35"/>
      <c r="AA127" s="37"/>
      <c r="AB127" s="35"/>
      <c r="AC127" s="35"/>
      <c r="AD127" s="35"/>
      <c r="AE127" s="35"/>
      <c r="AF127" s="37"/>
      <c r="AG127" s="35"/>
      <c r="AH127" s="35"/>
      <c r="AI127" s="35"/>
      <c r="AJ127" s="35"/>
      <c r="AK127" s="37"/>
      <c r="AL127" s="35"/>
      <c r="AM127" s="35"/>
      <c r="AP127" s="198"/>
      <c r="AU127" s="198"/>
      <c r="AV127" s="269"/>
      <c r="AW127" s="269"/>
      <c r="AX127" s="269"/>
      <c r="AY127" s="269"/>
      <c r="AZ127" s="198"/>
      <c r="BB127" s="257"/>
    </row>
    <row r="128" spans="2:54" s="44" customFormat="1" hidden="1" outlineLevel="1">
      <c r="B128" s="47" t="s">
        <v>264</v>
      </c>
      <c r="C128" s="41"/>
      <c r="D128" s="41"/>
      <c r="E128" s="66">
        <v>0.65</v>
      </c>
      <c r="F128" s="67">
        <v>0.67</v>
      </c>
      <c r="G128" s="67">
        <v>0.65</v>
      </c>
      <c r="H128" s="68"/>
      <c r="I128" s="68"/>
      <c r="J128" s="68"/>
      <c r="K128" s="68"/>
      <c r="L128" s="67">
        <v>0.65</v>
      </c>
      <c r="M128" s="69">
        <v>0.64500000000000002</v>
      </c>
      <c r="N128" s="69">
        <v>0.64</v>
      </c>
      <c r="O128" s="69">
        <v>0.63500000000000001</v>
      </c>
      <c r="P128" s="69">
        <v>0.63</v>
      </c>
      <c r="Q128" s="67">
        <v>0.62</v>
      </c>
      <c r="R128" s="69">
        <v>0.61499999999999999</v>
      </c>
      <c r="S128" s="69">
        <v>0.61</v>
      </c>
      <c r="T128" s="69">
        <v>0.60499999999999998</v>
      </c>
      <c r="U128" s="69">
        <v>0.6</v>
      </c>
      <c r="V128" s="67">
        <v>0.6</v>
      </c>
      <c r="W128" s="69">
        <v>0.59499999999999997</v>
      </c>
      <c r="X128" s="69">
        <v>0.59</v>
      </c>
      <c r="Y128" s="69">
        <v>0.58499999999999996</v>
      </c>
      <c r="Z128" s="69">
        <v>0.57999999999999996</v>
      </c>
      <c r="AA128" s="70">
        <v>0.57999999999999996</v>
      </c>
      <c r="AB128" s="69">
        <v>0.57499999999999996</v>
      </c>
      <c r="AC128" s="69">
        <v>0.56999999999999995</v>
      </c>
      <c r="AD128" s="69">
        <v>0.56499999999999995</v>
      </c>
      <c r="AE128" s="69">
        <v>0.56000000000000005</v>
      </c>
      <c r="AF128" s="70">
        <v>0.56000000000000005</v>
      </c>
      <c r="AG128" s="69">
        <v>0.55500000000000005</v>
      </c>
      <c r="AH128" s="69">
        <v>0.55000000000000004</v>
      </c>
      <c r="AI128" s="69">
        <v>0.54500000000000004</v>
      </c>
      <c r="AJ128" s="69">
        <v>0.54</v>
      </c>
      <c r="AK128" s="70">
        <v>0.54</v>
      </c>
      <c r="AL128" s="69">
        <v>0.53500000000000003</v>
      </c>
      <c r="AM128" s="69">
        <v>0.53</v>
      </c>
      <c r="AP128" s="200">
        <v>0.52</v>
      </c>
      <c r="AU128" s="200">
        <v>0.5</v>
      </c>
      <c r="AV128" s="270"/>
      <c r="AW128" s="270"/>
      <c r="AX128" s="270"/>
      <c r="AY128" s="270"/>
      <c r="AZ128" s="200">
        <v>0.5</v>
      </c>
      <c r="BB128" s="258"/>
    </row>
    <row r="129" spans="2:54" s="11" customFormat="1" hidden="1" outlineLevel="1">
      <c r="B129" s="48" t="s">
        <v>265</v>
      </c>
      <c r="C129" s="30"/>
      <c r="D129" s="30"/>
      <c r="E129" s="50">
        <v>6.1</v>
      </c>
      <c r="F129" s="51">
        <v>6.2</v>
      </c>
      <c r="G129" s="51">
        <v>5.9</v>
      </c>
      <c r="H129" s="52"/>
      <c r="I129" s="52"/>
      <c r="J129" s="52"/>
      <c r="K129" s="52"/>
      <c r="L129" s="51">
        <v>5.8</v>
      </c>
      <c r="M129" s="52"/>
      <c r="N129" s="52"/>
      <c r="O129" s="52"/>
      <c r="P129" s="52"/>
      <c r="Q129" s="51">
        <v>5.7</v>
      </c>
      <c r="R129" s="52"/>
      <c r="S129" s="52"/>
      <c r="T129" s="52"/>
      <c r="U129" s="52"/>
      <c r="V129" s="51">
        <v>5.5</v>
      </c>
      <c r="W129" s="35"/>
      <c r="X129" s="35"/>
      <c r="Y129" s="35"/>
      <c r="Z129" s="35"/>
      <c r="AA129" s="37"/>
      <c r="AB129" s="35"/>
      <c r="AC129" s="35"/>
      <c r="AD129" s="35"/>
      <c r="AE129" s="35"/>
      <c r="AF129" s="37"/>
      <c r="AG129" s="35"/>
      <c r="AH129" s="35"/>
      <c r="AI129" s="35"/>
      <c r="AJ129" s="35"/>
      <c r="AK129" s="37"/>
      <c r="AL129" s="35"/>
      <c r="AM129" s="35"/>
      <c r="AP129" s="198"/>
      <c r="AU129" s="198"/>
      <c r="AV129" s="269"/>
      <c r="AW129" s="269"/>
      <c r="AX129" s="269"/>
      <c r="AY129" s="269"/>
      <c r="AZ129" s="198"/>
      <c r="BB129" s="257"/>
    </row>
    <row r="130" spans="2:54" s="44" customFormat="1" hidden="1" outlineLevel="1">
      <c r="B130" s="47" t="s">
        <v>266</v>
      </c>
      <c r="C130" s="41"/>
      <c r="D130" s="41"/>
      <c r="E130" s="45">
        <f>E128/E129</f>
        <v>0.10655737704918034</v>
      </c>
      <c r="F130" s="45">
        <f>F128/F129</f>
        <v>0.10806451612903226</v>
      </c>
      <c r="G130" s="45">
        <f>G128/G129</f>
        <v>0.11016949152542373</v>
      </c>
      <c r="H130" s="46"/>
      <c r="I130" s="46"/>
      <c r="J130" s="46"/>
      <c r="K130" s="46"/>
      <c r="L130" s="45">
        <f>L128/L129</f>
        <v>0.11206896551724138</v>
      </c>
      <c r="N130" s="46"/>
      <c r="O130" s="46"/>
      <c r="P130" s="46"/>
      <c r="Q130" s="45">
        <f>Q128/Q129</f>
        <v>0.10877192982456139</v>
      </c>
      <c r="R130" s="46"/>
      <c r="S130" s="46"/>
      <c r="T130" s="46"/>
      <c r="U130" s="46"/>
      <c r="V130" s="45">
        <f>V128/V129</f>
        <v>0.10909090909090909</v>
      </c>
      <c r="W130" s="43"/>
      <c r="X130" s="43"/>
      <c r="Y130" s="43"/>
      <c r="Z130" s="43"/>
      <c r="AA130" s="42"/>
      <c r="AB130" s="43"/>
      <c r="AC130" s="43"/>
      <c r="AD130" s="43"/>
      <c r="AE130" s="43"/>
      <c r="AF130" s="42"/>
      <c r="AG130" s="43"/>
      <c r="AH130" s="43"/>
      <c r="AI130" s="43"/>
      <c r="AJ130" s="43"/>
      <c r="AK130" s="42"/>
      <c r="AL130" s="43"/>
      <c r="AM130" s="43"/>
      <c r="AP130" s="200"/>
      <c r="AU130" s="200"/>
      <c r="AV130" s="270"/>
      <c r="AW130" s="270"/>
      <c r="AX130" s="270"/>
      <c r="AY130" s="270"/>
      <c r="AZ130" s="200"/>
      <c r="BB130" s="258"/>
    </row>
    <row r="131" spans="2:54" s="44" customFormat="1" hidden="1" outlineLevel="1">
      <c r="B131" s="47" t="s">
        <v>267</v>
      </c>
      <c r="C131" s="40" t="s">
        <v>271</v>
      </c>
      <c r="D131" s="40"/>
      <c r="E131" s="45"/>
      <c r="F131" s="45"/>
      <c r="G131" s="45"/>
      <c r="H131" s="46"/>
      <c r="I131" s="46"/>
      <c r="J131" s="46"/>
      <c r="K131" s="46"/>
      <c r="L131" s="45"/>
      <c r="M131" s="34">
        <f t="shared" ref="M131:AM131" si="291">M29/M128</f>
        <v>0</v>
      </c>
      <c r="N131" s="34">
        <f t="shared" si="291"/>
        <v>0</v>
      </c>
      <c r="O131" s="34">
        <f t="shared" si="291"/>
        <v>1062.0019713078386</v>
      </c>
      <c r="P131" s="34">
        <f t="shared" si="291"/>
        <v>1167.9846864239378</v>
      </c>
      <c r="Q131" s="49">
        <f t="shared" si="291"/>
        <v>0</v>
      </c>
      <c r="R131" s="34">
        <f t="shared" si="291"/>
        <v>1064.6056942680232</v>
      </c>
      <c r="S131" s="34">
        <f t="shared" si="291"/>
        <v>1056.4088909190236</v>
      </c>
      <c r="T131" s="34">
        <f t="shared" si="291"/>
        <v>1127.3659409105956</v>
      </c>
      <c r="U131" s="34">
        <f t="shared" si="291"/>
        <v>1274.8492646921075</v>
      </c>
      <c r="V131" s="49">
        <f t="shared" si="291"/>
        <v>4576.8464641693563</v>
      </c>
      <c r="W131" s="34">
        <f t="shared" si="291"/>
        <v>1106.0745961898633</v>
      </c>
      <c r="X131" s="34">
        <f t="shared" si="291"/>
        <v>1150.6917114696291</v>
      </c>
      <c r="Y131" s="34">
        <f t="shared" si="291"/>
        <v>1200.9403547100819</v>
      </c>
      <c r="Z131" s="34">
        <f t="shared" si="291"/>
        <v>1438.7013645428171</v>
      </c>
      <c r="AA131" s="49">
        <f t="shared" si="291"/>
        <v>4955.2058507591073</v>
      </c>
      <c r="AB131" s="34">
        <f t="shared" si="291"/>
        <v>1371.0363207188</v>
      </c>
      <c r="AC131" s="34">
        <f t="shared" si="291"/>
        <v>1264.5680959892923</v>
      </c>
      <c r="AD131" s="34">
        <f t="shared" si="291"/>
        <v>1302.0664291460751</v>
      </c>
      <c r="AE131" s="34">
        <f t="shared" si="291"/>
        <v>1482.4138304790806</v>
      </c>
      <c r="AF131" s="49">
        <f t="shared" si="291"/>
        <v>5491.0160297554003</v>
      </c>
      <c r="AG131" s="34">
        <f t="shared" si="291"/>
        <v>1349.5495495495495</v>
      </c>
      <c r="AH131" s="34">
        <f t="shared" si="291"/>
        <v>1450.9090909090908</v>
      </c>
      <c r="AI131" s="34">
        <f t="shared" si="291"/>
        <v>1447.9856732002338</v>
      </c>
      <c r="AJ131" s="34">
        <f t="shared" si="291"/>
        <v>1757.8812819553557</v>
      </c>
      <c r="AK131" s="49">
        <f t="shared" si="291"/>
        <v>6084.0890447222591</v>
      </c>
      <c r="AL131" s="34">
        <f t="shared" si="291"/>
        <v>1441.1214953271028</v>
      </c>
      <c r="AM131" s="34">
        <f t="shared" si="291"/>
        <v>1435.8490566037735</v>
      </c>
      <c r="AP131" s="200"/>
      <c r="AU131" s="200"/>
      <c r="AV131" s="270"/>
      <c r="AW131" s="270"/>
      <c r="AX131" s="270"/>
      <c r="AY131" s="270"/>
      <c r="AZ131" s="200"/>
      <c r="BB131" s="258"/>
    </row>
    <row r="132" spans="2:54" s="44" customFormat="1" hidden="1" outlineLevel="1">
      <c r="B132" s="47"/>
      <c r="C132" s="40"/>
      <c r="D132" s="40"/>
      <c r="E132" s="45"/>
      <c r="F132" s="45"/>
      <c r="G132" s="45"/>
      <c r="H132" s="46"/>
      <c r="I132" s="46"/>
      <c r="J132" s="46"/>
      <c r="K132" s="46"/>
      <c r="L132" s="45"/>
      <c r="M132" s="34"/>
      <c r="N132" s="34"/>
      <c r="O132" s="34"/>
      <c r="P132" s="34"/>
      <c r="Q132" s="49"/>
      <c r="R132" s="34"/>
      <c r="S132" s="34"/>
      <c r="T132" s="34"/>
      <c r="U132" s="34"/>
      <c r="V132" s="49"/>
      <c r="W132" s="34"/>
      <c r="X132" s="34"/>
      <c r="Y132" s="34"/>
      <c r="Z132" s="34"/>
      <c r="AA132" s="49"/>
      <c r="AB132" s="34"/>
      <c r="AC132" s="34"/>
      <c r="AD132" s="34"/>
      <c r="AE132" s="34"/>
      <c r="AF132" s="49"/>
      <c r="AG132" s="34"/>
      <c r="AH132" s="34"/>
      <c r="AI132" s="34"/>
      <c r="AJ132" s="34"/>
      <c r="AK132" s="49"/>
      <c r="AL132" s="34"/>
      <c r="AM132" s="34"/>
      <c r="AP132" s="200"/>
      <c r="AU132" s="200"/>
      <c r="AV132" s="270"/>
      <c r="AW132" s="270"/>
      <c r="AX132" s="270"/>
      <c r="AY132" s="270"/>
      <c r="AZ132" s="200"/>
      <c r="BB132" s="258"/>
    </row>
    <row r="133" spans="2:54" s="44" customFormat="1" hidden="1" outlineLevel="1">
      <c r="B133" s="40" t="s">
        <v>303</v>
      </c>
      <c r="C133" s="40"/>
      <c r="D133" s="40"/>
      <c r="E133" s="45"/>
      <c r="F133" s="45"/>
      <c r="G133" s="45"/>
      <c r="H133" s="46"/>
      <c r="I133" s="46"/>
      <c r="J133" s="46"/>
      <c r="K133" s="46"/>
      <c r="L133" s="45"/>
      <c r="M133" s="34"/>
      <c r="N133" s="34"/>
      <c r="O133" s="34"/>
      <c r="P133" s="34"/>
      <c r="Q133" s="86">
        <v>28</v>
      </c>
      <c r="R133" s="53"/>
      <c r="S133" s="53"/>
      <c r="T133" s="53"/>
      <c r="U133" s="53"/>
      <c r="V133" s="86">
        <v>30</v>
      </c>
      <c r="W133" s="53"/>
      <c r="X133" s="53"/>
      <c r="Y133" s="53"/>
      <c r="Z133" s="53"/>
      <c r="AA133" s="86">
        <v>33</v>
      </c>
      <c r="AB133" s="53"/>
      <c r="AC133" s="53"/>
      <c r="AD133" s="53"/>
      <c r="AE133" s="53"/>
      <c r="AF133" s="86">
        <v>36</v>
      </c>
      <c r="AG133" s="53"/>
      <c r="AH133" s="53"/>
      <c r="AI133" s="53"/>
      <c r="AJ133" s="53"/>
      <c r="AK133" s="86">
        <v>38</v>
      </c>
      <c r="AL133" s="34"/>
      <c r="AM133" s="34"/>
      <c r="AP133" s="200"/>
      <c r="AU133" s="200"/>
      <c r="AV133" s="270"/>
      <c r="AW133" s="270"/>
      <c r="AX133" s="270"/>
      <c r="AY133" s="270"/>
      <c r="AZ133" s="200"/>
      <c r="BB133" s="258"/>
    </row>
    <row r="134" spans="2:54" s="44" customFormat="1" hidden="1" outlineLevel="1">
      <c r="B134" s="40"/>
      <c r="C134" s="40"/>
      <c r="D134" s="40"/>
      <c r="E134" s="45"/>
      <c r="F134" s="45"/>
      <c r="G134" s="45"/>
      <c r="H134" s="46"/>
      <c r="I134" s="46"/>
      <c r="J134" s="46"/>
      <c r="K134" s="46"/>
      <c r="L134" s="45"/>
      <c r="M134" s="34"/>
      <c r="N134" s="34"/>
      <c r="O134" s="34"/>
      <c r="P134" s="34"/>
      <c r="Q134" s="86"/>
      <c r="R134" s="53"/>
      <c r="S134" s="53"/>
      <c r="T134" s="53"/>
      <c r="U134" s="53"/>
      <c r="V134" s="86"/>
      <c r="W134" s="53"/>
      <c r="X134" s="53"/>
      <c r="Y134" s="53"/>
      <c r="Z134" s="53"/>
      <c r="AA134" s="86"/>
      <c r="AB134" s="53"/>
      <c r="AC134" s="53"/>
      <c r="AD134" s="53"/>
      <c r="AE134" s="53"/>
      <c r="AF134" s="86"/>
      <c r="AG134" s="53"/>
      <c r="AH134" s="53"/>
      <c r="AI134" s="53"/>
      <c r="AJ134" s="53"/>
      <c r="AK134" s="86"/>
      <c r="AL134" s="34"/>
      <c r="AM134" s="34"/>
      <c r="AP134" s="200"/>
      <c r="AU134" s="200"/>
      <c r="AV134" s="270"/>
      <c r="AW134" s="270"/>
      <c r="AX134" s="270"/>
      <c r="AY134" s="270"/>
      <c r="AZ134" s="200"/>
      <c r="BB134" s="258"/>
    </row>
    <row r="135" spans="2:54" s="44" customFormat="1" hidden="1" outlineLevel="1">
      <c r="B135" s="40"/>
      <c r="C135" s="40"/>
      <c r="D135" s="40"/>
      <c r="E135" s="45"/>
      <c r="F135" s="45"/>
      <c r="G135" s="45"/>
      <c r="H135" s="46"/>
      <c r="I135" s="46"/>
      <c r="J135" s="46"/>
      <c r="K135" s="46"/>
      <c r="L135" s="45"/>
      <c r="M135" s="34"/>
      <c r="N135" s="34"/>
      <c r="O135" s="34"/>
      <c r="P135" s="34"/>
      <c r="Q135" s="86"/>
      <c r="R135" s="53"/>
      <c r="S135" s="53"/>
      <c r="T135" s="53"/>
      <c r="U135" s="53"/>
      <c r="V135" s="86"/>
      <c r="W135" s="53"/>
      <c r="X135" s="53"/>
      <c r="Y135" s="53"/>
      <c r="Z135" s="53"/>
      <c r="AA135" s="86"/>
      <c r="AB135" s="53"/>
      <c r="AC135" s="53"/>
      <c r="AD135" s="53"/>
      <c r="AE135" s="53"/>
      <c r="AF135" s="86"/>
      <c r="AG135" s="53"/>
      <c r="AH135" s="53"/>
      <c r="AI135" s="53"/>
      <c r="AJ135" s="53"/>
      <c r="AK135" s="86"/>
      <c r="AL135" s="34"/>
      <c r="AM135" s="34"/>
      <c r="AP135" s="200"/>
      <c r="AU135" s="200"/>
      <c r="AV135" s="270"/>
      <c r="AW135" s="270"/>
      <c r="AX135" s="270"/>
      <c r="AY135" s="270"/>
      <c r="AZ135" s="200"/>
      <c r="BB135" s="258"/>
    </row>
    <row r="136" spans="2:54" s="44" customFormat="1" hidden="1" outlineLevel="1">
      <c r="B136" s="41" t="s">
        <v>899</v>
      </c>
      <c r="C136" s="40"/>
      <c r="D136" s="40"/>
      <c r="E136" s="45"/>
      <c r="F136" s="45"/>
      <c r="G136" s="45"/>
      <c r="H136" s="46"/>
      <c r="I136" s="46"/>
      <c r="J136" s="46"/>
      <c r="K136" s="46"/>
      <c r="L136" s="45"/>
      <c r="M136" s="34"/>
      <c r="N136" s="34"/>
      <c r="O136" s="34"/>
      <c r="P136" s="34"/>
      <c r="Q136" s="86"/>
      <c r="R136" s="53"/>
      <c r="S136" s="53"/>
      <c r="T136" s="53"/>
      <c r="U136" s="53"/>
      <c r="V136" s="86"/>
      <c r="W136" s="53"/>
      <c r="X136" s="53"/>
      <c r="Y136" s="53"/>
      <c r="Z136" s="53"/>
      <c r="AA136" s="86"/>
      <c r="AB136" s="53"/>
      <c r="AC136" s="53"/>
      <c r="AD136" s="53"/>
      <c r="AE136" s="53"/>
      <c r="AF136" s="86"/>
      <c r="AG136" s="53"/>
      <c r="AH136" s="53"/>
      <c r="AI136" s="53"/>
      <c r="AJ136" s="53"/>
      <c r="AK136" s="86"/>
      <c r="AL136" s="34"/>
      <c r="AM136" s="34"/>
      <c r="AP136" s="200"/>
      <c r="AU136" s="200"/>
      <c r="AV136" s="270"/>
      <c r="AW136" s="270"/>
      <c r="AX136" s="270"/>
      <c r="AY136" s="270"/>
      <c r="AZ136" s="200"/>
      <c r="BB136" s="258"/>
    </row>
    <row r="137" spans="2:54" s="44" customFormat="1" hidden="1" outlineLevel="1">
      <c r="B137" s="627" t="s">
        <v>679</v>
      </c>
      <c r="C137" s="40" t="s">
        <v>901</v>
      </c>
      <c r="D137" s="40"/>
      <c r="E137" s="45"/>
      <c r="F137" s="45"/>
      <c r="G137" s="45"/>
      <c r="H137" s="46"/>
      <c r="I137" s="46"/>
      <c r="J137" s="46"/>
      <c r="K137" s="46"/>
      <c r="L137" s="45"/>
      <c r="M137" s="34"/>
      <c r="N137" s="34"/>
      <c r="O137" s="61">
        <f>O17/O10</f>
        <v>0.5603361344537815</v>
      </c>
      <c r="P137" s="434">
        <f t="shared" ref="P137:AZ137" si="292">P17/P10</f>
        <v>0.52180590117312475</v>
      </c>
      <c r="Q137" s="444">
        <f t="shared" si="292"/>
        <v>0.55761887477313976</v>
      </c>
      <c r="R137" s="434">
        <f t="shared" si="292"/>
        <v>0.5444089456869009</v>
      </c>
      <c r="S137" s="434">
        <f t="shared" si="292"/>
        <v>0.57388335704125182</v>
      </c>
      <c r="T137" s="434">
        <f t="shared" si="292"/>
        <v>0.55760278745644598</v>
      </c>
      <c r="U137" s="434">
        <f t="shared" si="292"/>
        <v>0.52057259713701431</v>
      </c>
      <c r="V137" s="444">
        <f t="shared" si="292"/>
        <v>0.54897841726618701</v>
      </c>
      <c r="W137" s="434">
        <f t="shared" si="292"/>
        <v>0.55954075774971301</v>
      </c>
      <c r="X137" s="434">
        <f t="shared" si="292"/>
        <v>0.57016759776536319</v>
      </c>
      <c r="Y137" s="434">
        <f t="shared" si="292"/>
        <v>0.57186754966887421</v>
      </c>
      <c r="Z137" s="434">
        <f t="shared" si="292"/>
        <v>0.51214354373598203</v>
      </c>
      <c r="AA137" s="444">
        <f t="shared" si="292"/>
        <v>0.55263212256842831</v>
      </c>
      <c r="AB137" s="434">
        <f t="shared" si="292"/>
        <v>0.54410751206064778</v>
      </c>
      <c r="AC137" s="434">
        <f t="shared" si="292"/>
        <v>0.57547770700636947</v>
      </c>
      <c r="AD137" s="434">
        <f t="shared" si="292"/>
        <v>0.57661538461538464</v>
      </c>
      <c r="AE137" s="434">
        <f t="shared" si="292"/>
        <v>0.54851076378649366</v>
      </c>
      <c r="AF137" s="444">
        <f t="shared" si="292"/>
        <v>0.56138137664590393</v>
      </c>
      <c r="AG137" s="434">
        <f t="shared" si="292"/>
        <v>0.57862248213125411</v>
      </c>
      <c r="AH137" s="434">
        <f t="shared" si="292"/>
        <v>0.58638154192459202</v>
      </c>
      <c r="AI137" s="434">
        <f t="shared" si="292"/>
        <v>0.59193815571507458</v>
      </c>
      <c r="AJ137" s="434">
        <f t="shared" si="292"/>
        <v>0.54535892716276624</v>
      </c>
      <c r="AK137" s="444">
        <f t="shared" si="292"/>
        <v>0.5750160062602262</v>
      </c>
      <c r="AL137" s="434">
        <f t="shared" si="292"/>
        <v>0.59856844616761107</v>
      </c>
      <c r="AM137" s="434">
        <f t="shared" si="292"/>
        <v>0.61493797835840591</v>
      </c>
      <c r="AN137" s="532">
        <f t="shared" si="292"/>
        <v>0.61553502837089247</v>
      </c>
      <c r="AO137" s="532">
        <f t="shared" si="292"/>
        <v>0.56640310533053795</v>
      </c>
      <c r="AP137" s="628">
        <f t="shared" si="292"/>
        <v>0.59859641369957761</v>
      </c>
      <c r="AQ137" s="532">
        <f t="shared" si="292"/>
        <v>0.61639668063861874</v>
      </c>
      <c r="AR137" s="532">
        <f t="shared" si="292"/>
        <v>0.62225278682904273</v>
      </c>
      <c r="AS137" s="532">
        <f t="shared" si="292"/>
        <v>0.62193077274389563</v>
      </c>
      <c r="AT137" s="532">
        <f t="shared" si="292"/>
        <v>0.57417395376899705</v>
      </c>
      <c r="AU137" s="628">
        <f t="shared" si="292"/>
        <v>0.60822865003605675</v>
      </c>
      <c r="AV137" s="629">
        <f t="shared" si="292"/>
        <v>0.62228306415549473</v>
      </c>
      <c r="AW137" s="629">
        <f t="shared" si="292"/>
        <v>0.62772347708460396</v>
      </c>
      <c r="AX137" s="629">
        <f t="shared" si="292"/>
        <v>0.62755814335261151</v>
      </c>
      <c r="AY137" s="629">
        <f t="shared" si="292"/>
        <v>0.58078146923210638</v>
      </c>
      <c r="AZ137" s="628">
        <f t="shared" si="292"/>
        <v>0.61415276623928039</v>
      </c>
      <c r="BB137" s="258"/>
    </row>
    <row r="138" spans="2:54" s="44" customFormat="1" hidden="1" outlineLevel="1">
      <c r="B138" s="630" t="s">
        <v>902</v>
      </c>
      <c r="C138" s="40" t="s">
        <v>909</v>
      </c>
      <c r="D138" s="40"/>
      <c r="E138" s="45"/>
      <c r="F138" s="45"/>
      <c r="G138" s="45"/>
      <c r="H138" s="46"/>
      <c r="I138" s="46"/>
      <c r="J138" s="46"/>
      <c r="K138" s="46"/>
      <c r="L138" s="45"/>
      <c r="M138" s="34"/>
      <c r="N138" s="34"/>
      <c r="O138" s="61"/>
      <c r="P138" s="434"/>
      <c r="Q138" s="444"/>
      <c r="R138" s="434"/>
      <c r="S138" s="434"/>
      <c r="T138" s="439">
        <f>(T137-O137)*10000</f>
        <v>-27.333469973355172</v>
      </c>
      <c r="U138" s="439">
        <f t="shared" ref="U138:AF138" si="293">(U137-P137)*10000</f>
        <v>-12.333040361104386</v>
      </c>
      <c r="V138" s="437">
        <f t="shared" si="293"/>
        <v>-86.404575069527482</v>
      </c>
      <c r="W138" s="439">
        <f t="shared" si="293"/>
        <v>151.31812062812111</v>
      </c>
      <c r="X138" s="439">
        <f t="shared" si="293"/>
        <v>-37.157592758886302</v>
      </c>
      <c r="Y138" s="439">
        <f t="shared" si="293"/>
        <v>142.64762212428229</v>
      </c>
      <c r="Z138" s="439">
        <f t="shared" si="293"/>
        <v>-84.29053401032283</v>
      </c>
      <c r="AA138" s="437">
        <f t="shared" si="293"/>
        <v>36.537053022412948</v>
      </c>
      <c r="AB138" s="439">
        <f t="shared" si="293"/>
        <v>-154.33245689065234</v>
      </c>
      <c r="AC138" s="439">
        <f t="shared" si="293"/>
        <v>53.101092410062776</v>
      </c>
      <c r="AD138" s="439">
        <f t="shared" si="293"/>
        <v>47.478349465104316</v>
      </c>
      <c r="AE138" s="439">
        <f t="shared" si="293"/>
        <v>363.67220050511628</v>
      </c>
      <c r="AF138" s="437">
        <f t="shared" si="293"/>
        <v>87.492540774756208</v>
      </c>
      <c r="AG138" s="439">
        <f>(AG137-AB137)*10000</f>
        <v>345.1497007060633</v>
      </c>
      <c r="AH138" s="439">
        <f t="shared" ref="AH138:AZ138" si="294">(AH137-AC137)*10000</f>
        <v>109.03834918222555</v>
      </c>
      <c r="AI138" s="439">
        <f t="shared" si="294"/>
        <v>153.22771099689936</v>
      </c>
      <c r="AJ138" s="439">
        <f t="shared" si="294"/>
        <v>-31.518366237274222</v>
      </c>
      <c r="AK138" s="437">
        <f t="shared" si="294"/>
        <v>136.3462961432227</v>
      </c>
      <c r="AL138" s="439">
        <f t="shared" si="294"/>
        <v>199.45964036356955</v>
      </c>
      <c r="AM138" s="439">
        <f t="shared" si="294"/>
        <v>285.56436433813894</v>
      </c>
      <c r="AN138" s="494">
        <f t="shared" si="294"/>
        <v>235.9687265581789</v>
      </c>
      <c r="AO138" s="494">
        <f t="shared" si="294"/>
        <v>210.4417816777171</v>
      </c>
      <c r="AP138" s="631">
        <f t="shared" si="294"/>
        <v>235.80407439351413</v>
      </c>
      <c r="AQ138" s="494">
        <f t="shared" si="294"/>
        <v>178.28234471007676</v>
      </c>
      <c r="AR138" s="494">
        <f t="shared" si="294"/>
        <v>73.148084706368138</v>
      </c>
      <c r="AS138" s="494">
        <f t="shared" si="294"/>
        <v>63.957443730031649</v>
      </c>
      <c r="AT138" s="494">
        <f t="shared" si="294"/>
        <v>77.708484384590989</v>
      </c>
      <c r="AU138" s="631">
        <f t="shared" si="294"/>
        <v>96.322363364791386</v>
      </c>
      <c r="AV138" s="632">
        <f t="shared" si="294"/>
        <v>58.863835168759813</v>
      </c>
      <c r="AW138" s="632">
        <f t="shared" si="294"/>
        <v>54.706902555612388</v>
      </c>
      <c r="AX138" s="632">
        <f t="shared" si="294"/>
        <v>56.273706087158757</v>
      </c>
      <c r="AY138" s="632">
        <f t="shared" si="294"/>
        <v>66.075154631093369</v>
      </c>
      <c r="AZ138" s="631">
        <f t="shared" si="294"/>
        <v>59.241162032236396</v>
      </c>
      <c r="BB138" s="258"/>
    </row>
    <row r="139" spans="2:54" s="44" customFormat="1" hidden="1" outlineLevel="1">
      <c r="B139" s="627" t="s">
        <v>363</v>
      </c>
      <c r="C139" s="40" t="s">
        <v>900</v>
      </c>
      <c r="D139" s="40"/>
      <c r="E139" s="45"/>
      <c r="F139" s="45"/>
      <c r="G139" s="45"/>
      <c r="H139" s="46"/>
      <c r="I139" s="46"/>
      <c r="J139" s="46"/>
      <c r="K139" s="46"/>
      <c r="L139" s="45"/>
      <c r="M139" s="34"/>
      <c r="N139" s="34"/>
      <c r="O139" s="61">
        <f>O28/O10</f>
        <v>0.31707983193277312</v>
      </c>
      <c r="P139" s="434">
        <f t="shared" ref="P139:AZ139" si="295">P28/P10</f>
        <v>0.35586206896551725</v>
      </c>
      <c r="Q139" s="444">
        <f t="shared" si="295"/>
        <v>0.32105626134301268</v>
      </c>
      <c r="R139" s="434">
        <f t="shared" si="295"/>
        <v>0.3324600638977635</v>
      </c>
      <c r="S139" s="434">
        <f t="shared" si="295"/>
        <v>0.30277382645803697</v>
      </c>
      <c r="T139" s="434">
        <f t="shared" si="295"/>
        <v>0.31912891986062719</v>
      </c>
      <c r="U139" s="434">
        <f t="shared" si="295"/>
        <v>0.35466939331970004</v>
      </c>
      <c r="V139" s="444">
        <f t="shared" si="295"/>
        <v>0.3273723021582734</v>
      </c>
      <c r="W139" s="434">
        <f t="shared" si="295"/>
        <v>0.32023727516264833</v>
      </c>
      <c r="X139" s="434">
        <f t="shared" si="295"/>
        <v>0.31319134078212291</v>
      </c>
      <c r="Y139" s="434">
        <f t="shared" si="295"/>
        <v>0.3123907284768212</v>
      </c>
      <c r="Z139" s="434">
        <f t="shared" si="295"/>
        <v>0.36372957385453381</v>
      </c>
      <c r="AA139" s="444">
        <f t="shared" si="295"/>
        <v>0.32814425890859011</v>
      </c>
      <c r="AB139" s="434">
        <f t="shared" si="295"/>
        <v>0.34355616815988971</v>
      </c>
      <c r="AC139" s="434">
        <f t="shared" si="295"/>
        <v>0.30414012738853502</v>
      </c>
      <c r="AD139" s="434">
        <f t="shared" si="295"/>
        <v>0.30830769230769228</v>
      </c>
      <c r="AE139" s="434">
        <f t="shared" si="295"/>
        <v>0.33470952521380126</v>
      </c>
      <c r="AF139" s="444">
        <f t="shared" si="295"/>
        <v>0.32240006307655916</v>
      </c>
      <c r="AG139" s="434">
        <f t="shared" si="295"/>
        <v>0.30636777128005199</v>
      </c>
      <c r="AH139" s="434">
        <f t="shared" si="295"/>
        <v>0.28953292065278557</v>
      </c>
      <c r="AI139" s="434">
        <f t="shared" si="295"/>
        <v>0.28851463279955825</v>
      </c>
      <c r="AJ139" s="434">
        <f t="shared" si="295"/>
        <v>0.33789113857480935</v>
      </c>
      <c r="AK139" s="444">
        <f t="shared" si="295"/>
        <v>0.30603969552536103</v>
      </c>
      <c r="AL139" s="434">
        <f t="shared" si="295"/>
        <v>0.27766179540709812</v>
      </c>
      <c r="AM139" s="434">
        <f t="shared" si="295"/>
        <v>0.25600422275006596</v>
      </c>
      <c r="AN139" s="532">
        <f t="shared" si="295"/>
        <v>0.26102539924085516</v>
      </c>
      <c r="AO139" s="532">
        <f t="shared" si="295"/>
        <v>0.31037084339648863</v>
      </c>
      <c r="AP139" s="628">
        <f t="shared" si="295"/>
        <v>0.27651294740447713</v>
      </c>
      <c r="AQ139" s="532">
        <f t="shared" si="295"/>
        <v>0.25557383514889964</v>
      </c>
      <c r="AR139" s="532">
        <f t="shared" si="295"/>
        <v>0.24382993280801257</v>
      </c>
      <c r="AS139" s="532">
        <f t="shared" si="295"/>
        <v>0.24917935297266716</v>
      </c>
      <c r="AT139" s="532">
        <f t="shared" si="295"/>
        <v>0.29685206647743939</v>
      </c>
      <c r="AU139" s="628">
        <f t="shared" si="295"/>
        <v>0.26176232156405299</v>
      </c>
      <c r="AV139" s="629">
        <f t="shared" si="295"/>
        <v>0.24482567514178047</v>
      </c>
      <c r="AW139" s="629">
        <f t="shared" si="295"/>
        <v>0.2333782397444791</v>
      </c>
      <c r="AX139" s="629">
        <f t="shared" si="295"/>
        <v>0.23872398390168251</v>
      </c>
      <c r="AY139" s="629">
        <f t="shared" si="295"/>
        <v>0.28508724126293516</v>
      </c>
      <c r="AZ139" s="628">
        <f t="shared" si="295"/>
        <v>0.25087582306408862</v>
      </c>
      <c r="BB139" s="258"/>
    </row>
    <row r="140" spans="2:54" s="44" customFormat="1" hidden="1" outlineLevel="1">
      <c r="C140" s="40" t="s">
        <v>903</v>
      </c>
      <c r="D140" s="40"/>
      <c r="E140" s="45"/>
      <c r="F140" s="45"/>
      <c r="G140" s="45"/>
      <c r="H140" s="46"/>
      <c r="I140" s="46"/>
      <c r="J140" s="46"/>
      <c r="K140" s="46"/>
      <c r="L140" s="45"/>
      <c r="M140" s="34"/>
      <c r="N140" s="34"/>
      <c r="O140" s="34"/>
      <c r="P140" s="34"/>
      <c r="Q140" s="86"/>
      <c r="R140" s="53"/>
      <c r="S140" s="439"/>
      <c r="T140" s="439">
        <f>(T139-O139)*10000</f>
        <v>20.490879278540763</v>
      </c>
      <c r="U140" s="439">
        <f t="shared" ref="U140" si="296">(U139-P139)*10000</f>
        <v>-11.926756458172093</v>
      </c>
      <c r="V140" s="437">
        <f t="shared" ref="V140" si="297">(V139-Q139)*10000</f>
        <v>63.160408152607147</v>
      </c>
      <c r="W140" s="439">
        <f t="shared" ref="W140" si="298">(W139-R139)*10000</f>
        <v>-122.22788735115175</v>
      </c>
      <c r="X140" s="439">
        <f t="shared" ref="X140" si="299">(X139-S139)*10000</f>
        <v>104.17514324085941</v>
      </c>
      <c r="Y140" s="439">
        <f t="shared" ref="Y140" si="300">(Y139-T139)*10000</f>
        <v>-67.381913838059916</v>
      </c>
      <c r="Z140" s="439">
        <f t="shared" ref="Z140" si="301">(Z139-U139)*10000</f>
        <v>90.601805348337621</v>
      </c>
      <c r="AA140" s="437">
        <f t="shared" ref="AA140" si="302">(AA139-V139)*10000</f>
        <v>7.7195675031671573</v>
      </c>
      <c r="AB140" s="439">
        <f t="shared" ref="AB140" si="303">(AB139-W139)*10000</f>
        <v>233.1889299724138</v>
      </c>
      <c r="AC140" s="439">
        <f t="shared" ref="AC140" si="304">(AC139-X139)*10000</f>
        <v>-90.512133935878865</v>
      </c>
      <c r="AD140" s="439">
        <f t="shared" ref="AD140" si="305">(AD139-Y139)*10000</f>
        <v>-40.830361691289177</v>
      </c>
      <c r="AE140" s="439">
        <f t="shared" ref="AE140" si="306">(AE139-Z139)*10000</f>
        <v>-290.20048640732546</v>
      </c>
      <c r="AF140" s="437">
        <f t="shared" ref="AF140" si="307">(AF139-AA139)*10000</f>
        <v>-57.441958320309517</v>
      </c>
      <c r="AG140" s="439">
        <f>(AG139-AB139)*10000</f>
        <v>-371.88396879837717</v>
      </c>
      <c r="AH140" s="439">
        <f t="shared" ref="AH140" si="308">(AH139-AC139)*10000</f>
        <v>-146.07206735749446</v>
      </c>
      <c r="AI140" s="439">
        <f t="shared" ref="AI140" si="309">(AI139-AD139)*10000</f>
        <v>-197.93059508134036</v>
      </c>
      <c r="AJ140" s="439">
        <f t="shared" ref="AJ140" si="310">(AJ139-AE139)*10000</f>
        <v>31.816133610080843</v>
      </c>
      <c r="AK140" s="437">
        <f t="shared" ref="AK140" si="311">(AK139-AF139)*10000</f>
        <v>-163.60367551198129</v>
      </c>
      <c r="AL140" s="439">
        <f t="shared" ref="AL140" si="312">(AL139-AG139)*10000</f>
        <v>-287.05975872953871</v>
      </c>
      <c r="AM140" s="439">
        <f t="shared" ref="AM140" si="313">(AM139-AH139)*10000</f>
        <v>-335.2869790271962</v>
      </c>
      <c r="AN140" s="494">
        <f t="shared" ref="AN140" si="314">(AN139-AI139)*10000</f>
        <v>-274.89233558703086</v>
      </c>
      <c r="AO140" s="494">
        <f t="shared" ref="AO140" si="315">(AO139-AJ139)*10000</f>
        <v>-275.2029517832072</v>
      </c>
      <c r="AP140" s="631">
        <f t="shared" ref="AP140" si="316">(AP139-AK139)*10000</f>
        <v>-295.26748120883906</v>
      </c>
      <c r="AQ140" s="494">
        <f t="shared" ref="AQ140" si="317">(AQ139-AL139)*10000</f>
        <v>-220.87960258198481</v>
      </c>
      <c r="AR140" s="494">
        <f t="shared" ref="AR140" si="318">(AR139-AM139)*10000</f>
        <v>-121.74289942053385</v>
      </c>
      <c r="AS140" s="494">
        <f t="shared" ref="AS140" si="319">(AS139-AN139)*10000</f>
        <v>-118.46046268187999</v>
      </c>
      <c r="AT140" s="494">
        <f t="shared" ref="AT140" si="320">(AT139-AO139)*10000</f>
        <v>-135.18776919049236</v>
      </c>
      <c r="AU140" s="631">
        <f t="shared" ref="AU140" si="321">(AU139-AP139)*10000</f>
        <v>-147.50625840424135</v>
      </c>
      <c r="AV140" s="632">
        <f t="shared" ref="AV140" si="322">(AV139-AQ139)*10000</f>
        <v>-107.48160007119174</v>
      </c>
      <c r="AW140" s="632">
        <f t="shared" ref="AW140" si="323">(AW139-AR139)*10000</f>
        <v>-104.51693063533469</v>
      </c>
      <c r="AX140" s="632">
        <f t="shared" ref="AX140" si="324">(AX139-AS139)*10000</f>
        <v>-104.55369070984655</v>
      </c>
      <c r="AY140" s="632">
        <f t="shared" ref="AY140" si="325">(AY139-AT139)*10000</f>
        <v>-117.64825214504226</v>
      </c>
      <c r="AZ140" s="631">
        <f t="shared" ref="AZ140" si="326">(AZ139-AU139)*10000</f>
        <v>-108.8649849996437</v>
      </c>
      <c r="BB140" s="258"/>
    </row>
    <row r="141" spans="2:54" s="44" customFormat="1" hidden="1" outlineLevel="1">
      <c r="B141" s="40"/>
      <c r="C141" s="40"/>
      <c r="D141" s="40"/>
      <c r="E141" s="45"/>
      <c r="F141" s="45"/>
      <c r="G141" s="45"/>
      <c r="H141" s="46"/>
      <c r="I141" s="46"/>
      <c r="J141" s="46"/>
      <c r="K141" s="46"/>
      <c r="L141" s="45"/>
      <c r="M141" s="34"/>
      <c r="N141" s="34"/>
      <c r="O141" s="34"/>
      <c r="P141" s="34"/>
      <c r="Q141" s="86"/>
      <c r="R141" s="53"/>
      <c r="S141" s="53"/>
      <c r="T141" s="53"/>
      <c r="U141" s="53"/>
      <c r="V141" s="86"/>
      <c r="W141" s="53"/>
      <c r="X141" s="53"/>
      <c r="Y141" s="53"/>
      <c r="Z141" s="53"/>
      <c r="AA141" s="86"/>
      <c r="AB141" s="53"/>
      <c r="AC141" s="53"/>
      <c r="AD141" s="53"/>
      <c r="AE141" s="53"/>
      <c r="AF141" s="86"/>
      <c r="AG141" s="53"/>
      <c r="AH141" s="53"/>
      <c r="AI141" s="53"/>
      <c r="AJ141" s="53"/>
      <c r="AK141" s="86"/>
      <c r="AL141" s="34"/>
      <c r="AM141" s="34"/>
      <c r="AP141" s="200"/>
      <c r="AU141" s="200"/>
      <c r="AV141" s="270"/>
      <c r="AW141" s="270"/>
      <c r="AX141" s="270"/>
      <c r="AY141" s="270"/>
      <c r="AZ141" s="200"/>
      <c r="BB141" s="258"/>
    </row>
    <row r="142" spans="2:54" s="44" customFormat="1" hidden="1" outlineLevel="1">
      <c r="B142" s="40"/>
      <c r="C142" s="40"/>
      <c r="D142" s="40"/>
      <c r="E142" s="45"/>
      <c r="F142" s="45"/>
      <c r="G142" s="45"/>
      <c r="H142" s="46"/>
      <c r="I142" s="46"/>
      <c r="J142" s="46"/>
      <c r="K142" s="46"/>
      <c r="L142" s="45"/>
      <c r="M142" s="34"/>
      <c r="N142" s="34"/>
      <c r="O142" s="34"/>
      <c r="P142" s="34"/>
      <c r="Q142" s="86"/>
      <c r="R142" s="53"/>
      <c r="S142" s="53"/>
      <c r="T142" s="53"/>
      <c r="U142" s="53"/>
      <c r="V142" s="86"/>
      <c r="W142" s="53"/>
      <c r="X142" s="53"/>
      <c r="Y142" s="53"/>
      <c r="Z142" s="53"/>
      <c r="AA142" s="86"/>
      <c r="AB142" s="53"/>
      <c r="AC142" s="53"/>
      <c r="AD142" s="53"/>
      <c r="AE142" s="53"/>
      <c r="AF142" s="86"/>
      <c r="AG142" s="53"/>
      <c r="AH142" s="53"/>
      <c r="AI142" s="53"/>
      <c r="AJ142" s="53"/>
      <c r="AK142" s="86"/>
      <c r="AL142" s="34"/>
      <c r="AM142" s="34"/>
      <c r="AP142" s="200"/>
      <c r="AU142" s="200"/>
      <c r="AV142" s="270"/>
      <c r="AW142" s="270"/>
      <c r="AX142" s="270"/>
      <c r="AY142" s="270"/>
      <c r="AZ142" s="200"/>
      <c r="BB142" s="258"/>
    </row>
    <row r="143" spans="2:54" s="44" customFormat="1" hidden="1" outlineLevel="1">
      <c r="B143" s="40"/>
      <c r="C143" s="40"/>
      <c r="D143" s="40"/>
      <c r="E143" s="45"/>
      <c r="F143" s="45"/>
      <c r="G143" s="45"/>
      <c r="H143" s="46"/>
      <c r="I143" s="46"/>
      <c r="J143" s="46"/>
      <c r="K143" s="46"/>
      <c r="L143" s="45"/>
      <c r="M143" s="34"/>
      <c r="N143" s="34"/>
      <c r="O143" s="34"/>
      <c r="P143" s="34"/>
      <c r="Q143" s="86"/>
      <c r="R143" s="53"/>
      <c r="S143" s="53"/>
      <c r="T143" s="53"/>
      <c r="U143" s="53"/>
      <c r="V143" s="86"/>
      <c r="W143" s="53"/>
      <c r="X143" s="53"/>
      <c r="Y143" s="53"/>
      <c r="Z143" s="53"/>
      <c r="AA143" s="86"/>
      <c r="AB143" s="53"/>
      <c r="AC143" s="53"/>
      <c r="AD143" s="53"/>
      <c r="AE143" s="53"/>
      <c r="AF143" s="86"/>
      <c r="AG143" s="53"/>
      <c r="AH143" s="53"/>
      <c r="AI143" s="53"/>
      <c r="AJ143" s="53"/>
      <c r="AK143" s="86"/>
      <c r="AL143" s="34"/>
      <c r="AM143" s="34"/>
      <c r="AP143" s="200"/>
      <c r="AU143" s="200"/>
      <c r="AV143" s="270"/>
      <c r="AW143" s="270"/>
      <c r="AX143" s="270"/>
      <c r="AY143" s="270"/>
      <c r="AZ143" s="200"/>
      <c r="BB143" s="258"/>
    </row>
    <row r="144" spans="2:54" s="44" customFormat="1" hidden="1" outlineLevel="1">
      <c r="B144" s="40"/>
      <c r="C144" s="40"/>
      <c r="D144" s="40"/>
      <c r="E144" s="45"/>
      <c r="F144" s="45"/>
      <c r="G144" s="45"/>
      <c r="H144" s="46"/>
      <c r="I144" s="46"/>
      <c r="J144" s="46"/>
      <c r="K144" s="46"/>
      <c r="L144" s="45"/>
      <c r="M144" s="34"/>
      <c r="N144" s="34"/>
      <c r="O144" s="34"/>
      <c r="P144" s="34"/>
      <c r="Q144" s="86"/>
      <c r="R144" s="53"/>
      <c r="S144" s="53"/>
      <c r="T144" s="53"/>
      <c r="U144" s="53"/>
      <c r="V144" s="86"/>
      <c r="W144" s="53"/>
      <c r="X144" s="53"/>
      <c r="Y144" s="53"/>
      <c r="Z144" s="53"/>
      <c r="AA144" s="86"/>
      <c r="AB144" s="53"/>
      <c r="AC144" s="53"/>
      <c r="AD144" s="53"/>
      <c r="AE144" s="53"/>
      <c r="AF144" s="86"/>
      <c r="AG144" s="53"/>
      <c r="AH144" s="53"/>
      <c r="AI144" s="53"/>
      <c r="AJ144" s="53"/>
      <c r="AK144" s="86"/>
      <c r="AL144" s="34"/>
      <c r="AM144" s="34"/>
      <c r="AP144" s="200"/>
      <c r="AU144" s="200"/>
      <c r="AV144" s="270"/>
      <c r="AW144" s="270"/>
      <c r="AX144" s="270"/>
      <c r="AY144" s="270"/>
      <c r="AZ144" s="200"/>
      <c r="BB144" s="258"/>
    </row>
    <row r="145" spans="2:54" s="44" customFormat="1" collapsed="1">
      <c r="B145" s="47"/>
      <c r="C145" s="40"/>
      <c r="D145" s="40"/>
      <c r="E145" s="45"/>
      <c r="F145" s="45"/>
      <c r="G145" s="45"/>
      <c r="H145" s="46"/>
      <c r="I145" s="46"/>
      <c r="J145" s="46"/>
      <c r="K145" s="46"/>
      <c r="L145" s="45"/>
      <c r="M145" s="34"/>
      <c r="N145" s="34"/>
      <c r="O145" s="34"/>
      <c r="P145" s="34"/>
      <c r="Q145" s="49"/>
      <c r="R145" s="34"/>
      <c r="S145" s="34"/>
      <c r="T145" s="34"/>
      <c r="U145" s="34"/>
      <c r="V145" s="49"/>
      <c r="W145" s="34"/>
      <c r="X145" s="34"/>
      <c r="Y145" s="34"/>
      <c r="Z145" s="34"/>
      <c r="AA145" s="49"/>
      <c r="AB145" s="170"/>
      <c r="AC145" s="170"/>
      <c r="AD145" s="170"/>
      <c r="AE145" s="170"/>
      <c r="AF145" s="49"/>
      <c r="AG145" s="170"/>
      <c r="AH145" s="170"/>
      <c r="AI145" s="170"/>
      <c r="AJ145" s="170"/>
      <c r="AK145" s="49"/>
      <c r="AL145" s="170"/>
      <c r="AM145" s="577"/>
      <c r="AN145" s="170"/>
      <c r="AO145" s="170"/>
      <c r="AP145" s="200"/>
      <c r="AQ145" s="170"/>
      <c r="AR145" s="170"/>
      <c r="AS145" s="170"/>
      <c r="AT145" s="170"/>
      <c r="AU145" s="200"/>
      <c r="AV145" s="270"/>
      <c r="AW145" s="270"/>
      <c r="AX145" s="270"/>
      <c r="AY145" s="270"/>
      <c r="AZ145" s="200"/>
      <c r="BB145" s="258"/>
    </row>
    <row r="146" spans="2:54" s="44" customFormat="1">
      <c r="B146" s="287" t="s">
        <v>455</v>
      </c>
      <c r="C146" s="286"/>
      <c r="D146" s="286"/>
      <c r="E146" s="665" t="s">
        <v>455</v>
      </c>
      <c r="F146" s="665"/>
      <c r="G146" s="665"/>
      <c r="H146" s="665"/>
      <c r="I146" s="665"/>
      <c r="J146" s="665"/>
      <c r="K146" s="665"/>
      <c r="L146" s="665"/>
      <c r="M146" s="665"/>
      <c r="N146" s="665"/>
      <c r="O146" s="665"/>
      <c r="P146" s="665"/>
      <c r="Q146" s="665"/>
      <c r="R146" s="665"/>
      <c r="S146" s="665"/>
      <c r="T146" s="665"/>
      <c r="U146" s="665"/>
      <c r="V146" s="665"/>
      <c r="W146" s="665"/>
      <c r="X146" s="665"/>
      <c r="Y146" s="665"/>
      <c r="Z146" s="665"/>
      <c r="AA146" s="665"/>
      <c r="AB146" s="665"/>
      <c r="AC146" s="665"/>
      <c r="AD146" s="665"/>
      <c r="AE146" s="665"/>
      <c r="AF146" s="665"/>
      <c r="AG146" s="665"/>
      <c r="AH146" s="665"/>
      <c r="AI146" s="665"/>
      <c r="AJ146" s="665"/>
      <c r="AK146" s="665"/>
      <c r="AL146" s="665"/>
      <c r="AM146" s="665"/>
      <c r="AN146" s="197"/>
      <c r="AO146" s="197"/>
      <c r="AP146" s="197"/>
      <c r="AQ146" s="197"/>
      <c r="AR146" s="197"/>
      <c r="AS146" s="197"/>
      <c r="AT146" s="197"/>
      <c r="AU146" s="197"/>
      <c r="AV146" s="197"/>
      <c r="AW146" s="197"/>
      <c r="AX146" s="197"/>
      <c r="AY146" s="197"/>
      <c r="AZ146" s="197"/>
      <c r="BB146" s="258"/>
    </row>
    <row r="147" spans="2:54" s="44" customFormat="1">
      <c r="B147" s="47"/>
      <c r="C147" s="40"/>
      <c r="D147" s="40"/>
      <c r="E147" s="45"/>
      <c r="F147" s="45"/>
      <c r="G147" s="45"/>
      <c r="H147" s="46"/>
      <c r="I147" s="46"/>
      <c r="J147" s="46"/>
      <c r="K147" s="46"/>
      <c r="L147" s="45"/>
      <c r="M147" s="34"/>
      <c r="N147" s="34"/>
      <c r="O147" s="34"/>
      <c r="P147" s="34"/>
      <c r="Q147" s="49"/>
      <c r="R147" s="34"/>
      <c r="S147" s="34"/>
      <c r="T147" s="34"/>
      <c r="U147" s="34"/>
      <c r="V147" s="49"/>
      <c r="W147" s="34"/>
      <c r="X147" s="34"/>
      <c r="Y147" s="71"/>
      <c r="Z147" s="34"/>
      <c r="AA147" s="49"/>
      <c r="AB147" s="71"/>
      <c r="AC147" s="71"/>
      <c r="AD147" s="71"/>
      <c r="AE147" s="34"/>
      <c r="AF147" s="49"/>
      <c r="AG147" s="34"/>
      <c r="AH147" s="34"/>
      <c r="AI147" s="34"/>
      <c r="AJ147" s="34"/>
      <c r="AK147" s="49"/>
      <c r="AL147" s="34"/>
      <c r="AM147" s="34"/>
      <c r="AP147" s="200"/>
      <c r="AU147" s="200"/>
      <c r="AV147" s="270"/>
      <c r="AW147" s="270"/>
      <c r="AX147" s="270"/>
      <c r="AY147" s="270"/>
      <c r="AZ147" s="200"/>
      <c r="BB147" s="258"/>
    </row>
    <row r="148" spans="2:54" s="11" customFormat="1">
      <c r="B148" s="10" t="s">
        <v>10</v>
      </c>
      <c r="C148" s="10"/>
      <c r="D148" s="10"/>
      <c r="E148" s="16"/>
      <c r="F148" s="31"/>
      <c r="G148" s="31"/>
      <c r="H148" s="32"/>
      <c r="I148" s="32"/>
      <c r="J148" s="32"/>
      <c r="K148" s="32"/>
      <c r="L148" s="31"/>
      <c r="M148" s="32"/>
      <c r="N148" s="32"/>
      <c r="O148" s="32">
        <f t="shared" ref="O148:AZ148" si="327">O10</f>
        <v>2856</v>
      </c>
      <c r="P148" s="32">
        <f t="shared" si="327"/>
        <v>2813</v>
      </c>
      <c r="Q148" s="31">
        <f t="shared" si="327"/>
        <v>11020</v>
      </c>
      <c r="R148" s="32">
        <f t="shared" si="327"/>
        <v>2504.0000000000005</v>
      </c>
      <c r="S148" s="32">
        <f t="shared" si="327"/>
        <v>2812</v>
      </c>
      <c r="T148" s="32">
        <f t="shared" si="327"/>
        <v>2870</v>
      </c>
      <c r="U148" s="32">
        <f t="shared" si="327"/>
        <v>2934</v>
      </c>
      <c r="V148" s="31">
        <f t="shared" si="327"/>
        <v>11120</v>
      </c>
      <c r="W148" s="32">
        <f t="shared" si="327"/>
        <v>2612.9999999999995</v>
      </c>
      <c r="X148" s="32">
        <f t="shared" si="327"/>
        <v>2864</v>
      </c>
      <c r="Y148" s="32">
        <f t="shared" si="327"/>
        <v>3020</v>
      </c>
      <c r="Z148" s="32">
        <f t="shared" si="327"/>
        <v>3121</v>
      </c>
      <c r="AA148" s="31">
        <f t="shared" si="327"/>
        <v>11618</v>
      </c>
      <c r="AB148" s="32">
        <f t="shared" si="327"/>
        <v>2902</v>
      </c>
      <c r="AC148" s="32">
        <f t="shared" si="327"/>
        <v>3140</v>
      </c>
      <c r="AD148" s="32">
        <f t="shared" si="327"/>
        <v>3250</v>
      </c>
      <c r="AE148" s="32">
        <f t="shared" si="327"/>
        <v>3391</v>
      </c>
      <c r="AF148" s="31">
        <f t="shared" si="327"/>
        <v>12683</v>
      </c>
      <c r="AG148" s="32">
        <f t="shared" si="327"/>
        <v>3078</v>
      </c>
      <c r="AH148" s="32">
        <f t="shared" si="327"/>
        <v>3554</v>
      </c>
      <c r="AI148" s="32">
        <f t="shared" si="327"/>
        <v>3622</v>
      </c>
      <c r="AJ148" s="32">
        <f t="shared" si="327"/>
        <v>3803</v>
      </c>
      <c r="AK148" s="31">
        <f t="shared" si="327"/>
        <v>14057</v>
      </c>
      <c r="AL148" s="32">
        <f t="shared" si="327"/>
        <v>3353</v>
      </c>
      <c r="AM148" s="32">
        <f t="shared" si="327"/>
        <v>3789</v>
      </c>
      <c r="AN148" s="17">
        <f t="shared" si="327"/>
        <v>3796.6320230143879</v>
      </c>
      <c r="AO148" s="17">
        <f t="shared" si="327"/>
        <v>3918.022304459198</v>
      </c>
      <c r="AP148" s="204">
        <f t="shared" si="327"/>
        <v>14856.654327473587</v>
      </c>
      <c r="AQ148" s="17">
        <f t="shared" si="327"/>
        <v>3418.8211361175349</v>
      </c>
      <c r="AR148" s="17">
        <f t="shared" si="327"/>
        <v>3894.2372799139403</v>
      </c>
      <c r="AS148" s="17">
        <f t="shared" si="327"/>
        <v>3870.316288387301</v>
      </c>
      <c r="AT148" s="17">
        <f t="shared" si="327"/>
        <v>3980.9458178933883</v>
      </c>
      <c r="AU148" s="204">
        <f t="shared" si="327"/>
        <v>15164.320522312166</v>
      </c>
      <c r="AV148" s="17">
        <f t="shared" si="327"/>
        <v>3488.075805093134</v>
      </c>
      <c r="AW148" s="17">
        <f t="shared" si="327"/>
        <v>3976.1074599151975</v>
      </c>
      <c r="AX148" s="17">
        <f t="shared" si="327"/>
        <v>3950.6791366851012</v>
      </c>
      <c r="AY148" s="17">
        <f t="shared" si="327"/>
        <v>4053.7244845515293</v>
      </c>
      <c r="AZ148" s="204">
        <f t="shared" si="327"/>
        <v>15468.586886244962</v>
      </c>
      <c r="BB148" s="257"/>
    </row>
    <row r="149" spans="2:54" s="11" customFormat="1" outlineLevel="1">
      <c r="B149" s="251" t="s">
        <v>475</v>
      </c>
      <c r="C149" s="178" t="s">
        <v>478</v>
      </c>
      <c r="D149" s="178"/>
      <c r="E149" s="36"/>
      <c r="F149" s="37"/>
      <c r="G149" s="37"/>
      <c r="H149" s="35"/>
      <c r="I149" s="35"/>
      <c r="J149" s="35"/>
      <c r="K149" s="35"/>
      <c r="L149" s="37"/>
      <c r="M149" s="35"/>
      <c r="N149" s="35"/>
      <c r="O149" s="35" cm="1">
        <f t="array" ref="O149">_xll.VAData(va_ticker, O$4, $C149, "consensus", "CD", "IMPL","PreQ", "","")</f>
        <v>2850.5709864630589</v>
      </c>
      <c r="P149" s="35" cm="1">
        <f t="array" ref="P149">_xll.VAData(va_ticker, P$4, $C149, "consensus", "CD", "IMPL","PreQ", "","")</f>
        <v>2837.991410261694</v>
      </c>
      <c r="Q149" s="37" cm="1">
        <f t="array" ref="Q149">_xll.VAData(va_ticker, Q$4, $C149, "consensus", "CD", "IMPL","PreQ", "","")</f>
        <v>11047.415567384869</v>
      </c>
      <c r="R149" s="35" cm="1">
        <f t="array" ref="R149">_xll.VAData(va_ticker, R$4, $C149, "consensus", "CD", "IMPL","PreQ", "","")</f>
        <v>2542.3734519022782</v>
      </c>
      <c r="S149" s="35" cm="1">
        <f t="array" ref="S149">_xll.VAData(va_ticker, S$4, $C149, "consensus", "CD", "IMPL","PreQ", "","")</f>
        <v>2854.6307986918014</v>
      </c>
      <c r="T149" s="35" cm="1">
        <f t="array" ref="T149">_xll.VAData(va_ticker, T$4, $C149, "consensus", "CD", "IMPL","PreQ", "","")</f>
        <v>2862.0746006701893</v>
      </c>
      <c r="U149" s="35" cm="1">
        <f t="array" ref="U149">_xll.VAData(va_ticker, U$4, $C149, "consensus", "CD", "IMPL","PreQ", "","")</f>
        <v>2946.2382115849973</v>
      </c>
      <c r="V149" s="37" cm="1">
        <f t="array" ref="V149">_xll.VAData(va_ticker, V$4, $C149, "consensus", "CD", "IMPL","PreQ", "","")</f>
        <v>11132.238211585</v>
      </c>
      <c r="W149" s="35" cm="1">
        <f t="array" ref="W149">_xll.VAData(va_ticker, W$4, $C149, "consensus", "CD", "IMPL","PreQ", "","")</f>
        <v>2553.8897865785757</v>
      </c>
      <c r="X149" s="35" cm="1">
        <f t="array" ref="X149">_xll.VAData(va_ticker, X$4, $C149, "consensus", "CD", "IMPL","PreQ", "","")</f>
        <v>2808.9733042509374</v>
      </c>
      <c r="Y149" s="35" cm="1">
        <f t="array" ref="Y149">_xll.VAData(va_ticker, Y$4, $C149, "consensus", "CD", "IMPL","PreQ", "","")</f>
        <v>2961.3287818212893</v>
      </c>
      <c r="Z149" s="35" cm="1">
        <f t="array" ref="Z149">_xll.VAData(va_ticker, Z$4, $C149, "consensus", "CD", "IMPL","PreQ", "","")</f>
        <v>3034.9740535395063</v>
      </c>
      <c r="AA149" s="37" cm="1">
        <f t="array" ref="AA149">_xll.VAData(va_ticker, AA$4, $C149, "consensus", "CD", "IMPL","PreQ", "","")</f>
        <v>11531.974053539507</v>
      </c>
      <c r="AB149" s="35" cm="1">
        <f t="array" ref="AB149">_xll.VAData(va_ticker, AB$4, $C149, "consensus", "CD", "IMPL","PreQ", "","")</f>
        <v>2719.2651962185587</v>
      </c>
      <c r="AC149" s="35" cm="1">
        <f t="array" ref="AC149">_xll.VAData(va_ticker, AC$4, $C149, "consensus", "CD", "IMPL","PreQ", "","")</f>
        <v>3064.4866500558701</v>
      </c>
      <c r="AD149" s="35" cm="1">
        <f t="array" ref="AD149">_xll.VAData(va_ticker, AD$4, $C149, "consensus", "CD", "IMPL","PreQ", "","")</f>
        <v>3165.7774801289806</v>
      </c>
      <c r="AE149" s="35" cm="1">
        <f t="array" ref="AE149">_xll.VAData(va_ticker, AE$4, $C149, "consensus", "CD", "IMPL","PreQ", "","")</f>
        <v>3294.1947861094886</v>
      </c>
      <c r="AF149" s="37" cm="1">
        <f t="array" ref="AF149">_xll.VAData(va_ticker, AF$4, $C149, "consensus", "CD", "IMPL","PreQ", "","")</f>
        <v>12586.194786109494</v>
      </c>
      <c r="AG149" s="35" cm="1">
        <f t="array" ref="AG149">_xll.VAData(va_ticker, AG$4, $C149, "consensus", "CD", "IMPL","PreQ", "","")</f>
        <v>3005.0010184866287</v>
      </c>
      <c r="AH149" s="35" cm="1">
        <f t="array" ref="AH149">_xll.VAData(va_ticker, AH$4, $C149, "consensus", "CD", "IMPL","PreQ", "","")</f>
        <v>3376.5595153782247</v>
      </c>
      <c r="AI149" s="35" cm="1">
        <f t="array" ref="AI149">_xll.VAData(va_ticker, AI$4, $C149, "consensus", "CD", "IMPL","PreQ", "","")</f>
        <v>3630.4629149962307</v>
      </c>
      <c r="AJ149" s="35" cm="1">
        <f t="array" ref="AJ149">_xll.VAData(va_ticker, AJ$4, $C149, "consensus", "CD", "IMPL","PreQ", "","")</f>
        <v>3786.6928125361051</v>
      </c>
      <c r="AK149" s="37" cm="1">
        <f t="array" ref="AK149">_xll.VAData(va_ticker, AK$4, $C149, "consensus", "CD", "IMPL","PreQ", "","")</f>
        <v>14040.692812536116</v>
      </c>
      <c r="AL149" s="35" cm="1">
        <f t="array" ref="AL149">_xll.VAData(va_ticker, AL$4, $C149, "consensus", "CD", "IMPL","PreQ", "","")</f>
        <v>3309.7312457996431</v>
      </c>
      <c r="AM149" s="203" cm="1">
        <f t="array" ref="AM149">_xll.VAData(va_ticker, AM$4, $C149, "consensus", "CD", "IMPL","PreQ", "","")</f>
        <v>3694.049462288815</v>
      </c>
      <c r="AN149" s="203" cm="1">
        <f t="array" ref="AN149">_xll.VAData("KDP_US", AN$4, $C149, "consensus", "CD", "IMPL","","")</f>
        <v>3772.2246745282205</v>
      </c>
      <c r="AO149" s="203" cm="1">
        <f t="array" ref="AO149">_xll.VAData("KDP_US", AO$4, $C149, "consensus", "CD", "IMPL","","")</f>
        <v>3971.3626385488278</v>
      </c>
      <c r="AP149" s="205" cm="1">
        <f t="array" ref="AP149">_xll.VAData("KDP_US", AP$4, $C149, "consensus", "CD", "IMPL","","")</f>
        <v>14885.587313077049</v>
      </c>
      <c r="AQ149" s="203" cm="1">
        <f t="array" ref="AQ149">_xll.VAData("KDP_US", AQ$4, $C149, "consensus", "CD", "IMPL","","")</f>
        <v>3497.3673537094928</v>
      </c>
      <c r="AR149" s="203" cm="1">
        <f t="array" ref="AR149">_xll.VAData("KDP_US", AR$4, $C149, "consensus", "CD", "IMPL","","")</f>
        <v>3965.495019520984</v>
      </c>
      <c r="AS149" s="203" cm="1">
        <f t="array" ref="AS149">_xll.VAData("KDP_US", AS$4, $C149, "consensus", "CD", "IMPL","","")</f>
        <v>3942.3199666843616</v>
      </c>
      <c r="AT149" s="203" cm="1">
        <f t="array" ref="AT149">_xll.VAData("KDP_US", AT$4, $C149, "consensus", "CD", "IMPL","","")</f>
        <v>4129.1172178293828</v>
      </c>
      <c r="AU149" s="205" cm="1">
        <f t="array" ref="AU149">_xll.VAData("KDP_US", AU$4, $C149, "consensus", "CD", "IMPL","","")</f>
        <v>15534.299557744216</v>
      </c>
      <c r="AV149" s="203" cm="1">
        <f t="array" ref="AV149">_xll.VAData("KDP_US", AV$4, $C149, "consensus", "CD", "IMPL","","")</f>
        <v>3634.3742422916666</v>
      </c>
      <c r="AW149" s="203" cm="1">
        <f t="array" ref="AW149">_xll.VAData("KDP_US", AW$4, $C149, "consensus", "CD", "IMPL","","")</f>
        <v>4096.1910916666666</v>
      </c>
      <c r="AX149" s="203" cm="1">
        <f t="array" ref="AX149">_xll.VAData("KDP_US", AX$4, $C149, "consensus", "CD", "IMPL","","")</f>
        <v>4086.996491094485</v>
      </c>
      <c r="AY149" s="203" cm="1">
        <f t="array" ref="AY149">_xll.VAData("KDP_US", AY$4, $C149, "consensus", "CD", "IMPL","","")</f>
        <v>4295.2569885810481</v>
      </c>
      <c r="AZ149" s="205" cm="1">
        <f t="array" ref="AZ149">_xll.VAData("KDP_US", AZ$4, $C149, "consensus", "CD", "IMPL","","")</f>
        <v>16177.2013420984</v>
      </c>
      <c r="BB149" s="257"/>
    </row>
    <row r="150" spans="2:54" s="11" customFormat="1" outlineLevel="1">
      <c r="B150" s="251" t="s">
        <v>868</v>
      </c>
      <c r="C150" s="178"/>
      <c r="D150" s="178"/>
      <c r="E150" s="36"/>
      <c r="F150" s="37"/>
      <c r="G150" s="37"/>
      <c r="H150" s="35"/>
      <c r="I150" s="35"/>
      <c r="J150" s="35"/>
      <c r="K150" s="35"/>
      <c r="L150" s="37"/>
      <c r="M150" s="35"/>
      <c r="N150" s="35"/>
      <c r="O150" s="35"/>
      <c r="P150" s="35"/>
      <c r="Q150" s="37"/>
      <c r="R150" s="35"/>
      <c r="S150" s="35"/>
      <c r="T150" s="60">
        <f>T148/O148-1</f>
        <v>4.9019607843137081E-3</v>
      </c>
      <c r="U150" s="218">
        <f t="shared" ref="U150" si="328">U148/P148-1</f>
        <v>4.3014575186633541E-2</v>
      </c>
      <c r="V150" s="62">
        <f t="shared" ref="V150" si="329">V148/Q148-1</f>
        <v>9.0744101633393193E-3</v>
      </c>
      <c r="W150" s="218">
        <f t="shared" ref="W150" si="330">W148/R148-1</f>
        <v>4.3530351437699233E-2</v>
      </c>
      <c r="X150" s="218">
        <f t="shared" ref="X150" si="331">X148/S148-1</f>
        <v>1.849217638691325E-2</v>
      </c>
      <c r="Y150" s="218">
        <f t="shared" ref="Y150" si="332">Y148/T148-1</f>
        <v>5.2264808362369353E-2</v>
      </c>
      <c r="Z150" s="218">
        <f t="shared" ref="Z150" si="333">Z148/U148-1</f>
        <v>6.3735514655760106E-2</v>
      </c>
      <c r="AA150" s="62">
        <f t="shared" ref="AA150" si="334">AA148/V148-1</f>
        <v>4.4784172661870514E-2</v>
      </c>
      <c r="AB150" s="218">
        <f t="shared" ref="AB150" si="335">AB148/W148-1</f>
        <v>0.11060084194412578</v>
      </c>
      <c r="AC150" s="218">
        <f t="shared" ref="AC150" si="336">AC148/X148-1</f>
        <v>9.636871508379885E-2</v>
      </c>
      <c r="AD150" s="218">
        <f t="shared" ref="AD150" si="337">AD148/Y148-1</f>
        <v>7.6158940397351049E-2</v>
      </c>
      <c r="AE150" s="218">
        <f t="shared" ref="AE150" si="338">AE148/Z148-1</f>
        <v>8.6510733739186163E-2</v>
      </c>
      <c r="AF150" s="62">
        <f t="shared" ref="AF150" si="339">AF148/AA148-1</f>
        <v>9.1668101222241338E-2</v>
      </c>
      <c r="AG150" s="218">
        <f t="shared" ref="AG150" si="340">AG148/AB148-1</f>
        <v>6.0647829083390725E-2</v>
      </c>
      <c r="AH150" s="218">
        <f t="shared" ref="AH150" si="341">AH148/AC148-1</f>
        <v>0.13184713375796187</v>
      </c>
      <c r="AI150" s="218">
        <f t="shared" ref="AI150" si="342">AI148/AD148-1</f>
        <v>0.11446153846153839</v>
      </c>
      <c r="AJ150" s="218">
        <f t="shared" ref="AJ150" si="343">AJ148/AE148-1</f>
        <v>0.12149808316130928</v>
      </c>
      <c r="AK150" s="62">
        <f t="shared" ref="AK150" si="344">AK148/AF148-1</f>
        <v>0.1083339903808247</v>
      </c>
      <c r="AL150" s="218">
        <f t="shared" ref="AL150" si="345">AL148/AG148-1</f>
        <v>8.934372969460691E-2</v>
      </c>
      <c r="AM150" s="218">
        <f t="shared" ref="AM150" si="346">AM148/AH148-1</f>
        <v>6.61226786719189E-2</v>
      </c>
      <c r="AN150" s="218">
        <f t="shared" ref="AN150" si="347">AN148/AI148-1</f>
        <v>4.8214252626832543E-2</v>
      </c>
      <c r="AO150" s="165">
        <f t="shared" ref="AO150" si="348">AO148/AJ148-1</f>
        <v>3.0245149739468236E-2</v>
      </c>
      <c r="AP150" s="237">
        <f t="shared" ref="AP150" si="349">AP148/AK148-1</f>
        <v>5.6886556695851631E-2</v>
      </c>
      <c r="AQ150" s="165">
        <f t="shared" ref="AQ150" si="350">AQ148/AL148-1</f>
        <v>1.9630520762760284E-2</v>
      </c>
      <c r="AR150" s="165">
        <f t="shared" ref="AR150" si="351">AR148/AM148-1</f>
        <v>2.7774420668762234E-2</v>
      </c>
      <c r="AS150" s="165">
        <f t="shared" ref="AS150" si="352">AS148/AN148-1</f>
        <v>1.9407797470561983E-2</v>
      </c>
      <c r="AT150" s="165">
        <f t="shared" ref="AT150" si="353">AT148/AO148-1</f>
        <v>1.6060019199629183E-2</v>
      </c>
      <c r="AU150" s="237">
        <f t="shared" ref="AU150" si="354">AU148/AP148-1</f>
        <v>2.0708982524391795E-2</v>
      </c>
      <c r="AV150" s="165">
        <f t="shared" ref="AV150" si="355">AV148/AQ148-1</f>
        <v>2.0256885697812699E-2</v>
      </c>
      <c r="AW150" s="165">
        <f t="shared" ref="AW150" si="356">AW148/AR148-1</f>
        <v>2.1023418481337819E-2</v>
      </c>
      <c r="AX150" s="165">
        <f t="shared" ref="AX150" si="357">AX148/AS148-1</f>
        <v>2.0763896878124743E-2</v>
      </c>
      <c r="AY150" s="165">
        <f t="shared" ref="AY150" si="358">AY148/AT148-1</f>
        <v>1.8281752625473713E-2</v>
      </c>
      <c r="AZ150" s="237">
        <f t="shared" ref="AZ150" si="359">AZ148/AU148-1</f>
        <v>2.0064622314274638E-2</v>
      </c>
      <c r="BB150" s="257"/>
    </row>
    <row r="151" spans="2:54">
      <c r="B151" s="11" t="s">
        <v>439</v>
      </c>
      <c r="C151" s="6" t="s">
        <v>481</v>
      </c>
      <c r="D151" s="6"/>
      <c r="E151" s="14"/>
      <c r="F151" s="14"/>
      <c r="G151" s="14"/>
      <c r="H151" s="15"/>
      <c r="I151" s="15"/>
      <c r="J151" s="15"/>
      <c r="K151" s="15"/>
      <c r="L151" s="14"/>
      <c r="M151" s="15"/>
      <c r="N151" s="15"/>
      <c r="O151" s="585">
        <v>1266</v>
      </c>
      <c r="P151" s="585">
        <v>1251</v>
      </c>
      <c r="Q151" s="586">
        <v>4864</v>
      </c>
      <c r="R151" s="585">
        <v>1085</v>
      </c>
      <c r="S151" s="585">
        <v>1195</v>
      </c>
      <c r="T151" s="585">
        <v>1231</v>
      </c>
      <c r="U151" s="585">
        <v>1281</v>
      </c>
      <c r="V151" s="586">
        <v>4792</v>
      </c>
      <c r="W151" s="585">
        <v>1129</v>
      </c>
      <c r="X151" s="585">
        <v>1253</v>
      </c>
      <c r="Y151" s="585">
        <v>1333</v>
      </c>
      <c r="Z151" s="585">
        <v>1377</v>
      </c>
      <c r="AA151" s="586">
        <v>5092</v>
      </c>
      <c r="AB151" s="585">
        <v>1291</v>
      </c>
      <c r="AC151" s="585">
        <v>1366</v>
      </c>
      <c r="AD151" s="585">
        <v>1418</v>
      </c>
      <c r="AE151" s="585">
        <v>1565</v>
      </c>
      <c r="AF151" s="586">
        <v>5640</v>
      </c>
      <c r="AG151" s="585">
        <v>1455</v>
      </c>
      <c r="AH151" s="585">
        <v>1609</v>
      </c>
      <c r="AI151" s="585">
        <v>1637</v>
      </c>
      <c r="AJ151" s="585">
        <v>1788</v>
      </c>
      <c r="AK151" s="586">
        <v>6489</v>
      </c>
      <c r="AL151" s="585">
        <v>1585</v>
      </c>
      <c r="AM151" s="585">
        <v>1713</v>
      </c>
      <c r="AN151" s="15">
        <f>AN148-AN154</f>
        <v>1686.8277856099335</v>
      </c>
      <c r="AO151" s="15">
        <f>AO148*(1-AO157)</f>
        <v>1726.9389396538243</v>
      </c>
      <c r="AP151" s="206">
        <f>SUM(AL151:AO151)</f>
        <v>6711.7667252637584</v>
      </c>
      <c r="AQ151" s="15">
        <f t="shared" ref="AQ151:AT151" si="360">AQ148*(1-AQ157)</f>
        <v>1615.4493715549693</v>
      </c>
      <c r="AR151" s="15">
        <f t="shared" si="360"/>
        <v>1766.5419799385354</v>
      </c>
      <c r="AS151" s="15">
        <f t="shared" si="360"/>
        <v>1740.9921964111136</v>
      </c>
      <c r="AT151" s="15">
        <f t="shared" si="360"/>
        <v>1777.4015931561046</v>
      </c>
      <c r="AU151" s="206">
        <f>SUM(AQ151:AT151)</f>
        <v>6900.3851410607222</v>
      </c>
      <c r="AV151" s="15">
        <f t="shared" ref="AV151:AY151" si="361">AV148*(1-AV157)</f>
        <v>1669.7286835954908</v>
      </c>
      <c r="AW151" s="15">
        <f t="shared" si="361"/>
        <v>1826.8069349455702</v>
      </c>
      <c r="AX151" s="15">
        <f t="shared" si="361"/>
        <v>1799.455251454239</v>
      </c>
      <c r="AY151" s="15">
        <f t="shared" si="361"/>
        <v>1834.4799917246285</v>
      </c>
      <c r="AZ151" s="206">
        <f>SUM(AV151:AY151)</f>
        <v>7130.4708617199285</v>
      </c>
    </row>
    <row r="152" spans="2:54" hidden="1" outlineLevel="1">
      <c r="B152" s="251" t="s">
        <v>476</v>
      </c>
      <c r="C152" s="6" t="s">
        <v>479</v>
      </c>
      <c r="D152" s="6"/>
      <c r="E152" s="36"/>
      <c r="F152" s="36"/>
      <c r="G152" s="36"/>
      <c r="H152" s="203"/>
      <c r="I152" s="203"/>
      <c r="J152" s="203"/>
      <c r="K152" s="203"/>
      <c r="L152" s="36"/>
      <c r="M152" s="203"/>
      <c r="N152" s="203"/>
      <c r="O152" s="203" cm="1">
        <f t="array" ref="O152">_xll.VAData(va_ticker, O$4, $C152, "consensus", "CD", "IMPL","PreQ", "","")</f>
        <v>1268.5985297894672</v>
      </c>
      <c r="P152" s="203" cm="1">
        <f t="array" ref="P152">_xll.VAData(va_ticker, P$4, $C152, "consensus", "CD", "IMPL","PreQ", "","")</f>
        <v>1281.4086655018023</v>
      </c>
      <c r="Q152" s="36" cm="1">
        <f t="array" ref="Q152">_xll.VAData(va_ticker, Q$4, $C152, "consensus", "CD", "IMPL","PreQ", "","")</f>
        <v>4921.4086655018018</v>
      </c>
      <c r="R152" s="203" cm="1">
        <f t="array" ref="R152">_xll.VAData(va_ticker, R$4, $C152, "consensus", "CD", "IMPL","PreQ", "","")</f>
        <v>1131.147236608613</v>
      </c>
      <c r="S152" s="203" cm="1">
        <f t="array" ref="S152">_xll.VAData(va_ticker, S$4, $C152, "consensus", "CD", "IMPL","PreQ", "","")</f>
        <v>1241.6880282274767</v>
      </c>
      <c r="T152" s="203" cm="1">
        <f t="array" ref="T152">_xll.VAData(va_ticker, T$4, $C152, "consensus", "CD", "IMPL","PreQ", "","")</f>
        <v>1246.4537052289863</v>
      </c>
      <c r="U152" s="203" cm="1">
        <f t="array" ref="U152">_xll.VAData(va_ticker, U$4, $C152, "consensus", "CD", "IMPL","PreQ", "","")</f>
        <v>1277.3445975833047</v>
      </c>
      <c r="V152" s="36" cm="1">
        <f t="array" ref="V152">_xll.VAData(va_ticker, V$4, $C152, "consensus", "CD", "IMPL","PreQ", "","")</f>
        <v>4788.3445975833047</v>
      </c>
      <c r="W152" s="203" cm="1">
        <f t="array" ref="W152">_xll.VAData(va_ticker, W$4, $C152, "consensus", "CD", "IMPL","PreQ", "","")</f>
        <v>1104.9924288833001</v>
      </c>
      <c r="X152" s="203" cm="1">
        <f t="array" ref="X152">_xll.VAData(va_ticker, X$4, $C152, "consensus", "CD", "IMPL","PreQ", "","")</f>
        <v>1199.1052793959941</v>
      </c>
      <c r="Y152" s="203" cm="1">
        <f t="array" ref="Y152">_xll.VAData(va_ticker, Y$4, $C152, "consensus", "CD", "IMPL","PreQ", "","")</f>
        <v>1267.0987198462421</v>
      </c>
      <c r="Z152" s="203" cm="1">
        <f t="array" ref="Z152">_xll.VAData(va_ticker, Z$4, $C152, "consensus", "CD", "IMPL","PreQ", "","")</f>
        <v>1332.3376490802036</v>
      </c>
      <c r="AA152" s="36" cm="1">
        <f t="array" ref="AA152">_xll.VAData(va_ticker, AA$4, $C152, "consensus", "CD", "IMPL","PreQ", "","")</f>
        <v>5047.3376490802038</v>
      </c>
      <c r="AB152" s="203" cm="1">
        <f t="array" ref="AB152">_xll.VAData(va_ticker, AB$4, $C152, "consensus", "CD", "IMPL","PreQ", "","")</f>
        <v>1168.8215678445749</v>
      </c>
      <c r="AC152" s="203" cm="1">
        <f t="array" ref="AC152">_xll.VAData(va_ticker, AC$4, $C152, "consensus", "CD", "IMPL","PreQ", "","")</f>
        <v>1349.4384572786637</v>
      </c>
      <c r="AD152" s="203" cm="1">
        <f t="array" ref="AD152">_xll.VAData(va_ticker, AD$4, $C152, "consensus", "CD", "IMPL","PreQ", "","")</f>
        <v>1386.9578002592166</v>
      </c>
      <c r="AE152" s="203" cm="1">
        <f t="array" ref="AE152">_xll.VAData(va_ticker, AE$4, $C152, "consensus", "CD", "IMPL","PreQ", "","")</f>
        <v>1446.0350491155843</v>
      </c>
      <c r="AF152" s="36" cm="1">
        <f t="array" ref="AF152">_xll.VAData(va_ticker, AF$4, $C152, "consensus", "CD", "IMPL","PreQ", "","")</f>
        <v>5521.0350491155841</v>
      </c>
      <c r="AG152" s="203" cm="1">
        <f t="array" ref="AG152">_xll.VAData(va_ticker, AG$4, $C152, "consensus", "CD", "IMPL","PreQ", "","")</f>
        <v>1397.9943457192746</v>
      </c>
      <c r="AH152" s="203" cm="1">
        <f t="array" ref="AH152">_xll.VAData(va_ticker, AH$4, $C152, "consensus", "CD", "IMPL","PreQ", "","")</f>
        <v>1543.3610615162415</v>
      </c>
      <c r="AI152" s="203" cm="1">
        <f t="array" ref="AI152">_xll.VAData(va_ticker, AI$4, $C152, "consensus", "CD", "IMPL","PreQ", "","")</f>
        <v>1638.4879218641859</v>
      </c>
      <c r="AJ152" s="203" cm="1">
        <f t="array" ref="AJ152">_xll.VAData(va_ticker, AJ$4, $C152, "consensus", "CD", "IMPL","PreQ", "","")</f>
        <v>1711.8125190909122</v>
      </c>
      <c r="AK152" s="36" cm="1">
        <f t="array" ref="AK152">_xll.VAData(va_ticker, AK$4, $C152, "consensus", "CD", "IMPL","PreQ", "","")</f>
        <v>6412.8125190909122</v>
      </c>
      <c r="AL152" s="203" cm="1">
        <f t="array" ref="AL152">_xll.VAData(va_ticker, AL$4, $C152, "consensus", "CD", "IMPL","PreQ", "","")</f>
        <v>1577.4690304671005</v>
      </c>
      <c r="AM152" s="203" cm="1">
        <f t="array" ref="AM152">_xll.VAData(va_ticker, AM$4, $C152, "consensus", "CD", "IMPL","PreQ", "","")</f>
        <v>1673.3778614666708</v>
      </c>
      <c r="AN152" s="203" cm="1">
        <f t="array" ref="AN152">_xll.VAData("KDP_US", AN$4, $C152, "consensus", "CD", "IMPL","","")</f>
        <v>1680.2431441463909</v>
      </c>
      <c r="AO152" s="203" cm="1">
        <f t="array" ref="AO152">_xll.VAData("KDP_US", AO$4, $C152, "consensus", "CD", "IMPL","","")</f>
        <v>1793.6662835798793</v>
      </c>
      <c r="AP152" s="205" cm="1">
        <f t="array" ref="AP152">_xll.VAData("KDP_US", AP$4, $C152, "consensus", "CD", "IMPL","","")</f>
        <v>6771.9094277262693</v>
      </c>
      <c r="AQ152" s="203" cm="1">
        <f t="array" ref="AQ152">_xll.VAData("KDP_US", AQ$4, $C152, "consensus", "CD", "IMPL","","")</f>
        <v>1621.6880182014966</v>
      </c>
      <c r="AR152" s="203" cm="1">
        <f t="array" ref="AR152">_xll.VAData("KDP_US", AR$4, $C152, "consensus", "CD", "IMPL","","")</f>
        <v>1771.7894405810951</v>
      </c>
      <c r="AS152" s="203" cm="1">
        <f t="array" ref="AS152">_xll.VAData("KDP_US", AS$4, $C152, "consensus", "CD", "IMPL","","")</f>
        <v>1742.54093834693</v>
      </c>
      <c r="AT152" s="203" cm="1">
        <f t="array" ref="AT152">_xll.VAData("KDP_US", AT$4, $C152, "consensus", "CD", "IMPL","","")</f>
        <v>1848.3517425033551</v>
      </c>
      <c r="AU152" s="205" cm="1">
        <f t="array" ref="AU152">_xll.VAData("KDP_US", AU$4, $C152, "consensus", "CD", "IMPL","","")</f>
        <v>6984.3701396328752</v>
      </c>
      <c r="AV152" s="203" cm="1">
        <f t="array" ref="AV152">_xll.VAData("KDP_US", AV$4, $C152, "consensus", "CD", "IMPL","","")</f>
        <v>1661.8262344572333</v>
      </c>
      <c r="AW152" s="203" cm="1">
        <f t="array" ref="AW152">_xll.VAData("KDP_US", AW$4, $C152, "consensus", "CD", "IMPL","","")</f>
        <v>1813.2543439829617</v>
      </c>
      <c r="AX152" s="203" cm="1">
        <f t="array" ref="AX152">_xll.VAData("KDP_US", AX$4, $C152, "consensus", "CD", "IMPL","","")</f>
        <v>1793.16106967778</v>
      </c>
      <c r="AY152" s="203" cm="1">
        <f t="array" ref="AY152">_xll.VAData("KDP_US", AY$4, $C152, "consensus", "CD", "IMPL","","")</f>
        <v>1895.7903169506567</v>
      </c>
      <c r="AZ152" s="205" cm="1">
        <f t="array" ref="AZ152">_xll.VAData("KDP_US", AZ$4, $C152, "consensus", "CD", "IMPL","","")</f>
        <v>7207.0634326552463</v>
      </c>
    </row>
    <row r="153" spans="2:54" hidden="1" outlineLevel="1">
      <c r="B153" s="251" t="s">
        <v>866</v>
      </c>
      <c r="C153" s="6"/>
      <c r="D153" s="6"/>
      <c r="E153" s="36"/>
      <c r="F153" s="36"/>
      <c r="G153" s="36"/>
      <c r="H153" s="203"/>
      <c r="I153" s="203"/>
      <c r="J153" s="203"/>
      <c r="K153" s="203"/>
      <c r="L153" s="36"/>
      <c r="M153" s="203"/>
      <c r="N153" s="203"/>
      <c r="O153" s="218"/>
      <c r="P153" s="218"/>
      <c r="Q153" s="62"/>
      <c r="R153" s="218"/>
      <c r="S153" s="218"/>
      <c r="T153" s="60">
        <f>T151/O151-1</f>
        <v>-2.7646129541864184E-2</v>
      </c>
      <c r="U153" s="218">
        <f t="shared" ref="U153:AZ153" si="362">U151/P151-1</f>
        <v>2.3980815347721895E-2</v>
      </c>
      <c r="V153" s="62">
        <f t="shared" si="362"/>
        <v>-1.4802631578947345E-2</v>
      </c>
      <c r="W153" s="218">
        <f t="shared" si="362"/>
        <v>4.0552995391704982E-2</v>
      </c>
      <c r="X153" s="218">
        <f t="shared" si="362"/>
        <v>4.853556485355659E-2</v>
      </c>
      <c r="Y153" s="218">
        <f t="shared" si="362"/>
        <v>8.2859463850528003E-2</v>
      </c>
      <c r="Z153" s="218">
        <f t="shared" si="362"/>
        <v>7.4941451990632402E-2</v>
      </c>
      <c r="AA153" s="62">
        <f t="shared" si="362"/>
        <v>6.260434056761266E-2</v>
      </c>
      <c r="AB153" s="218">
        <f t="shared" si="362"/>
        <v>0.14348981399468563</v>
      </c>
      <c r="AC153" s="218">
        <f t="shared" si="362"/>
        <v>9.0183559457302387E-2</v>
      </c>
      <c r="AD153" s="218">
        <f t="shared" si="362"/>
        <v>6.3765941485371291E-2</v>
      </c>
      <c r="AE153" s="218">
        <f t="shared" si="362"/>
        <v>0.13652868554829345</v>
      </c>
      <c r="AF153" s="62">
        <f t="shared" si="362"/>
        <v>0.10761979575805181</v>
      </c>
      <c r="AG153" s="218">
        <f t="shared" si="362"/>
        <v>0.12703330751355546</v>
      </c>
      <c r="AH153" s="218">
        <f t="shared" si="362"/>
        <v>0.17789165446559307</v>
      </c>
      <c r="AI153" s="218">
        <f t="shared" si="362"/>
        <v>0.1544428772919606</v>
      </c>
      <c r="AJ153" s="218">
        <f t="shared" si="362"/>
        <v>0.14249201277955281</v>
      </c>
      <c r="AK153" s="62">
        <f t="shared" si="362"/>
        <v>0.15053191489361706</v>
      </c>
      <c r="AL153" s="218">
        <f t="shared" si="362"/>
        <v>8.9347079037800592E-2</v>
      </c>
      <c r="AM153" s="218">
        <f t="shared" si="362"/>
        <v>6.4636420136730877E-2</v>
      </c>
      <c r="AN153" s="218">
        <f t="shared" si="362"/>
        <v>3.0438476243086932E-2</v>
      </c>
      <c r="AO153" s="218">
        <f t="shared" si="362"/>
        <v>-3.4150481177950609E-2</v>
      </c>
      <c r="AP153" s="219">
        <f t="shared" si="362"/>
        <v>3.4329900641664191E-2</v>
      </c>
      <c r="AQ153" s="218">
        <f t="shared" si="362"/>
        <v>1.9210959971589503E-2</v>
      </c>
      <c r="AR153" s="218">
        <f t="shared" si="362"/>
        <v>3.1256263828683739E-2</v>
      </c>
      <c r="AS153" s="218">
        <f t="shared" si="362"/>
        <v>3.2110219705442589E-2</v>
      </c>
      <c r="AT153" s="218">
        <f t="shared" si="362"/>
        <v>2.922086724872619E-2</v>
      </c>
      <c r="AU153" s="219">
        <f t="shared" si="362"/>
        <v>2.8102647710771089E-2</v>
      </c>
      <c r="AV153" s="218">
        <f t="shared" si="362"/>
        <v>3.3600131948594791E-2</v>
      </c>
      <c r="AW153" s="218">
        <f t="shared" si="362"/>
        <v>3.4114646406043336E-2</v>
      </c>
      <c r="AX153" s="218">
        <f t="shared" si="362"/>
        <v>3.358030849514515E-2</v>
      </c>
      <c r="AY153" s="218">
        <f t="shared" si="362"/>
        <v>3.2113394512700122E-2</v>
      </c>
      <c r="AZ153" s="219">
        <f t="shared" si="362"/>
        <v>3.3343895442890847E-2</v>
      </c>
    </row>
    <row r="154" spans="2:54" collapsed="1">
      <c r="B154" s="11" t="s">
        <v>9</v>
      </c>
      <c r="C154" s="6" t="s">
        <v>443</v>
      </c>
      <c r="D154" s="6"/>
      <c r="E154" s="14"/>
      <c r="F154" s="14"/>
      <c r="G154" s="14"/>
      <c r="H154" s="15"/>
      <c r="I154" s="15"/>
      <c r="J154" s="15"/>
      <c r="K154" s="15"/>
      <c r="L154" s="14"/>
      <c r="M154" s="15"/>
      <c r="N154" s="15"/>
      <c r="O154" s="15">
        <f>O148-O151</f>
        <v>1590</v>
      </c>
      <c r="P154" s="15">
        <f>P148-P151</f>
        <v>1562</v>
      </c>
      <c r="Q154" s="14">
        <f>Q148-Q151</f>
        <v>6156</v>
      </c>
      <c r="R154" s="15">
        <f t="shared" ref="R154:AM154" si="363">R148-R151</f>
        <v>1419.0000000000005</v>
      </c>
      <c r="S154" s="15">
        <f t="shared" si="363"/>
        <v>1617</v>
      </c>
      <c r="T154" s="15">
        <f t="shared" si="363"/>
        <v>1639</v>
      </c>
      <c r="U154" s="15">
        <f t="shared" si="363"/>
        <v>1653</v>
      </c>
      <c r="V154" s="14">
        <f t="shared" si="363"/>
        <v>6328</v>
      </c>
      <c r="W154" s="15">
        <f t="shared" si="363"/>
        <v>1483.9999999999995</v>
      </c>
      <c r="X154" s="15">
        <f t="shared" si="363"/>
        <v>1611</v>
      </c>
      <c r="Y154" s="15">
        <f t="shared" si="363"/>
        <v>1687</v>
      </c>
      <c r="Z154" s="15">
        <f t="shared" si="363"/>
        <v>1744</v>
      </c>
      <c r="AA154" s="14">
        <f t="shared" si="363"/>
        <v>6526</v>
      </c>
      <c r="AB154" s="15">
        <f t="shared" si="363"/>
        <v>1611</v>
      </c>
      <c r="AC154" s="15">
        <f t="shared" si="363"/>
        <v>1774</v>
      </c>
      <c r="AD154" s="15">
        <f t="shared" si="363"/>
        <v>1832</v>
      </c>
      <c r="AE154" s="15">
        <f t="shared" si="363"/>
        <v>1826</v>
      </c>
      <c r="AF154" s="14">
        <f t="shared" si="363"/>
        <v>7043</v>
      </c>
      <c r="AG154" s="15">
        <f t="shared" si="363"/>
        <v>1623</v>
      </c>
      <c r="AH154" s="15">
        <f t="shared" si="363"/>
        <v>1945</v>
      </c>
      <c r="AI154" s="15">
        <f t="shared" si="363"/>
        <v>1985</v>
      </c>
      <c r="AJ154" s="15">
        <f t="shared" si="363"/>
        <v>2015</v>
      </c>
      <c r="AK154" s="14">
        <f t="shared" si="363"/>
        <v>7568</v>
      </c>
      <c r="AL154" s="15">
        <f t="shared" si="363"/>
        <v>1768</v>
      </c>
      <c r="AM154" s="15">
        <f t="shared" si="363"/>
        <v>2076</v>
      </c>
      <c r="AN154" s="15">
        <f>AN169+AN312</f>
        <v>2109.8042374044544</v>
      </c>
      <c r="AO154" s="15">
        <f>AO169+AO312</f>
        <v>2191.083364805374</v>
      </c>
      <c r="AP154" s="206">
        <f t="shared" ref="AP154:AZ154" si="364">AP169+AP312</f>
        <v>8149.8876022098284</v>
      </c>
      <c r="AQ154" s="15">
        <f t="shared" si="364"/>
        <v>1803.3717645625657</v>
      </c>
      <c r="AR154" s="15">
        <f t="shared" si="364"/>
        <v>2127.6952999754049</v>
      </c>
      <c r="AS154" s="15">
        <f t="shared" si="364"/>
        <v>2129.3240919761874</v>
      </c>
      <c r="AT154" s="15">
        <f t="shared" si="364"/>
        <v>2203.5442247372839</v>
      </c>
      <c r="AU154" s="206">
        <f t="shared" si="364"/>
        <v>8263.9353812514419</v>
      </c>
      <c r="AV154" s="15">
        <f t="shared" si="364"/>
        <v>1818.3471214976435</v>
      </c>
      <c r="AW154" s="15">
        <f t="shared" si="364"/>
        <v>2149.3005249696275</v>
      </c>
      <c r="AX154" s="15">
        <f t="shared" si="364"/>
        <v>2151.2238852308619</v>
      </c>
      <c r="AY154" s="15">
        <f t="shared" si="364"/>
        <v>2219.2444928269006</v>
      </c>
      <c r="AZ154" s="206">
        <f t="shared" si="364"/>
        <v>8338.1160245250339</v>
      </c>
    </row>
    <row r="155" spans="2:54" hidden="1" outlineLevel="1">
      <c r="B155" s="5" t="s">
        <v>477</v>
      </c>
      <c r="C155" s="6"/>
      <c r="D155" s="6"/>
      <c r="E155" s="36"/>
      <c r="F155" s="36"/>
      <c r="G155" s="36"/>
      <c r="H155" s="203"/>
      <c r="I155" s="203"/>
      <c r="J155" s="203"/>
      <c r="K155" s="203"/>
      <c r="L155" s="36"/>
      <c r="M155" s="203"/>
      <c r="N155" s="203"/>
      <c r="O155" s="203">
        <f t="shared" ref="O155:AL155" si="365">O149-O152</f>
        <v>1581.9724566735918</v>
      </c>
      <c r="P155" s="203">
        <f t="shared" si="365"/>
        <v>1556.5827447598917</v>
      </c>
      <c r="Q155" s="36">
        <f t="shared" si="365"/>
        <v>6126.0069018830673</v>
      </c>
      <c r="R155" s="203">
        <f t="shared" si="365"/>
        <v>1411.2262152936653</v>
      </c>
      <c r="S155" s="203">
        <f t="shared" si="365"/>
        <v>1612.9427704643247</v>
      </c>
      <c r="T155" s="203">
        <f t="shared" si="365"/>
        <v>1615.6208954412029</v>
      </c>
      <c r="U155" s="203">
        <f t="shared" si="365"/>
        <v>1668.8936140016926</v>
      </c>
      <c r="V155" s="36">
        <f t="shared" si="365"/>
        <v>6343.8936140016949</v>
      </c>
      <c r="W155" s="203">
        <f t="shared" si="365"/>
        <v>1448.8973576952756</v>
      </c>
      <c r="X155" s="203">
        <f t="shared" si="365"/>
        <v>1609.8680248549433</v>
      </c>
      <c r="Y155" s="203">
        <f t="shared" si="365"/>
        <v>1694.2300619750472</v>
      </c>
      <c r="Z155" s="203">
        <f t="shared" si="365"/>
        <v>1702.6364044593026</v>
      </c>
      <c r="AA155" s="36">
        <f t="shared" si="365"/>
        <v>6484.6364044593029</v>
      </c>
      <c r="AB155" s="203">
        <f t="shared" si="365"/>
        <v>1550.4436283739838</v>
      </c>
      <c r="AC155" s="203">
        <f t="shared" si="365"/>
        <v>1715.0481927772064</v>
      </c>
      <c r="AD155" s="203">
        <f t="shared" si="365"/>
        <v>1778.8196798697641</v>
      </c>
      <c r="AE155" s="203">
        <f t="shared" si="365"/>
        <v>1848.1597369939043</v>
      </c>
      <c r="AF155" s="36">
        <f t="shared" si="365"/>
        <v>7065.15973699391</v>
      </c>
      <c r="AG155" s="203">
        <f t="shared" si="365"/>
        <v>1607.0066727673541</v>
      </c>
      <c r="AH155" s="203">
        <f t="shared" si="365"/>
        <v>1833.1984538619831</v>
      </c>
      <c r="AI155" s="203">
        <f t="shared" si="365"/>
        <v>1991.9749931320448</v>
      </c>
      <c r="AJ155" s="203">
        <f t="shared" si="365"/>
        <v>2074.8802934451928</v>
      </c>
      <c r="AK155" s="36">
        <f t="shared" si="365"/>
        <v>7627.8802934452033</v>
      </c>
      <c r="AL155" s="203">
        <f t="shared" si="365"/>
        <v>1732.2622153325426</v>
      </c>
      <c r="AM155" s="203">
        <f>AM149-AM152</f>
        <v>2020.6716008221442</v>
      </c>
      <c r="AN155" s="203">
        <f>AN149-AN152</f>
        <v>2091.9815303818295</v>
      </c>
      <c r="AO155" s="15">
        <f t="shared" ref="AO155:AU155" si="366">AO149-AO152</f>
        <v>2177.6963549689485</v>
      </c>
      <c r="AP155" s="206">
        <f t="shared" si="366"/>
        <v>8113.6778853507794</v>
      </c>
      <c r="AQ155" s="15">
        <f t="shared" si="366"/>
        <v>1875.6793355079963</v>
      </c>
      <c r="AR155" s="15">
        <f t="shared" si="366"/>
        <v>2193.7055789398892</v>
      </c>
      <c r="AS155" s="15">
        <f t="shared" si="366"/>
        <v>2199.7790283374316</v>
      </c>
      <c r="AT155" s="15">
        <f t="shared" si="366"/>
        <v>2280.7654753260276</v>
      </c>
      <c r="AU155" s="206">
        <f t="shared" si="366"/>
        <v>8549.9294181113401</v>
      </c>
      <c r="AV155" s="15">
        <f t="shared" ref="AV155:AZ155" si="367">AV149-AV152</f>
        <v>1972.5480078344333</v>
      </c>
      <c r="AW155" s="15">
        <f t="shared" si="367"/>
        <v>2282.9367476837051</v>
      </c>
      <c r="AX155" s="15">
        <f t="shared" si="367"/>
        <v>2293.8354214167048</v>
      </c>
      <c r="AY155" s="15">
        <f t="shared" si="367"/>
        <v>2399.4666716303914</v>
      </c>
      <c r="AZ155" s="206">
        <f t="shared" si="367"/>
        <v>8970.1379094431541</v>
      </c>
    </row>
    <row r="156" spans="2:54" hidden="1" outlineLevel="1">
      <c r="B156" s="251" t="s">
        <v>867</v>
      </c>
      <c r="C156" s="6"/>
      <c r="D156" s="6"/>
      <c r="E156" s="36"/>
      <c r="F156" s="36"/>
      <c r="G156" s="36"/>
      <c r="H156" s="203"/>
      <c r="I156" s="203"/>
      <c r="J156" s="203"/>
      <c r="K156" s="203"/>
      <c r="L156" s="36"/>
      <c r="M156" s="203"/>
      <c r="N156" s="203"/>
      <c r="O156" s="203"/>
      <c r="P156" s="203"/>
      <c r="Q156" s="36"/>
      <c r="R156" s="203"/>
      <c r="S156" s="203"/>
      <c r="T156" s="60">
        <f>T154/O154-1</f>
        <v>3.0817610062893186E-2</v>
      </c>
      <c r="U156" s="218">
        <f t="shared" ref="U156:AZ156" si="368">U154/P154-1</f>
        <v>5.8258642765685043E-2</v>
      </c>
      <c r="V156" s="62">
        <f t="shared" si="368"/>
        <v>2.7940220922677117E-2</v>
      </c>
      <c r="W156" s="218">
        <f t="shared" si="368"/>
        <v>4.5806906272021886E-2</v>
      </c>
      <c r="X156" s="218">
        <f t="shared" si="368"/>
        <v>-3.7105751391465214E-3</v>
      </c>
      <c r="Y156" s="218">
        <f t="shared" si="368"/>
        <v>2.9286150091519136E-2</v>
      </c>
      <c r="Z156" s="218">
        <f t="shared" si="368"/>
        <v>5.5051421657592359E-2</v>
      </c>
      <c r="AA156" s="62">
        <f t="shared" si="368"/>
        <v>3.1289506953223745E-2</v>
      </c>
      <c r="AB156" s="218">
        <f t="shared" si="368"/>
        <v>8.5579514824798197E-2</v>
      </c>
      <c r="AC156" s="218">
        <f t="shared" si="368"/>
        <v>0.10117939168218504</v>
      </c>
      <c r="AD156" s="218">
        <f t="shared" si="368"/>
        <v>8.5951393005334831E-2</v>
      </c>
      <c r="AE156" s="218">
        <f t="shared" si="368"/>
        <v>4.7018348623853123E-2</v>
      </c>
      <c r="AF156" s="62">
        <f t="shared" si="368"/>
        <v>7.9221575237511388E-2</v>
      </c>
      <c r="AG156" s="218">
        <f t="shared" si="368"/>
        <v>7.4487895716945918E-3</v>
      </c>
      <c r="AH156" s="218">
        <f t="shared" si="368"/>
        <v>9.6392333709131917E-2</v>
      </c>
      <c r="AI156" s="218">
        <f t="shared" si="368"/>
        <v>8.351528384279483E-2</v>
      </c>
      <c r="AJ156" s="218">
        <f t="shared" si="368"/>
        <v>0.1035049288061336</v>
      </c>
      <c r="AK156" s="62">
        <f t="shared" si="368"/>
        <v>7.4542098537555113E-2</v>
      </c>
      <c r="AL156" s="218">
        <f t="shared" si="368"/>
        <v>8.9340727048675239E-2</v>
      </c>
      <c r="AM156" s="218">
        <f t="shared" si="368"/>
        <v>6.7352185089974315E-2</v>
      </c>
      <c r="AN156" s="218">
        <f t="shared" si="368"/>
        <v>6.2873671236501005E-2</v>
      </c>
      <c r="AO156" s="165">
        <f t="shared" si="368"/>
        <v>8.7386285263213015E-2</v>
      </c>
      <c r="AP156" s="237">
        <f t="shared" si="368"/>
        <v>7.6887896697916069E-2</v>
      </c>
      <c r="AQ156" s="165">
        <f t="shared" si="368"/>
        <v>2.0006654164347104E-2</v>
      </c>
      <c r="AR156" s="165">
        <f t="shared" si="368"/>
        <v>2.490139690530091E-2</v>
      </c>
      <c r="AS156" s="165">
        <f t="shared" si="368"/>
        <v>9.2519742948979911E-3</v>
      </c>
      <c r="AT156" s="165">
        <f t="shared" si="368"/>
        <v>5.6870770560648598E-3</v>
      </c>
      <c r="AU156" s="237">
        <f t="shared" si="368"/>
        <v>1.3993785510697077E-2</v>
      </c>
      <c r="AV156" s="165">
        <f t="shared" si="368"/>
        <v>8.3040875039486206E-3</v>
      </c>
      <c r="AW156" s="165">
        <f t="shared" si="368"/>
        <v>1.01542852467984E-2</v>
      </c>
      <c r="AX156" s="165">
        <f t="shared" si="368"/>
        <v>1.0284856747358573E-2</v>
      </c>
      <c r="AY156" s="165">
        <f t="shared" si="368"/>
        <v>7.1250070288417788E-3</v>
      </c>
      <c r="AZ156" s="237">
        <f t="shared" si="368"/>
        <v>8.9764307017559108E-3</v>
      </c>
    </row>
    <row r="157" spans="2:54" s="11" customFormat="1" collapsed="1">
      <c r="B157" s="10" t="s">
        <v>440</v>
      </c>
      <c r="C157" s="10"/>
      <c r="D157" s="10"/>
      <c r="E157" s="182"/>
      <c r="F157" s="182"/>
      <c r="G157" s="182"/>
      <c r="H157" s="183"/>
      <c r="I157" s="183"/>
      <c r="J157" s="183"/>
      <c r="K157" s="183"/>
      <c r="L157" s="182"/>
      <c r="M157" s="183"/>
      <c r="N157" s="183"/>
      <c r="O157" s="183">
        <f t="shared" ref="O157:Q157" si="369">1-(O151/O148)</f>
        <v>0.55672268907563027</v>
      </c>
      <c r="P157" s="183">
        <f t="shared" si="369"/>
        <v>0.5552790615001777</v>
      </c>
      <c r="Q157" s="182">
        <f t="shared" si="369"/>
        <v>0.55862068965517242</v>
      </c>
      <c r="R157" s="183">
        <f>1-(R151/R148)</f>
        <v>0.56669329073482433</v>
      </c>
      <c r="S157" s="183">
        <f t="shared" ref="S157:AM157" si="370">1-(S151/S148)</f>
        <v>0.57503556187766713</v>
      </c>
      <c r="T157" s="183">
        <f t="shared" si="370"/>
        <v>0.57108013937282232</v>
      </c>
      <c r="U157" s="183">
        <f t="shared" si="370"/>
        <v>0.5633946830265848</v>
      </c>
      <c r="V157" s="182">
        <f t="shared" si="370"/>
        <v>0.56906474820143882</v>
      </c>
      <c r="W157" s="183">
        <f t="shared" si="370"/>
        <v>0.56792958285495598</v>
      </c>
      <c r="X157" s="183">
        <f t="shared" si="370"/>
        <v>0.5625</v>
      </c>
      <c r="Y157" s="183">
        <f t="shared" si="370"/>
        <v>0.55860927152317874</v>
      </c>
      <c r="Z157" s="183">
        <f t="shared" si="370"/>
        <v>0.55879525793015061</v>
      </c>
      <c r="AA157" s="182">
        <f t="shared" si="370"/>
        <v>0.56171458082286108</v>
      </c>
      <c r="AB157" s="183">
        <f t="shared" si="370"/>
        <v>0.55513439007580978</v>
      </c>
      <c r="AC157" s="183">
        <f t="shared" si="370"/>
        <v>0.56496815286624202</v>
      </c>
      <c r="AD157" s="183">
        <f t="shared" si="370"/>
        <v>0.56369230769230771</v>
      </c>
      <c r="AE157" s="183">
        <f t="shared" si="370"/>
        <v>0.53848422294308462</v>
      </c>
      <c r="AF157" s="182">
        <f t="shared" si="370"/>
        <v>0.55531025782543564</v>
      </c>
      <c r="AG157" s="183">
        <f t="shared" si="370"/>
        <v>0.52729044834307992</v>
      </c>
      <c r="AH157" s="183">
        <f t="shared" si="370"/>
        <v>0.54727068092290376</v>
      </c>
      <c r="AI157" s="183">
        <f t="shared" si="370"/>
        <v>0.54803975704030927</v>
      </c>
      <c r="AJ157" s="183">
        <f t="shared" si="370"/>
        <v>0.5298448593215882</v>
      </c>
      <c r="AK157" s="182">
        <f t="shared" si="370"/>
        <v>0.53837945507576301</v>
      </c>
      <c r="AL157" s="183">
        <f t="shared" si="370"/>
        <v>0.52728899492991355</v>
      </c>
      <c r="AM157" s="184">
        <f t="shared" si="370"/>
        <v>0.54790182106096597</v>
      </c>
      <c r="AN157" s="542">
        <f>AN154/AN148</f>
        <v>0.55570416743452178</v>
      </c>
      <c r="AO157" s="542">
        <f t="shared" ref="AO157:AZ157" si="371">AO154/AO148</f>
        <v>0.55923197841718453</v>
      </c>
      <c r="AP157" s="574">
        <f t="shared" si="371"/>
        <v>0.54856816498306038</v>
      </c>
      <c r="AQ157" s="542">
        <f t="shared" si="371"/>
        <v>0.5274835075491846</v>
      </c>
      <c r="AR157" s="542">
        <f t="shared" si="371"/>
        <v>0.54637022529413648</v>
      </c>
      <c r="AS157" s="542">
        <f t="shared" si="371"/>
        <v>0.55016797938843465</v>
      </c>
      <c r="AT157" s="542">
        <f t="shared" si="371"/>
        <v>0.55352278718109793</v>
      </c>
      <c r="AU157" s="574">
        <f t="shared" si="371"/>
        <v>0.54495916049072046</v>
      </c>
      <c r="AV157" s="542">
        <f t="shared" si="371"/>
        <v>0.52130378555493928</v>
      </c>
      <c r="AW157" s="542">
        <f t="shared" si="371"/>
        <v>0.54055393286967846</v>
      </c>
      <c r="AX157" s="542">
        <f t="shared" si="371"/>
        <v>0.54452002068583349</v>
      </c>
      <c r="AY157" s="542">
        <f t="shared" si="371"/>
        <v>0.54745814652285618</v>
      </c>
      <c r="AZ157" s="574">
        <f t="shared" si="371"/>
        <v>0.53903540677910833</v>
      </c>
      <c r="BB157" s="257"/>
    </row>
    <row r="158" spans="2:54" s="15" customFormat="1">
      <c r="B158" s="59" t="s">
        <v>441</v>
      </c>
      <c r="C158" s="246"/>
      <c r="D158" s="246"/>
      <c r="E158" s="14"/>
      <c r="F158" s="14"/>
      <c r="G158" s="14"/>
      <c r="L158" s="14"/>
      <c r="Q158" s="14"/>
      <c r="T158" s="15">
        <f t="shared" ref="T158:AZ158" si="372">(T157-O157)*10000</f>
        <v>143.57450297192042</v>
      </c>
      <c r="U158" s="15">
        <f t="shared" si="372"/>
        <v>81.156215264071022</v>
      </c>
      <c r="V158" s="14">
        <f t="shared" si="372"/>
        <v>104.44058546266399</v>
      </c>
      <c r="W158" s="15">
        <f t="shared" si="372"/>
        <v>12.362921201316546</v>
      </c>
      <c r="X158" s="15">
        <f t="shared" si="372"/>
        <v>-125.35561877667134</v>
      </c>
      <c r="Y158" s="15">
        <f t="shared" si="372"/>
        <v>-124.70867849643574</v>
      </c>
      <c r="Z158" s="15">
        <f t="shared" si="372"/>
        <v>-45.994250964341845</v>
      </c>
      <c r="AA158" s="14">
        <f t="shared" si="372"/>
        <v>-73.501673785777427</v>
      </c>
      <c r="AB158" s="15">
        <f t="shared" si="372"/>
        <v>-127.95192779146203</v>
      </c>
      <c r="AC158" s="15">
        <f t="shared" si="372"/>
        <v>24.681528662420238</v>
      </c>
      <c r="AD158" s="15">
        <f t="shared" si="372"/>
        <v>50.830361691289738</v>
      </c>
      <c r="AE158" s="15">
        <f t="shared" si="372"/>
        <v>-203.11034987065989</v>
      </c>
      <c r="AF158" s="14">
        <f t="shared" si="372"/>
        <v>-64.043229974254373</v>
      </c>
      <c r="AG158" s="15">
        <f t="shared" si="372"/>
        <v>-278.4394173272986</v>
      </c>
      <c r="AH158" s="15">
        <f t="shared" si="372"/>
        <v>-176.9747194333826</v>
      </c>
      <c r="AI158" s="15">
        <f t="shared" si="372"/>
        <v>-156.52550651998442</v>
      </c>
      <c r="AJ158" s="15">
        <f t="shared" si="372"/>
        <v>-86.393636214964204</v>
      </c>
      <c r="AK158" s="14">
        <f t="shared" si="372"/>
        <v>-169.30802749672625</v>
      </c>
      <c r="AL158" s="15">
        <f t="shared" si="372"/>
        <v>-1.4534131663745953E-2</v>
      </c>
      <c r="AM158" s="29">
        <f t="shared" si="372"/>
        <v>6.3114013806220282</v>
      </c>
      <c r="AN158" s="15">
        <f t="shared" si="372"/>
        <v>76.644103942125071</v>
      </c>
      <c r="AO158" s="15">
        <f t="shared" si="372"/>
        <v>293.87119095596324</v>
      </c>
      <c r="AP158" s="206">
        <f t="shared" si="372"/>
        <v>101.88709907297367</v>
      </c>
      <c r="AQ158" s="15">
        <f t="shared" si="372"/>
        <v>1.945126192710589</v>
      </c>
      <c r="AR158" s="15">
        <f t="shared" si="372"/>
        <v>-15.315957668294855</v>
      </c>
      <c r="AS158" s="15">
        <f t="shared" si="372"/>
        <v>-55.361880460871319</v>
      </c>
      <c r="AT158" s="15">
        <f t="shared" si="372"/>
        <v>-57.091912360865969</v>
      </c>
      <c r="AU158" s="206">
        <f t="shared" si="372"/>
        <v>-36.090044923399176</v>
      </c>
      <c r="AV158" s="15">
        <f t="shared" si="372"/>
        <v>-61.797219942453239</v>
      </c>
      <c r="AW158" s="15">
        <f t="shared" si="372"/>
        <v>-58.162924244580253</v>
      </c>
      <c r="AX158" s="15">
        <f t="shared" si="372"/>
        <v>-56.479587026011522</v>
      </c>
      <c r="AY158" s="15">
        <f t="shared" si="372"/>
        <v>-60.646406582417491</v>
      </c>
      <c r="AZ158" s="206">
        <f t="shared" si="372"/>
        <v>-59.237537116121345</v>
      </c>
      <c r="BB158" s="247"/>
    </row>
    <row r="159" spans="2:54" hidden="1" outlineLevel="1">
      <c r="B159" s="251" t="s">
        <v>463</v>
      </c>
      <c r="C159" s="6"/>
      <c r="D159" s="6"/>
      <c r="E159" s="177"/>
      <c r="F159" s="177"/>
      <c r="G159" s="177"/>
      <c r="H159" s="165"/>
      <c r="I159" s="165"/>
      <c r="J159" s="165"/>
      <c r="K159" s="165"/>
      <c r="L159" s="177"/>
      <c r="M159" s="165"/>
      <c r="N159" s="165"/>
      <c r="O159" s="165">
        <f t="shared" ref="O159:AZ159" si="373">O155/O149</f>
        <v>0.55496686951005447</v>
      </c>
      <c r="P159" s="165">
        <f t="shared" si="373"/>
        <v>0.5484804284930368</v>
      </c>
      <c r="Q159" s="177">
        <f t="shared" si="373"/>
        <v>0.55451945882879539</v>
      </c>
      <c r="R159" s="165">
        <f t="shared" si="373"/>
        <v>0.55508218678013044</v>
      </c>
      <c r="S159" s="165">
        <f t="shared" si="373"/>
        <v>0.5650267527427687</v>
      </c>
      <c r="T159" s="165">
        <f t="shared" si="373"/>
        <v>0.56449293636961306</v>
      </c>
      <c r="U159" s="165">
        <f t="shared" si="373"/>
        <v>0.56644897464141997</v>
      </c>
      <c r="V159" s="177">
        <f t="shared" si="373"/>
        <v>0.56986685816692173</v>
      </c>
      <c r="W159" s="165">
        <f t="shared" si="373"/>
        <v>0.56732963392141955</v>
      </c>
      <c r="X159" s="165">
        <f t="shared" si="373"/>
        <v>0.57311617110018898</v>
      </c>
      <c r="Y159" s="165">
        <f t="shared" si="373"/>
        <v>0.57211818977190854</v>
      </c>
      <c r="Z159" s="165">
        <f t="shared" si="373"/>
        <v>0.56100525883363683</v>
      </c>
      <c r="AA159" s="177">
        <f t="shared" si="373"/>
        <v>0.56231798427164992</v>
      </c>
      <c r="AB159" s="165">
        <f t="shared" si="373"/>
        <v>0.57017007040359591</v>
      </c>
      <c r="AC159" s="165">
        <f t="shared" si="373"/>
        <v>0.55965268856561623</v>
      </c>
      <c r="AD159" s="165">
        <f t="shared" si="373"/>
        <v>0.56189030689462449</v>
      </c>
      <c r="AE159" s="165">
        <f t="shared" si="373"/>
        <v>0.56103535370372515</v>
      </c>
      <c r="AF159" s="177">
        <f t="shared" si="373"/>
        <v>0.56134199867868195</v>
      </c>
      <c r="AG159" s="165">
        <f t="shared" si="373"/>
        <v>0.5347774136784389</v>
      </c>
      <c r="AH159" s="165">
        <f t="shared" si="373"/>
        <v>0.54291904096843313</v>
      </c>
      <c r="AI159" s="165">
        <f t="shared" si="373"/>
        <v>0.54868347088848113</v>
      </c>
      <c r="AJ159" s="165">
        <f t="shared" si="373"/>
        <v>0.54793995609471147</v>
      </c>
      <c r="AK159" s="177">
        <f t="shared" si="373"/>
        <v>0.5432695092249803</v>
      </c>
      <c r="AL159" s="165">
        <f t="shared" si="373"/>
        <v>0.52338455502420156</v>
      </c>
      <c r="AM159" s="60">
        <f t="shared" si="373"/>
        <v>0.54700718586755093</v>
      </c>
      <c r="AN159" s="60">
        <f t="shared" si="373"/>
        <v>0.55457500835192608</v>
      </c>
      <c r="AO159" s="60">
        <f t="shared" si="373"/>
        <v>0.54834991240303821</v>
      </c>
      <c r="AP159" s="207">
        <f t="shared" si="373"/>
        <v>0.54506938253103931</v>
      </c>
      <c r="AQ159" s="60">
        <f t="shared" si="373"/>
        <v>0.53631178706993754</v>
      </c>
      <c r="AR159" s="60">
        <f t="shared" si="373"/>
        <v>0.55319841990493279</v>
      </c>
      <c r="AS159" s="60">
        <f t="shared" si="373"/>
        <v>0.55799099183406153</v>
      </c>
      <c r="AT159" s="60">
        <f t="shared" si="373"/>
        <v>0.55236152305818842</v>
      </c>
      <c r="AU159" s="207">
        <f t="shared" si="373"/>
        <v>0.55039040455795751</v>
      </c>
      <c r="AV159" s="60">
        <f t="shared" si="373"/>
        <v>0.54274763035703133</v>
      </c>
      <c r="AW159" s="60">
        <f t="shared" si="373"/>
        <v>0.55733160309052354</v>
      </c>
      <c r="AX159" s="60">
        <f t="shared" si="373"/>
        <v>0.56125211421515631</v>
      </c>
      <c r="AY159" s="60">
        <f t="shared" si="373"/>
        <v>0.55863169025960024</v>
      </c>
      <c r="AZ159" s="207">
        <f t="shared" si="373"/>
        <v>0.55449256764208676</v>
      </c>
    </row>
    <row r="160" spans="2:54" s="15" customFormat="1" hidden="1" outlineLevel="1">
      <c r="B160" s="245" t="s">
        <v>464</v>
      </c>
      <c r="C160" s="246"/>
      <c r="D160" s="246"/>
      <c r="E160" s="36"/>
      <c r="F160" s="36"/>
      <c r="G160" s="36"/>
      <c r="H160" s="203"/>
      <c r="I160" s="203"/>
      <c r="J160" s="203"/>
      <c r="K160" s="203"/>
      <c r="L160" s="36"/>
      <c r="M160" s="203"/>
      <c r="N160" s="203"/>
      <c r="O160" s="203">
        <f t="shared" ref="O160:AL160" si="374">(O159-J159)*10000</f>
        <v>5549.6686951005449</v>
      </c>
      <c r="P160" s="203">
        <f t="shared" si="374"/>
        <v>5484.8042849303683</v>
      </c>
      <c r="Q160" s="36">
        <f t="shared" si="374"/>
        <v>5545.1945882879536</v>
      </c>
      <c r="R160" s="203">
        <f t="shared" si="374"/>
        <v>5550.8218678013045</v>
      </c>
      <c r="S160" s="203">
        <f t="shared" si="374"/>
        <v>5650.2675274276871</v>
      </c>
      <c r="T160" s="203">
        <f t="shared" si="374"/>
        <v>95.260668595585912</v>
      </c>
      <c r="U160" s="203">
        <f t="shared" si="374"/>
        <v>179.68546148383169</v>
      </c>
      <c r="V160" s="36">
        <f t="shared" si="374"/>
        <v>153.47399338126343</v>
      </c>
      <c r="W160" s="203">
        <f t="shared" si="374"/>
        <v>122.47447141289113</v>
      </c>
      <c r="X160" s="203">
        <f t="shared" si="374"/>
        <v>80.894183574202742</v>
      </c>
      <c r="Y160" s="203">
        <f t="shared" si="374"/>
        <v>76.252534022954734</v>
      </c>
      <c r="Z160" s="203">
        <f t="shared" si="374"/>
        <v>-54.437158077831342</v>
      </c>
      <c r="AA160" s="36">
        <f t="shared" si="374"/>
        <v>-75.488738952718123</v>
      </c>
      <c r="AB160" s="203">
        <f t="shared" si="374"/>
        <v>28.404364821763561</v>
      </c>
      <c r="AC160" s="203">
        <f t="shared" si="374"/>
        <v>-134.63482534572745</v>
      </c>
      <c r="AD160" s="203">
        <f t="shared" si="374"/>
        <v>-102.27882877284044</v>
      </c>
      <c r="AE160" s="203">
        <f t="shared" si="374"/>
        <v>0.3009487008831524</v>
      </c>
      <c r="AF160" s="36">
        <f t="shared" si="374"/>
        <v>-9.7598559296796505</v>
      </c>
      <c r="AG160" s="203">
        <f t="shared" si="374"/>
        <v>-353.92656725157013</v>
      </c>
      <c r="AH160" s="203">
        <f t="shared" si="374"/>
        <v>-167.33647597183099</v>
      </c>
      <c r="AI160" s="203">
        <f t="shared" si="374"/>
        <v>-132.06836006143362</v>
      </c>
      <c r="AJ160" s="203">
        <f t="shared" si="374"/>
        <v>-130.95397609013682</v>
      </c>
      <c r="AK160" s="36">
        <f t="shared" si="374"/>
        <v>-180.72489453701655</v>
      </c>
      <c r="AL160" s="203">
        <f t="shared" si="374"/>
        <v>-113.92858654237337</v>
      </c>
      <c r="AM160" s="35">
        <f>(AM159-AH159)*10000</f>
        <v>40.881448991177962</v>
      </c>
      <c r="AN160" s="203">
        <f t="shared" ref="AN160" si="375">(AN159-AI159)*10000</f>
        <v>58.915374634449513</v>
      </c>
      <c r="AO160" s="35">
        <f>(AO159-AJ159)*10000</f>
        <v>4.0995630832674212</v>
      </c>
      <c r="AP160" s="205">
        <f t="shared" ref="AP160:AQ160" si="376">(AP159-AK159)*10000</f>
        <v>17.99873306059019</v>
      </c>
      <c r="AQ160" s="203">
        <f t="shared" si="376"/>
        <v>129.27232045735983</v>
      </c>
      <c r="AR160" s="203">
        <f t="shared" ref="AR160:AS160" si="377">(AR159-AM159)*10000</f>
        <v>61.912340373818651</v>
      </c>
      <c r="AS160" s="203">
        <f t="shared" si="377"/>
        <v>34.159834821354536</v>
      </c>
      <c r="AT160" s="203">
        <f t="shared" ref="AT160:AU160" si="378">(AT159-AO159)*10000</f>
        <v>40.116106551502106</v>
      </c>
      <c r="AU160" s="205">
        <f t="shared" si="378"/>
        <v>53.210220269181988</v>
      </c>
      <c r="AV160" s="203">
        <f t="shared" ref="AV160" si="379">(AV159-AQ159)*10000</f>
        <v>64.358432870937904</v>
      </c>
      <c r="AW160" s="203">
        <f t="shared" ref="AW160" si="380">(AW159-AR159)*10000</f>
        <v>41.331831855907495</v>
      </c>
      <c r="AX160" s="203">
        <f t="shared" ref="AX160" si="381">(AX159-AS159)*10000</f>
        <v>32.61122381094772</v>
      </c>
      <c r="AY160" s="203">
        <f t="shared" ref="AY160" si="382">(AY159-AT159)*10000</f>
        <v>62.701672014118245</v>
      </c>
      <c r="AZ160" s="205">
        <f t="shared" ref="AZ160" si="383">(AZ159-AU159)*10000</f>
        <v>41.021630841292513</v>
      </c>
      <c r="BB160" s="247"/>
    </row>
    <row r="161" spans="2:52" hidden="1" outlineLevel="1">
      <c r="B161" s="195" t="s">
        <v>480</v>
      </c>
      <c r="C161" s="6"/>
      <c r="D161" s="6"/>
      <c r="E161" s="177"/>
      <c r="F161" s="177"/>
      <c r="G161" s="177"/>
      <c r="H161" s="165"/>
      <c r="I161" s="165"/>
      <c r="J161" s="165"/>
      <c r="K161" s="165"/>
      <c r="L161" s="182"/>
      <c r="M161" s="183"/>
      <c r="N161" s="183"/>
      <c r="O161" s="183"/>
      <c r="P161" s="183"/>
      <c r="Q161" s="182"/>
      <c r="R161" s="183">
        <f t="shared" ref="R161:AM161" si="384">R157-R159</f>
        <v>1.1611103954693891E-2</v>
      </c>
      <c r="S161" s="183">
        <f t="shared" si="384"/>
        <v>1.0008809134898433E-2</v>
      </c>
      <c r="T161" s="183">
        <f t="shared" si="384"/>
        <v>6.5872030032092521E-3</v>
      </c>
      <c r="U161" s="183">
        <f t="shared" si="384"/>
        <v>-3.0542916148351695E-3</v>
      </c>
      <c r="V161" s="182">
        <f t="shared" si="384"/>
        <v>-8.0210996548291114E-4</v>
      </c>
      <c r="W161" s="183">
        <f t="shared" si="384"/>
        <v>5.9994893353643164E-4</v>
      </c>
      <c r="X161" s="183">
        <f t="shared" si="384"/>
        <v>-1.0616171100188976E-2</v>
      </c>
      <c r="Y161" s="183">
        <f t="shared" si="384"/>
        <v>-1.3508918248729795E-2</v>
      </c>
      <c r="Z161" s="183">
        <f t="shared" si="384"/>
        <v>-2.21000090348622E-3</v>
      </c>
      <c r="AA161" s="182">
        <f t="shared" si="384"/>
        <v>-6.0340344878884178E-4</v>
      </c>
      <c r="AB161" s="183">
        <f t="shared" si="384"/>
        <v>-1.5035680327786127E-2</v>
      </c>
      <c r="AC161" s="183">
        <f t="shared" si="384"/>
        <v>5.315464300625794E-3</v>
      </c>
      <c r="AD161" s="183">
        <f t="shared" si="384"/>
        <v>1.8020007976832231E-3</v>
      </c>
      <c r="AE161" s="183">
        <f t="shared" si="384"/>
        <v>-2.2551130760640525E-2</v>
      </c>
      <c r="AF161" s="182">
        <f t="shared" si="384"/>
        <v>-6.0317408532463146E-3</v>
      </c>
      <c r="AG161" s="183">
        <f t="shared" si="384"/>
        <v>-7.4869653353589749E-3</v>
      </c>
      <c r="AH161" s="183">
        <f t="shared" si="384"/>
        <v>4.3516399544706319E-3</v>
      </c>
      <c r="AI161" s="183">
        <f t="shared" si="384"/>
        <v>-6.4371384817185628E-4</v>
      </c>
      <c r="AJ161" s="183">
        <f t="shared" si="384"/>
        <v>-1.8095096773123265E-2</v>
      </c>
      <c r="AK161" s="182">
        <f t="shared" si="384"/>
        <v>-4.8900541492172822E-3</v>
      </c>
      <c r="AL161" s="183">
        <f t="shared" si="384"/>
        <v>3.9044399057119872E-3</v>
      </c>
      <c r="AM161" s="184">
        <f t="shared" si="384"/>
        <v>8.9463519341503872E-4</v>
      </c>
      <c r="AN161" s="208"/>
      <c r="AO161" s="209"/>
      <c r="AP161" s="210"/>
      <c r="AQ161" s="208"/>
      <c r="AR161" s="208"/>
      <c r="AS161" s="208"/>
      <c r="AT161" s="208"/>
      <c r="AU161" s="210"/>
      <c r="AV161" s="208"/>
      <c r="AW161" s="208"/>
      <c r="AX161" s="208"/>
      <c r="AY161" s="208"/>
      <c r="AZ161" s="210"/>
    </row>
    <row r="162" spans="2:52" collapsed="1">
      <c r="B162" s="195"/>
      <c r="C162" s="6"/>
      <c r="D162" s="6"/>
      <c r="E162" s="177"/>
      <c r="F162" s="177"/>
      <c r="G162" s="177"/>
      <c r="H162" s="165"/>
      <c r="I162" s="165"/>
      <c r="J162" s="165"/>
      <c r="K162" s="165"/>
      <c r="L162" s="182"/>
      <c r="M162" s="183"/>
      <c r="N162" s="183"/>
      <c r="O162" s="183"/>
      <c r="P162" s="183"/>
      <c r="Q162" s="182"/>
      <c r="R162" s="183"/>
      <c r="S162" s="183"/>
      <c r="T162" s="183"/>
      <c r="U162" s="183"/>
      <c r="V162" s="182"/>
      <c r="W162" s="183"/>
      <c r="X162" s="183"/>
      <c r="Y162" s="183"/>
      <c r="Z162" s="183"/>
      <c r="AA162" s="182"/>
      <c r="AB162" s="183"/>
      <c r="AC162" s="183"/>
      <c r="AD162" s="183"/>
      <c r="AE162" s="183"/>
      <c r="AF162" s="182"/>
      <c r="AG162" s="183"/>
      <c r="AH162" s="183"/>
      <c r="AI162" s="183"/>
      <c r="AJ162" s="183"/>
      <c r="AK162" s="182"/>
      <c r="AL162" s="183"/>
      <c r="AM162" s="184"/>
      <c r="AN162" s="208"/>
      <c r="AO162" s="209"/>
      <c r="AP162" s="210"/>
      <c r="AQ162" s="208"/>
      <c r="AR162" s="208"/>
      <c r="AS162" s="208"/>
      <c r="AT162" s="208"/>
      <c r="AU162" s="210"/>
      <c r="AV162" s="208"/>
      <c r="AW162" s="208"/>
      <c r="AX162" s="208"/>
      <c r="AY162" s="208"/>
      <c r="AZ162" s="210"/>
    </row>
    <row r="163" spans="2:52">
      <c r="B163" s="10" t="s">
        <v>777</v>
      </c>
      <c r="C163" s="6"/>
      <c r="D163" s="6"/>
      <c r="E163" s="177"/>
      <c r="F163" s="177"/>
      <c r="G163" s="177"/>
      <c r="H163" s="165"/>
      <c r="I163" s="165"/>
      <c r="J163" s="165"/>
      <c r="K163" s="165"/>
      <c r="L163" s="182"/>
      <c r="M163" s="183"/>
      <c r="N163" s="183"/>
      <c r="O163" s="183"/>
      <c r="P163" s="183"/>
      <c r="Q163" s="182"/>
      <c r="R163" s="183"/>
      <c r="S163" s="183"/>
      <c r="T163" s="183"/>
      <c r="U163" s="183"/>
      <c r="V163" s="182"/>
      <c r="W163" s="183"/>
      <c r="X163" s="183"/>
      <c r="Y163" s="183"/>
      <c r="Z163" s="183"/>
      <c r="AA163" s="182"/>
      <c r="AB163" s="183"/>
      <c r="AC163" s="183"/>
      <c r="AD163" s="183"/>
      <c r="AE163" s="183"/>
      <c r="AF163" s="182"/>
      <c r="AG163" s="183"/>
      <c r="AH163" s="183"/>
      <c r="AI163" s="183"/>
      <c r="AJ163" s="183"/>
      <c r="AK163" s="182"/>
      <c r="AL163" s="183"/>
      <c r="AM163" s="184"/>
      <c r="AO163" s="209"/>
      <c r="AP163" s="210"/>
      <c r="AQ163" s="208"/>
      <c r="AR163" s="208"/>
      <c r="AS163" s="208"/>
      <c r="AT163" s="208"/>
      <c r="AU163" s="210"/>
      <c r="AV163" s="208"/>
      <c r="AW163" s="208"/>
      <c r="AX163" s="208"/>
      <c r="AY163" s="208"/>
      <c r="AZ163" s="210"/>
    </row>
    <row r="164" spans="2:52" hidden="1" outlineLevel="1">
      <c r="B164" s="195" t="s">
        <v>773</v>
      </c>
      <c r="C164" s="6" t="s">
        <v>775</v>
      </c>
      <c r="D164" s="6"/>
      <c r="E164" s="177"/>
      <c r="F164" s="177"/>
      <c r="G164" s="177"/>
      <c r="H164" s="165"/>
      <c r="I164" s="165"/>
      <c r="J164" s="165"/>
      <c r="K164" s="165"/>
      <c r="L164" s="182"/>
      <c r="M164" s="60" cm="1">
        <f t="array" ref="M164">_xll.BQL($C164, "IS_COMP_GROSS_MARGIN_PERCENTAGE", "FPR="&amp;M$3, "FPT=Q", "FA_ACT_EST_DATA=A", "ACT_EST_MAPPING=PRECISE", "FS=MRC", "CURRENCY=USD", "XLFILL=b")/100</f>
        <v>0.64</v>
      </c>
      <c r="N164" s="60" cm="1">
        <f t="array" ref="N164">_xll.BQL($C164, "IS_COMP_GROSS_MARGIN_PERCENTAGE", "FPR="&amp;N$3, "FPT=Q", "FA_ACT_EST_DATA=A", "ACT_EST_MAPPING=PRECISE", "FS=MRC", "CURRENCY=USD", "XLFILL=b")/100</f>
        <v>0.63500000000000001</v>
      </c>
      <c r="O164" s="60" cm="1">
        <f t="array" ref="O164">_xll.BQL($C164, "IS_COMP_GROSS_MARGIN_PERCENTAGE", "FPR="&amp;O$3, "FPT=Q", "FA_ACT_EST_DATA=A", "ACT_EST_MAPPING=PRECISE", "FS=MRC", "CURRENCY=USD", "XLFILL=b")/100</f>
        <v>0.63</v>
      </c>
      <c r="P164" s="60" cm="1">
        <f t="array" ref="P164">_xll.BQL($C164, "IS_COMP_GROSS_MARGIN_PERCENTAGE", "FPR="&amp;P$3, "FPT=Q", "FA_ACT_EST_DATA=A", "ACT_EST_MAPPING=PRECISE", "FS=MRC", "CURRENCY=USD", "XLFILL=b")/100</f>
        <v>0.62</v>
      </c>
      <c r="Q164" s="182"/>
      <c r="R164" s="60" cm="1">
        <f t="array" ref="R164">_xll.BQL($C164, "IS_COMP_GROSS_MARGIN_PERCENTAGE", "FPR="&amp;R$3, "FPT=Q", "FA_ACT_EST_DATA=A", "ACT_EST_MAPPING=PRECISE", "FS=MRC", "CURRENCY=USD", "XLFILL=b")/100</f>
        <v>0.625</v>
      </c>
      <c r="S164" s="60" cm="1">
        <f t="array" ref="S164">_xll.BQL($C164, "IS_COMP_GROSS_MARGIN_PERCENTAGE", "FPR="&amp;S$3, "FPT=Q", "FA_ACT_EST_DATA=A", "ACT_EST_MAPPING=PRECISE", "FS=MRC", "CURRENCY=USD", "XLFILL=b")/100</f>
        <v>0.60699999999999998</v>
      </c>
      <c r="T164" s="60" cm="1">
        <f t="array" ref="T164">_xll.BQL($C164, "IS_COMP_GROSS_MARGIN_PERCENTAGE", "FPR="&amp;T$3, "FPT=Q", "FA_ACT_EST_DATA=A", "ACT_EST_MAPPING=PRECISE", "FS=MRC", "CURRENCY=USD", "XLFILL=b")/100</f>
        <v>0.60899999999999999</v>
      </c>
      <c r="U164" s="60" cm="1">
        <f t="array" ref="U164">_xll.BQL($C164, "IS_COMP_GROSS_MARGIN_PERCENTAGE", "FPR="&amp;U$3, "FPT=Q", "FA_ACT_EST_DATA=A", "ACT_EST_MAPPING=PRECISE", "FS=MRC", "CURRENCY=USD", "XLFILL=b")/100</f>
        <v>0.60300000000000009</v>
      </c>
      <c r="V164" s="182"/>
      <c r="W164" s="60" cm="1">
        <f t="array" ref="W164">_xll.BQL($C164, "IS_COMP_GROSS_MARGIN_PERCENTAGE", "FPR="&amp;W$3, "FPT=Q", "FA_ACT_EST_DATA=A", "ACT_EST_MAPPING=PRECISE", "FS=MRC", "CURRENCY=USD", "XLFILL=b")/100</f>
        <v>0.61599999999999999</v>
      </c>
      <c r="X164" s="60" cm="1">
        <f t="array" ref="X164">_xll.BQL($C164, "IS_COMP_GROSS_MARGIN_PERCENTAGE", "FPR="&amp;X$3, "FPT=Q", "FA_ACT_EST_DATA=A", "ACT_EST_MAPPING=PRECISE", "FS=MRC", "CURRENCY=USD", "XLFILL=b")/100</f>
        <v>0.57700000000000007</v>
      </c>
      <c r="Y164" s="60" cm="1">
        <f t="array" ref="Y164">_xll.BQL($C164, "IS_COMP_GROSS_MARGIN_PERCENTAGE", "FPR="&amp;Y$3, "FPT=Q", "FA_ACT_EST_DATA=A", "ACT_EST_MAPPING=PRECISE", "FS=MRC", "CURRENCY=USD", "XLFILL=b")/100</f>
        <v>0.59399999999999997</v>
      </c>
      <c r="Z164" s="60" cm="1">
        <f t="array" ref="Z164">_xll.BQL($C164, "IS_COMP_GROSS_MARGIN_PERCENTAGE", "FPR="&amp;Z$3, "FPT=Q", "FA_ACT_EST_DATA=A", "ACT_EST_MAPPING=PRECISE", "FS=MRC", "CURRENCY=USD", "XLFILL=b")/100</f>
        <v>0.57399999999999995</v>
      </c>
      <c r="AA164" s="182"/>
      <c r="AB164" s="60" cm="1">
        <f t="array" ref="AB164">_xll.BQL($C164, "IS_COMP_GROSS_MARGIN_PERCENTAGE", "FPR="&amp;AB$3, "FPT=Q", "FA_ACT_EST_DATA=A", "ACT_EST_MAPPING=PRECISE", "FS=MRC", "CURRENCY=USD", "XLFILL=b")/100</f>
        <v>0.60599999999999998</v>
      </c>
      <c r="AC164" s="60" cm="1">
        <f t="array" ref="AC164">_xll.BQL($C164, "IS_COMP_GROSS_MARGIN_PERCENTAGE", "FPR="&amp;AC$3, "FPT=Q", "FA_ACT_EST_DATA=A", "ACT_EST_MAPPING=PRECISE", "FS=MRC", "CURRENCY=USD", "XLFILL=b")/100</f>
        <v>0.61399999999999999</v>
      </c>
      <c r="AD164" s="60" cm="1">
        <f t="array" ref="AD164">_xll.BQL($C164, "IS_COMP_GROSS_MARGIN_PERCENTAGE", "FPR="&amp;AD$3, "FPT=Q", "FA_ACT_EST_DATA=A", "ACT_EST_MAPPING=PRECISE", "FS=MRC", "CURRENCY=USD", "XLFILL=b")/100</f>
        <v>0.61099999999999999</v>
      </c>
      <c r="AE164" s="60" cm="1">
        <f t="array" ref="AE164">_xll.BQL($C164, "IS_COMP_GROSS_MARGIN_PERCENTAGE", "FPR="&amp;AE$3, "FPT=Q", "FA_ACT_EST_DATA=A", "ACT_EST_MAPPING=PRECISE", "FS=MRC", "CURRENCY=USD", "XLFILL=b")/100</f>
        <v>0.57299999999999995</v>
      </c>
      <c r="AF164" s="182"/>
      <c r="AG164" s="60" cm="1">
        <f t="array" ref="AG164">_xll.BQL($C164, "IS_COMP_GROSS_MARGIN_PERCENTAGE", "FPR="&amp;AG$3, "FPT=Q", "FA_ACT_EST_DATA=A", "ACT_EST_MAPPING=PRECISE", "FS=MRC", "CURRENCY=USD", "XLFILL=b")/100</f>
        <v>0.59699999999999998</v>
      </c>
      <c r="AH164" s="60" cm="1">
        <f t="array" ref="AH164">_xll.BQL($C164, "IS_COMP_GROSS_MARGIN_PERCENTAGE", "FPR="&amp;AH$3, "FPT=Q", "FA_ACT_EST_DATA=A", "ACT_EST_MAPPING=PRECISE", "FS=MRC", "CURRENCY=USD", "XLFILL=b")/100</f>
        <v>0.59</v>
      </c>
      <c r="AI164" s="60" cm="1">
        <f t="array" ref="AI164">_xll.BQL($C164, "IS_COMP_GROSS_MARGIN_PERCENTAGE", "FPR="&amp;AI$3, "FPT=Q", "FA_ACT_EST_DATA=A", "ACT_EST_MAPPING=PRECISE", "FS=MRC", "CURRENCY=USD", "XLFILL=b")/100</f>
        <v>0.59200000000000008</v>
      </c>
      <c r="AJ164" s="60" cm="1">
        <f t="array" ref="AJ164">_xll.BQL($C164, "IS_COMP_GROSS_MARGIN_PERCENTAGE", "FPR="&amp;AJ$3, "FPT=Q", "FA_ACT_EST_DATA=A", "ACT_EST_MAPPING=PRECISE", "FS=MRC", "CURRENCY=USD", "XLFILL=b")/100</f>
        <v>0.56499999999999995</v>
      </c>
      <c r="AK164" s="182"/>
      <c r="AL164" s="60" cm="1">
        <f t="array" ref="AL164">_xll.BQL($C164, "IS_COMP_GROSS_MARGIN_PERCENTAGE", "FPR="&amp;AL$3, "FPT=Q", "FA_ACT_EST_DATA=A", "ACT_EST_MAPPING=PRECISE", "FS=MRC", "CURRENCY=USD", "XLFILL=b")/100</f>
        <v>0.60899999999999999</v>
      </c>
      <c r="AM164" s="60" cm="1">
        <f t="array" ref="AM164">_xll.BQL($C164, "IS_COMP_GROSS_MARGIN_PERCENTAGE", "FPR="&amp;AM$3, "FPT=Q", "FA_ACT_EST_DATA=A", "ACT_EST_MAPPING=PRECISE", "FS=MRC", "CURRENCY=USD", "XLFILL=b")/100</f>
        <v>0.59399999999999997</v>
      </c>
      <c r="AN164" s="60" cm="1">
        <f t="array" ref="AN164">_xll.BQL($C164, "IS_COMP_GROSS_MARGIN_PERCENTAGE", "FPR="&amp;AN$3, "FPT=Q", "FA_ACT_EST_DATA=E", "ACT_EST_MAPPING=PRECISE", "FS=MRC", "CURRENCY=USD", "XLFILL=b")/100</f>
        <v>0.59434504666585453</v>
      </c>
      <c r="AO164" s="60" cm="1">
        <f t="array" ref="AO164">_xll.BQL($C164, "IS_COMP_GROSS_MARGIN_PERCENTAGE", "FPR="&amp;AO$3, "FPT=Q", "FA_ACT_EST_DATA=E", "ACT_EST_MAPPING=PRECISE", "FS=MRC", "CURRENCY=USD", "XLFILL=b")/100</f>
        <v>0.56838936085986846</v>
      </c>
      <c r="AP164" s="207" cm="1">
        <f t="array" ref="AP164">_xll.BQL("KO US Equity", "IS_COMP_GROSS_MARGIN_PERCENTAGE", "FPR=2023Y", "FPT=A", "FA_ACT_EST_DATA=E", "ACT_EST_MAPPING=PRECISE", "FS=MRC", "CURRENCY=USD", "XLFILL=b")/100</f>
        <v>0.59144004226920555</v>
      </c>
      <c r="AQ164" s="60" cm="1">
        <f t="array" ref="AQ164">_xll.BQL($C164, "IS_COMP_GROSS_MARGIN_PERCENTAGE", "FPR="&amp;AQ$3, "FPT=Q", "FA_ACT_EST_DATA=E", "ACT_EST_MAPPING=PRECISE", "FS=MRC", "CURRENCY=USD", "XLFILL=b")/100</f>
        <v>0.61074131586513092</v>
      </c>
      <c r="AR164" s="60" cm="1">
        <f t="array" ref="AR164">_xll.BQL($C164, "IS_COMP_GROSS_MARGIN_PERCENTAGE", "FPR="&amp;AR$3, "FPT=Q", "FA_ACT_EST_DATA=E", "ACT_EST_MAPPING=PRECISE", "FS=MRC", "CURRENCY=USD", "XLFILL=b")/100</f>
        <v>0.59640677858906044</v>
      </c>
      <c r="AS164" s="60" cm="1">
        <f t="array" ref="AS164">_xll.BQL($C164, "IS_COMP_GROSS_MARGIN_PERCENTAGE", "FPR="&amp;AS$3, "FPT=Q", "FA_ACT_EST_DATA=E", "ACT_EST_MAPPING=PRECISE", "FS=MRC", "CURRENCY=USD", "XLFILL=b")/100</f>
        <v>0.59795176366831082</v>
      </c>
      <c r="AT164" s="60" cm="1">
        <f t="array" ref="AT164">_xll.BQL($C164, "IS_COMP_GROSS_MARGIN_PERCENTAGE", "FPR="&amp;AT$3, "FPT=Q", "FA_ACT_EST_DATA=E", "ACT_EST_MAPPING=PRECISE", "FS=MRC", "CURRENCY=USD", "XLFILL=b")/100</f>
        <v>0.57243911216652588</v>
      </c>
      <c r="AU164" s="207" cm="1">
        <f t="array" ref="AU164">_xll.BQL("KO US Equity", "IS_COMP_GROSS_MARGIN_PERCENTAGE", "FPR=2024Y", "FPT=A", "FA_ACT_EST_DATA=E", "ACT_EST_MAPPING=PRECISE", "FS=MRC", "CURRENCY=USD", "XLFILL=b")/100</f>
        <v>0.5947248682487718</v>
      </c>
      <c r="AV164" s="60" cm="1">
        <f t="array" ref="AV164">_xll.BQL($C164, "IS_COMP_GROSS_MARGIN_PERCENTAGE", "FPR="&amp;AV$3, "FPT=Q", "FA_ACT_EST_DATA=E", "ACT_EST_MAPPING=PRECISE", "FS=MRC", "CURRENCY=USD", "XLFILL=b")/100</f>
        <v>0.61087676304527649</v>
      </c>
      <c r="AW164" s="60" cm="1">
        <f t="array" ref="AW164">_xll.BQL($C164, "IS_COMP_GROSS_MARGIN_PERCENTAGE", "FPR="&amp;AW$3, "FPT=Q", "FA_ACT_EST_DATA=E", "ACT_EST_MAPPING=PRECISE", "FS=MRC", "CURRENCY=USD", "XLFILL=b")/100</f>
        <v>0.5980530902326685</v>
      </c>
      <c r="AX164" s="60" cm="1">
        <f t="array" ref="AX164">_xll.BQL($C164, "IS_COMP_GROSS_MARGIN_PERCENTAGE", "FPR="&amp;AX$3, "FPT=Q", "FA_ACT_EST_DATA=E", "ACT_EST_MAPPING=PRECISE", "FS=MRC", "CURRENCY=USD", "XLFILL=b")/100</f>
        <v>0.59982135304192807</v>
      </c>
      <c r="AY164" s="60" cm="1">
        <f t="array" ref="AY164">_xll.BQL($C164, "IS_COMP_GROSS_MARGIN_PERCENTAGE", "FPR="&amp;AY$3, "FPT=Q", "FA_ACT_EST_DATA=E", "ACT_EST_MAPPING=PRECISE", "FS=MRC", "CURRENCY=USD", "XLFILL=b")/100</f>
        <v>0.57464512190302408</v>
      </c>
      <c r="AZ164" s="210"/>
    </row>
    <row r="165" spans="2:52" hidden="1" outlineLevel="1">
      <c r="B165" s="195" t="s">
        <v>774</v>
      </c>
      <c r="C165" s="6" t="s">
        <v>776</v>
      </c>
      <c r="D165" s="6"/>
      <c r="E165" s="177"/>
      <c r="F165" s="177"/>
      <c r="G165" s="177"/>
      <c r="H165" s="165"/>
      <c r="I165" s="165"/>
      <c r="J165" s="165"/>
      <c r="K165" s="165"/>
      <c r="L165" s="182"/>
      <c r="M165" s="60" cm="1">
        <f t="array" ref="M165">_xll.BQL($C165, "IS_COMP_GROSS_MARGIN_PERCENTAGE", "FPR="&amp;M$3, "FPT=Q", "FA_ACT_EST_DATA=A", "ACT_EST_MAPPING=PRECISE", "FS=MRC", "CURRENCY=USD", "XLFILL=b")/100</f>
        <v>0.55198217000000005</v>
      </c>
      <c r="N165" s="60" cm="1">
        <f t="array" ref="N165">_xll.BQL($C165, "IS_COMP_GROSS_MARGIN_PERCENTAGE", "FPR="&amp;N$3, "FPT=Q", "FA_ACT_EST_DATA=A", "ACT_EST_MAPPING=PRECISE", "FS=MRC", "CURRENCY=USD", "XLFILL=b")/100</f>
        <v>0.54816655999999997</v>
      </c>
      <c r="O165" s="60" cm="1">
        <f t="array" ref="O165">_xll.BQL($C165, "IS_COMP_GROSS_MARGIN_PERCENTAGE", "FPR="&amp;O$3, "FPT=Q", "FA_ACT_EST_DATA=A", "ACT_EST_MAPPING=PRECISE", "FS=MRC", "CURRENCY=USD", "XLFILL=b")/100</f>
        <v>0.54528359000000004</v>
      </c>
      <c r="P165" s="60" cm="1">
        <f t="array" ref="P165">_xll.BQL($C165, "IS_COMP_GROSS_MARGIN_PERCENTAGE", "FPR="&amp;P$3, "FPT=Q", "FA_ACT_EST_DATA=A", "ACT_EST_MAPPING=PRECISE", "FS=MRC", "CURRENCY=USD", "XLFILL=b")/100</f>
        <v>0.54409956999999998</v>
      </c>
      <c r="Q165" s="182"/>
      <c r="R165" s="60" cm="1">
        <f t="array" ref="R165">_xll.BQL($C165, "IS_COMP_GROSS_MARGIN_PERCENTAGE", "FPR="&amp;R$3, "FPT=Q", "FA_ACT_EST_DATA=A", "ACT_EST_MAPPING=PRECISE", "FS=MRC", "CURRENCY=USD", "XLFILL=b")/100</f>
        <v>0.55875504999999992</v>
      </c>
      <c r="S165" s="60" cm="1">
        <f t="array" ref="S165">_xll.BQL($C165, "IS_COMP_GROSS_MARGIN_PERCENTAGE", "FPR="&amp;S$3, "FPT=Q", "FA_ACT_EST_DATA=A", "ACT_EST_MAPPING=PRECISE", "FS=MRC", "CURRENCY=USD", "XLFILL=b")/100</f>
        <v>0.55529212000000006</v>
      </c>
      <c r="T165" s="60" cm="1">
        <f t="array" ref="T165">_xll.BQL($C165, "IS_COMP_GROSS_MARGIN_PERCENTAGE", "FPR="&amp;T$3, "FPT=Q", "FA_ACT_EST_DATA=A", "ACT_EST_MAPPING=PRECISE", "FS=MRC", "CURRENCY=USD", "XLFILL=b")/100</f>
        <v>0.55370026000000006</v>
      </c>
      <c r="U165" s="60" cm="1">
        <f t="array" ref="U165">_xll.BQL($C165, "IS_COMP_GROSS_MARGIN_PERCENTAGE", "FPR="&amp;U$3, "FPT=Q", "FA_ACT_EST_DATA=A", "ACT_EST_MAPPING=PRECISE", "FS=MRC", "CURRENCY=USD", "XLFILL=b")/100</f>
        <v>0.54607558</v>
      </c>
      <c r="V165" s="182"/>
      <c r="W165" s="60" cm="1">
        <f t="array" ref="W165">_xll.BQL($C165, "IS_COMP_GROSS_MARGIN_PERCENTAGE", "FPR="&amp;W$3, "FPT=Q", "FA_ACT_EST_DATA=A", "ACT_EST_MAPPING=PRECISE", "FS=MRC", "CURRENCY=USD", "XLFILL=b")/100</f>
        <v>0.56148692</v>
      </c>
      <c r="X165" s="60" cm="1">
        <f t="array" ref="X165">_xll.BQL($C165, "IS_COMP_GROSS_MARGIN_PERCENTAGE", "FPR="&amp;X$3, "FPT=Q", "FA_ACT_EST_DATA=A", "ACT_EST_MAPPING=PRECISE", "FS=MRC", "CURRENCY=USD", "XLFILL=b")/100</f>
        <v>0.55584823000000005</v>
      </c>
      <c r="Y165" s="60" cm="1">
        <f t="array" ref="Y165">_xll.BQL($C165, "IS_COMP_GROSS_MARGIN_PERCENTAGE", "FPR="&amp;Y$3, "FPT=Q", "FA_ACT_EST_DATA=A", "ACT_EST_MAPPING=PRECISE", "FS=MRC", "CURRENCY=USD", "XLFILL=b")/100</f>
        <v>0.54773092000000001</v>
      </c>
      <c r="Z165" s="60" cm="1">
        <f t="array" ref="Z165">_xll.BQL($C165, "IS_COMP_GROSS_MARGIN_PERCENTAGE", "FPR="&amp;Z$3, "FPT=Q", "FA_ACT_EST_DATA=A", "ACT_EST_MAPPING=PRECISE", "FS=MRC", "CURRENCY=USD", "XLFILL=b")/100</f>
        <v>0.53471387000000004</v>
      </c>
      <c r="AA165" s="182"/>
      <c r="AB165" s="60" cm="1">
        <f t="array" ref="AB165">_xll.BQL($C165, "IS_COMP_GROSS_MARGIN_PERCENTAGE", "FPR="&amp;AB$3, "FPT=Q", "FA_ACT_EST_DATA=A", "ACT_EST_MAPPING=PRECISE", "FS=MRC", "CURRENCY=USD", "XLFILL=b")/100</f>
        <v>0.54757084999999994</v>
      </c>
      <c r="AC165" s="60" cm="1">
        <f t="array" ref="AC165">_xll.BQL($C165, "IS_COMP_GROSS_MARGIN_PERCENTAGE", "FPR="&amp;AC$3, "FPT=Q", "FA_ACT_EST_DATA=A", "ACT_EST_MAPPING=PRECISE", "FS=MRC", "CURRENCY=USD", "XLFILL=b")/100</f>
        <v>0.53806525000000005</v>
      </c>
      <c r="AD165" s="60" cm="1">
        <f t="array" ref="AD165">_xll.BQL($C165, "IS_COMP_GROSS_MARGIN_PERCENTAGE", "FPR="&amp;AD$3, "FPT=Q", "FA_ACT_EST_DATA=A", "ACT_EST_MAPPING=PRECISE", "FS=MRC", "CURRENCY=USD", "XLFILL=b")/100</f>
        <v>0.53588588000000004</v>
      </c>
      <c r="AE165" s="60" cm="1">
        <f t="array" ref="AE165">_xll.BQL($C165, "IS_COMP_GROSS_MARGIN_PERCENTAGE", "FPR="&amp;AE$3, "FPT=Q", "FA_ACT_EST_DATA=A", "ACT_EST_MAPPING=PRECISE", "FS=MRC", "CURRENCY=USD", "XLFILL=b")/100</f>
        <v>0.52257604999999996</v>
      </c>
      <c r="AF165" s="182"/>
      <c r="AG165" s="60" cm="1">
        <f t="array" ref="AG165">_xll.BQL($C165, "IS_COMP_GROSS_MARGIN_PERCENTAGE", "FPR="&amp;AG$3, "FPT=Q", "FA_ACT_EST_DATA=A", "ACT_EST_MAPPING=PRECISE", "FS=MRC", "CURRENCY=USD", "XLFILL=b")/100</f>
        <v>0.54808641999999996</v>
      </c>
      <c r="AH165" s="60" cm="1">
        <f t="array" ref="AH165">_xll.BQL($C165, "IS_COMP_GROSS_MARGIN_PERCENTAGE", "FPR="&amp;AH$3, "FPT=Q", "FA_ACT_EST_DATA=A", "ACT_EST_MAPPING=PRECISE", "FS=MRC", "CURRENCY=USD", "XLFILL=b")/100</f>
        <v>0.5334487</v>
      </c>
      <c r="AI165" s="60" cm="1">
        <f t="array" ref="AI165">_xll.BQL($C165, "IS_COMP_GROSS_MARGIN_PERCENTAGE", "FPR="&amp;AI$3, "FPT=Q", "FA_ACT_EST_DATA=A", "ACT_EST_MAPPING=PRECISE", "FS=MRC", "CURRENCY=USD", "XLFILL=b")/100</f>
        <v>0.53384005999999995</v>
      </c>
      <c r="AJ165" s="60" cm="1">
        <f t="array" ref="AJ165">_xll.BQL($C165, "IS_COMP_GROSS_MARGIN_PERCENTAGE", "FPR="&amp;AJ$3, "FPT=Q", "FA_ACT_EST_DATA=A", "ACT_EST_MAPPING=PRECISE", "FS=MRC", "CURRENCY=USD", "XLFILL=b")/100</f>
        <v>0.52064580999999999</v>
      </c>
      <c r="AK165" s="182"/>
      <c r="AL165" s="60" cm="1">
        <f t="array" ref="AL165">_xll.BQL($C165, "IS_COMP_GROSS_MARGIN_PERCENTAGE", "FPR="&amp;AL$3, "FPT=Q", "FA_ACT_EST_DATA=A", "ACT_EST_MAPPING=PRECISE", "FS=MRC", "CURRENCY=USD", "XLFILL=b")/100</f>
        <v>0.55239269000000002</v>
      </c>
      <c r="AM165" s="60" cm="1">
        <f t="array" ref="AM165">_xll.BQL($C165, "IS_COMP_GROSS_MARGIN_PERCENTAGE", "FPR="&amp;AM$3, "FPT=Q", "FA_ACT_EST_DATA=A", "ACT_EST_MAPPING=PRECISE", "FS=MRC", "CURRENCY=USD", "XLFILL=b")/100</f>
        <v>0.54663561000000005</v>
      </c>
      <c r="AN165" s="60" cm="1">
        <f t="array" ref="AN165">_xll.BQL($C165, "IS_COMP_GROSS_MARGIN_PERCENTAGE", "FPR="&amp;AN$3, "FPT=Q", "FA_ACT_EST_DATA=E", "ACT_EST_MAPPING=PRECISE", "FS=MRC", "CURRENCY=USD", "XLFILL=b")/100</f>
        <v>0.53993964553252705</v>
      </c>
      <c r="AO165" s="60" cm="1">
        <f t="array" ref="AO165">_xll.BQL("PEP US Equity", "IS_COMP_GROSS_MARGIN_PERCENTAGE", "FPR=2023Q4", "FPT=Q", "FA_ACT_EST_DATA=E", "ACT_EST_MAPPING=PRECISE", "FS=MRC", "CURRENCY=USD", "XLFILL=b")/100</f>
        <v>0.5327811159466691</v>
      </c>
      <c r="AP165" s="207" cm="1">
        <f t="array" ref="AP165">_xll.BQL("PEP US Equity", "IS_COMP_GROSS_MARGIN_PERCENTAGE", "FPR=2023Y", "FPT=A", "FA_ACT_EST_DATA=E", "ACT_EST_MAPPING=PRECISE", "FS=MRC", "CURRENCY=USD", "XLFILL=b")/100</f>
        <v>0.54185428175783312</v>
      </c>
      <c r="AQ165" s="60" cm="1">
        <f t="array" ref="AQ165">_xll.BQL($C165, "IS_COMP_GROSS_MARGIN_PERCENTAGE", "FPR="&amp;AQ$3, "FPT=Q", "FA_ACT_EST_DATA=E", "ACT_EST_MAPPING=PRECISE", "FS=MRC", "CURRENCY=USD", "XLFILL=b")/100</f>
        <v>0.55535436377452263</v>
      </c>
      <c r="AR165" s="60" cm="1">
        <f t="array" ref="AR165">_xll.BQL($C165, "IS_COMP_GROSS_MARGIN_PERCENTAGE", "FPR="&amp;AR$3, "FPT=Q", "FA_ACT_EST_DATA=E", "ACT_EST_MAPPING=PRECISE", "FS=MRC", "CURRENCY=USD", "XLFILL=b")/100</f>
        <v>0.54949620678772548</v>
      </c>
      <c r="AS165" s="60" cm="1">
        <f t="array" ref="AS165">_xll.BQL($C165, "IS_COMP_GROSS_MARGIN_PERCENTAGE", "FPR="&amp;AS$3, "FPT=Q", "FA_ACT_EST_DATA=E", "ACT_EST_MAPPING=PRECISE", "FS=MRC", "CURRENCY=USD", "XLFILL=b")/100</f>
        <v>0.54300563660318402</v>
      </c>
      <c r="AT165" s="60" cm="1">
        <f t="array" ref="AT165">_xll.BQL($C165, "IS_COMP_GROSS_MARGIN_PERCENTAGE", "FPR="&amp;AT$3, "FPT=Q", "FA_ACT_EST_DATA=E", "ACT_EST_MAPPING=PRECISE", "FS=MRC", "CURRENCY=USD", "XLFILL=b")/100</f>
        <v>0.53563665103691438</v>
      </c>
      <c r="AU165" s="207" cm="1">
        <f t="array" ref="AU165">_xll.BQL("PEP US Equity", "IS_COMP_GROSS_MARGIN_PERCENTAGE", "FPR=2024Y", "FPT=A", "FA_ACT_EST_DATA=E", "ACT_EST_MAPPING=PRECISE", "FS=MRC", "CURRENCY=USD", "XLFILL=b")/100</f>
        <v>0.54461356321400567</v>
      </c>
      <c r="AV165" s="60" cm="1">
        <f t="array" ref="AV165">_xll.BQL($C165, "IS_COMP_GROSS_MARGIN_PERCENTAGE", "FPR="&amp;AV$3, "FPT=Q", "FA_ACT_EST_DATA=E", "ACT_EST_MAPPING=PRECISE", "FS=MRC", "CURRENCY=USD", "XLFILL=b")/100</f>
        <v>0.55929031255210471</v>
      </c>
      <c r="AW165" s="60" cm="1">
        <f t="array" ref="AW165">_xll.BQL($C165, "IS_COMP_GROSS_MARGIN_PERCENTAGE", "FPR="&amp;AW$3, "FPT=Q", "FA_ACT_EST_DATA=E", "ACT_EST_MAPPING=PRECISE", "FS=MRC", "CURRENCY=USD", "XLFILL=b")/100</f>
        <v>0.55055706634308377</v>
      </c>
      <c r="AX165" s="60" cm="1">
        <f t="array" ref="AX165">_xll.BQL($C165, "IS_COMP_GROSS_MARGIN_PERCENTAGE", "FPR="&amp;AX$3, "FPT=Q", "FA_ACT_EST_DATA=E", "ACT_EST_MAPPING=PRECISE", "FS=MRC", "CURRENCY=USD", "XLFILL=b")/100</f>
        <v>0.54420659571264351</v>
      </c>
      <c r="AY165" s="60" cm="1">
        <f t="array" ref="AY165">_xll.BQL($C165, "IS_COMP_GROSS_MARGIN_PERCENTAGE", "FPR="&amp;AY$3, "FPT=Q", "FA_ACT_EST_DATA=E", "ACT_EST_MAPPING=PRECISE", "FS=MRC", "CURRENCY=USD", "XLFILL=b")/100</f>
        <v>0.5357443528568715</v>
      </c>
      <c r="AZ165" s="210"/>
    </row>
    <row r="166" spans="2:52" hidden="1" outlineLevel="1">
      <c r="B166" s="195" t="s">
        <v>779</v>
      </c>
      <c r="C166" s="6"/>
      <c r="D166" s="6"/>
      <c r="E166" s="177"/>
      <c r="F166" s="177"/>
      <c r="G166" s="177"/>
      <c r="H166" s="165"/>
      <c r="I166" s="165"/>
      <c r="J166" s="165"/>
      <c r="K166" s="165"/>
      <c r="L166" s="182"/>
      <c r="M166" s="60"/>
      <c r="N166" s="60"/>
      <c r="O166" s="35">
        <f>10000*(O157-AVERAGE(O164:O165))</f>
        <v>-309.19105924369751</v>
      </c>
      <c r="P166" s="35">
        <f>10000*(P157-AVERAGE(P164:P165))</f>
        <v>-267.70723499822236</v>
      </c>
      <c r="Q166" s="182"/>
      <c r="R166" s="35">
        <f>10000*(R157-AVERAGE(R164:R165))</f>
        <v>-251.84234265175576</v>
      </c>
      <c r="S166" s="35">
        <f>10000*(S157-AVERAGE(S164:S165))</f>
        <v>-61.104981223328856</v>
      </c>
      <c r="T166" s="35">
        <f>10000*(T157-AVERAGE(T164:T165))</f>
        <v>-102.69990627177705</v>
      </c>
      <c r="U166" s="35">
        <f>10000*(U157-AVERAGE(U164:U165))</f>
        <v>-111.43106973415252</v>
      </c>
      <c r="V166" s="182"/>
      <c r="W166" s="35">
        <f>10000*(W157-AVERAGE(W164:W165))</f>
        <v>-208.13877145044012</v>
      </c>
      <c r="X166" s="35">
        <f>10000*(X157-AVERAGE(X164:X165))</f>
        <v>-39.241150000000061</v>
      </c>
      <c r="Y166" s="35">
        <f>10000*(Y157-AVERAGE(Y164:Y165))</f>
        <v>-122.56188476821306</v>
      </c>
      <c r="Z166" s="35">
        <f>10000*(Z157-AVERAGE(Z164:Z165))</f>
        <v>44.383229301506731</v>
      </c>
      <c r="AA166" s="182"/>
      <c r="AB166" s="35">
        <f>10000*(AB157-AVERAGE(AB164:AB165))</f>
        <v>-216.51034924190182</v>
      </c>
      <c r="AC166" s="35">
        <f>10000*(AC157-AVERAGE(AC164:AC165))</f>
        <v>-110.64472133758052</v>
      </c>
      <c r="AD166" s="35">
        <f>10000*(AD157-AVERAGE(AD164:AD165))</f>
        <v>-97.506323076923536</v>
      </c>
      <c r="AE166" s="35">
        <f>10000*(AE157-AVERAGE(AE164:AE165))</f>
        <v>-93.038020569153886</v>
      </c>
      <c r="AF166" s="182"/>
      <c r="AG166" s="35">
        <f>10000*(AG157-AVERAGE(AG164:AG165))</f>
        <v>-452.52761656920046</v>
      </c>
      <c r="AH166" s="35">
        <f>10000*(AH157-AVERAGE(AH164:AH165))</f>
        <v>-144.5366907709622</v>
      </c>
      <c r="AI166" s="35">
        <f>10000*(AI157-AVERAGE(AI164:AI165))</f>
        <v>-148.80272959690743</v>
      </c>
      <c r="AJ166" s="35">
        <f>10000*(AJ157-AVERAGE(AJ164:AJ165))</f>
        <v>-129.78045678411766</v>
      </c>
      <c r="AK166" s="182"/>
      <c r="AL166" s="35">
        <f>10000*(AL157-AVERAGE(AL164:AL165))</f>
        <v>-534.07350070086454</v>
      </c>
      <c r="AM166" s="35">
        <f>10000*(AM157-AVERAGE(AM164:AM165))</f>
        <v>-224.1598393903399</v>
      </c>
      <c r="AN166" s="35">
        <f>10000*(AN157-AVERAGE(AN164:AN165))</f>
        <v>-114.38178664669007</v>
      </c>
      <c r="AO166" s="35">
        <f>10000*(AO157-AVERAGE(AO164:AO165))</f>
        <v>86.467400139157434</v>
      </c>
      <c r="AP166" s="207"/>
      <c r="AQ166" s="35">
        <f>10000*(AQ157-AVERAGE(AQ164:AQ165))</f>
        <v>-555.64332270642171</v>
      </c>
      <c r="AR166" s="35">
        <f>10000*(AR157-AVERAGE(AR164:AR165))</f>
        <v>-265.8126739425648</v>
      </c>
      <c r="AS166" s="35">
        <f>10000*(AS157-AVERAGE(AS164:AS165))</f>
        <v>-203.10720747312772</v>
      </c>
      <c r="AT166" s="35">
        <f>10000*(AT157-AVERAGE(AT164:AT165))</f>
        <v>-5.1509442062225297</v>
      </c>
      <c r="AU166" s="207"/>
      <c r="AV166" s="35">
        <f>10000*(AV157-AVERAGE(AV164:AV165))</f>
        <v>-637.79752243751318</v>
      </c>
      <c r="AW166" s="35">
        <f>10000*(AW157-AVERAGE(AW164:AW165))</f>
        <v>-337.51145418197683</v>
      </c>
      <c r="AX166" s="35">
        <f>10000*(AX157-AVERAGE(AX164:AX165))</f>
        <v>-274.93953691452356</v>
      </c>
      <c r="AY166" s="35">
        <f>10000*(AY157-AVERAGE(AY164:AY165))</f>
        <v>-77.365908570915522</v>
      </c>
      <c r="AZ166" s="210"/>
    </row>
    <row r="167" spans="2:52" hidden="1" outlineLevel="1">
      <c r="B167" s="195" t="s">
        <v>778</v>
      </c>
      <c r="C167" s="6"/>
      <c r="D167" s="6"/>
      <c r="E167" s="177"/>
      <c r="F167" s="177"/>
      <c r="G167" s="177"/>
      <c r="H167" s="165"/>
      <c r="I167" s="165"/>
      <c r="J167" s="165"/>
      <c r="K167" s="165"/>
      <c r="L167" s="182"/>
      <c r="M167" s="183"/>
      <c r="N167" s="183"/>
      <c r="O167" s="183"/>
      <c r="P167" s="183"/>
      <c r="Q167" s="182"/>
      <c r="R167" s="183"/>
      <c r="S167" s="183"/>
      <c r="T167" s="183"/>
      <c r="U167" s="183"/>
      <c r="V167" s="182"/>
      <c r="W167" s="183"/>
      <c r="X167" s="183"/>
      <c r="Y167" s="183"/>
      <c r="Z167" s="183"/>
      <c r="AA167" s="182"/>
      <c r="AB167" s="183"/>
      <c r="AC167" s="183"/>
      <c r="AD167" s="183"/>
      <c r="AE167" s="183"/>
      <c r="AF167" s="182"/>
      <c r="AG167" s="183"/>
      <c r="AH167" s="183"/>
      <c r="AI167" s="183"/>
      <c r="AJ167" s="183"/>
      <c r="AK167" s="182"/>
      <c r="AL167" s="183"/>
      <c r="AM167" s="184"/>
      <c r="AN167" s="208"/>
      <c r="AO167" s="209"/>
      <c r="AP167" s="210"/>
      <c r="AQ167" s="208"/>
      <c r="AR167" s="208"/>
      <c r="AS167" s="208"/>
      <c r="AT167" s="208"/>
      <c r="AU167" s="210"/>
      <c r="AV167" s="208"/>
      <c r="AW167" s="208"/>
      <c r="AX167" s="208"/>
      <c r="AY167" s="208"/>
      <c r="AZ167" s="210"/>
    </row>
    <row r="168" spans="2:52" collapsed="1">
      <c r="B168" s="195"/>
      <c r="C168" s="6"/>
      <c r="D168" s="6"/>
      <c r="E168" s="177"/>
      <c r="F168" s="177"/>
      <c r="G168" s="177"/>
      <c r="H168" s="165"/>
      <c r="I168" s="165"/>
      <c r="J168" s="165"/>
      <c r="K168" s="165"/>
      <c r="L168" s="182"/>
      <c r="M168" s="183"/>
      <c r="N168" s="183"/>
      <c r="O168" s="183"/>
      <c r="P168" s="183"/>
      <c r="Q168" s="182"/>
      <c r="R168" s="183"/>
      <c r="S168" s="183"/>
      <c r="T168" s="183"/>
      <c r="U168" s="183"/>
      <c r="V168" s="182"/>
      <c r="W168" s="183"/>
      <c r="X168" s="183"/>
      <c r="Y168" s="183"/>
      <c r="Z168" s="183"/>
      <c r="AA168" s="182"/>
      <c r="AB168" s="183"/>
      <c r="AC168" s="183"/>
      <c r="AD168" s="183"/>
      <c r="AE168" s="183"/>
      <c r="AF168" s="182"/>
      <c r="AG168" s="183"/>
      <c r="AH168" s="183"/>
      <c r="AI168" s="183"/>
      <c r="AJ168" s="183"/>
      <c r="AK168" s="182"/>
      <c r="AL168" s="183"/>
      <c r="AM168" s="184"/>
      <c r="AN168" s="208"/>
      <c r="AO168" s="209"/>
      <c r="AP168" s="210"/>
      <c r="AQ168" s="208"/>
      <c r="AR168" s="208"/>
      <c r="AS168" s="208"/>
      <c r="AT168" s="208"/>
      <c r="AU168" s="210"/>
      <c r="AV168" s="208"/>
      <c r="AW168" s="208"/>
      <c r="AX168" s="208"/>
      <c r="AY168" s="208"/>
      <c r="AZ168" s="210"/>
    </row>
    <row r="169" spans="2:52">
      <c r="B169" s="11" t="s">
        <v>11</v>
      </c>
      <c r="C169" s="6" t="s">
        <v>527</v>
      </c>
      <c r="D169" s="6"/>
      <c r="E169" s="14"/>
      <c r="F169" s="14"/>
      <c r="G169" s="14"/>
      <c r="H169" s="15"/>
      <c r="I169" s="15"/>
      <c r="J169" s="15"/>
      <c r="K169" s="15"/>
      <c r="L169" s="14"/>
      <c r="M169" s="15"/>
      <c r="N169" s="15"/>
      <c r="O169" s="585" cm="1">
        <f t="array" ref="O169">_xll.VAData(va_ticker,O$4, $C169, "va actuals", "CD", "IMPL","","")</f>
        <v>900</v>
      </c>
      <c r="P169" s="585" cm="1">
        <f t="array" ref="P169">_xll.VAData(va_ticker,P$4, $C169, "va actuals", "CD", "IMPL","","")</f>
        <v>840</v>
      </c>
      <c r="Q169" s="586" cm="1">
        <f t="array" ref="Q169">_xll.VAData(va_ticker,Q$4, $C169, "va actuals", "CD", "IMPL","","")</f>
        <v>3556</v>
      </c>
      <c r="R169" s="585" cm="1">
        <f t="array" ref="R169">_xll.VAData(va_ticker,R$4, $C169, "va actuals", "CD", "IMPL","","")</f>
        <v>809</v>
      </c>
      <c r="S169" s="585" cm="1">
        <f t="array" ref="S169">_xll.VAData(va_ticker,S$4, $C169, "va actuals", "CD", "IMPL","","")</f>
        <v>913</v>
      </c>
      <c r="T169" s="585" cm="1">
        <f t="array" ref="T169">_xll.VAData(va_ticker,T$4, $C169, "va actuals", "CD", "IMPL","","")</f>
        <v>889</v>
      </c>
      <c r="U169" s="585" cm="1">
        <f t="array" ref="U169">_xll.VAData(va_ticker,U$4, $C169, "va actuals", "CD", "IMPL","","")</f>
        <v>872</v>
      </c>
      <c r="V169" s="586" cm="1">
        <f t="array" ref="V169">_xll.VAData(va_ticker,V$4, $C169, "va actuals", "CD", "IMPL","","")</f>
        <v>3483</v>
      </c>
      <c r="W169" s="585" cm="1">
        <f t="array" ref="W169">_xll.VAData(va_ticker,W$4, $C169, "va actuals", "CD", "IMPL","","")</f>
        <v>842</v>
      </c>
      <c r="X169" s="585" cm="1">
        <f t="array" ref="X169">_xll.VAData(va_ticker,X$4, $C169, "va actuals", "CD", "IMPL","","")</f>
        <v>836</v>
      </c>
      <c r="Y169" s="585" cm="1">
        <f t="array" ref="Y169">_xll.VAData(va_ticker,Y$4, $C169, "va actuals", "CD", "IMPL","","")</f>
        <v>811</v>
      </c>
      <c r="Z169" s="585" cm="1">
        <f t="array" ref="Z169">_xll.VAData(va_ticker,Z$4, $C169, "va actuals", "CD", "IMPL","","")</f>
        <v>885</v>
      </c>
      <c r="AA169" s="586" cm="1">
        <f t="array" ref="AA169">_xll.VAData(va_ticker,AA$4, $C169, "va actuals", "CD", "IMPL","","")</f>
        <v>3374</v>
      </c>
      <c r="AB169" s="585" cm="1">
        <f t="array" ref="AB169">_xll.VAData(va_ticker,AB$4, $C169, "va actuals", "CD", "IMPL","","")</f>
        <v>871</v>
      </c>
      <c r="AC169" s="585" cm="1">
        <f t="array" ref="AC169">_xll.VAData(va_ticker,AC$4, $C169, "va actuals", "CD", "IMPL","","")</f>
        <v>938</v>
      </c>
      <c r="AD169" s="585" cm="1">
        <f t="array" ref="AD169">_xll.VAData(va_ticker,AD$4, $C169, "va actuals", "CD", "IMPL","","")</f>
        <v>901</v>
      </c>
      <c r="AE169" s="585" cm="1">
        <f t="array" ref="AE169">_xll.VAData(va_ticker,AE$4, $C169, "va actuals", "CD", "IMPL","","")</f>
        <v>982</v>
      </c>
      <c r="AF169" s="586" cm="1">
        <f t="array" ref="AF169">_xll.VAData(va_ticker,AF$4, $C169, "va actuals", "CD", "IMPL","","")</f>
        <v>3692</v>
      </c>
      <c r="AG169" s="585" cm="1">
        <f t="array" ref="AG169">_xll.VAData(va_ticker,AG$4, $C169, "va actuals", "CD", "IMPL","","")</f>
        <v>957</v>
      </c>
      <c r="AH169" s="585" cm="1">
        <f t="array" ref="AH169">_xll.VAData(va_ticker,AH$4, $C169, "va actuals", "CD", "IMPL","","")</f>
        <v>1112</v>
      </c>
      <c r="AI169" s="585" cm="1">
        <f t="array" ref="AI169">_xll.VAData(va_ticker,AI$4, $C169, "va actuals", "CD", "IMPL","","")</f>
        <v>1038</v>
      </c>
      <c r="AJ169" s="585" cm="1">
        <f t="array" ref="AJ169">_xll.VAData(va_ticker,AJ$4, $C169, "va actuals", "CD", "IMPL","","")</f>
        <v>1058</v>
      </c>
      <c r="AK169" s="586" cm="1">
        <f t="array" ref="AK169">_xll.VAData(va_ticker,AK$4, $C169, "va actuals", "CD", "IMPL","","")</f>
        <v>4165</v>
      </c>
      <c r="AL169" s="585" cm="1">
        <f t="array" ref="AL169">_xll.VAData(va_ticker,AL$4, $C169, "va actuals", "CD", "IMPL","","")</f>
        <v>1074</v>
      </c>
      <c r="AM169" s="585" cm="1">
        <f t="array" ref="AM169">_xll.VAData(va_ticker,AM$4, $C169, "va actuals", "CD", "IMPL","","")</f>
        <v>1203</v>
      </c>
      <c r="AN169" s="15">
        <f>AN181*AN$148</f>
        <v>1088.0463942266524</v>
      </c>
      <c r="AO169" s="15">
        <f>AO181*AO148</f>
        <v>1089.9993684243575</v>
      </c>
      <c r="AP169" s="206">
        <f>SUM(AL169:AO169)</f>
        <v>4455.0457626510097</v>
      </c>
      <c r="AQ169" s="15">
        <f>AQ181*AQ148</f>
        <v>1095.0831792992044</v>
      </c>
      <c r="AR169" s="15">
        <f>AR181*AR148</f>
        <v>1236.4126280645212</v>
      </c>
      <c r="AS169" s="15">
        <f>AS181*AS148</f>
        <v>1109.1629782843784</v>
      </c>
      <c r="AT169" s="15">
        <f>AT181*AT148</f>
        <v>1107.5047792088365</v>
      </c>
      <c r="AU169" s="206">
        <f>SUM(AQ169:AT169)</f>
        <v>4548.16356485694</v>
      </c>
      <c r="AV169" s="15">
        <f>AV181*AV148</f>
        <v>1117.2661540918659</v>
      </c>
      <c r="AW169" s="15">
        <f>AW181*AW148</f>
        <v>1262.4062481599321</v>
      </c>
      <c r="AX169" s="15">
        <f>AX181*AX148</f>
        <v>1132.193523986509</v>
      </c>
      <c r="AY169" s="15">
        <f>AY181*AY148</f>
        <v>1127.7519076138624</v>
      </c>
      <c r="AZ169" s="206">
        <f>SUM(AV169:AY169)</f>
        <v>4639.6178338521695</v>
      </c>
    </row>
    <row r="170" spans="2:52" hidden="1" outlineLevel="1">
      <c r="B170" s="5" t="s">
        <v>603</v>
      </c>
      <c r="C170" s="6"/>
      <c r="D170" s="6"/>
      <c r="E170" s="14"/>
      <c r="F170" s="14"/>
      <c r="G170" s="14"/>
      <c r="H170" s="15"/>
      <c r="I170" s="15"/>
      <c r="J170" s="15"/>
      <c r="K170" s="15"/>
      <c r="L170" s="14"/>
      <c r="M170" s="15"/>
      <c r="N170" s="15"/>
      <c r="O170" s="15"/>
      <c r="P170" s="15"/>
      <c r="Q170" s="586">
        <v>411</v>
      </c>
      <c r="R170" s="585"/>
      <c r="S170" s="585"/>
      <c r="T170" s="585"/>
      <c r="U170" s="585"/>
      <c r="V170" s="586">
        <v>670</v>
      </c>
      <c r="W170" s="585"/>
      <c r="X170" s="585"/>
      <c r="Y170" s="585"/>
      <c r="Z170" s="585"/>
      <c r="AA170" s="586">
        <v>489</v>
      </c>
      <c r="AB170" s="585"/>
      <c r="AC170" s="585"/>
      <c r="AD170" s="585"/>
      <c r="AE170" s="585"/>
      <c r="AF170" s="586">
        <v>540</v>
      </c>
      <c r="AG170" s="585"/>
      <c r="AH170" s="585"/>
      <c r="AI170" s="585"/>
      <c r="AJ170" s="585"/>
      <c r="AK170" s="586">
        <v>537</v>
      </c>
      <c r="AL170" s="15"/>
      <c r="AM170" s="15"/>
      <c r="AN170" s="15"/>
      <c r="AO170" s="15"/>
      <c r="AP170" s="206"/>
      <c r="AQ170" s="15"/>
      <c r="AR170" s="15"/>
      <c r="AS170" s="15"/>
      <c r="AT170" s="15"/>
      <c r="AU170" s="206"/>
      <c r="AV170" s="15"/>
      <c r="AW170" s="15"/>
      <c r="AX170" s="15"/>
      <c r="AY170" s="15"/>
      <c r="AZ170" s="206"/>
    </row>
    <row r="171" spans="2:52" hidden="1" outlineLevel="1">
      <c r="B171" s="5" t="s">
        <v>605</v>
      </c>
      <c r="C171" s="6"/>
      <c r="D171" s="6"/>
      <c r="E171" s="14"/>
      <c r="F171" s="14"/>
      <c r="G171" s="14"/>
      <c r="H171" s="15"/>
      <c r="I171" s="15"/>
      <c r="J171" s="15"/>
      <c r="K171" s="15"/>
      <c r="L171" s="14"/>
      <c r="M171" s="15"/>
      <c r="N171" s="15"/>
      <c r="O171" s="15"/>
      <c r="P171" s="15"/>
      <c r="Q171" s="586">
        <v>695</v>
      </c>
      <c r="R171" s="585"/>
      <c r="S171" s="585"/>
      <c r="T171" s="585"/>
      <c r="U171" s="585"/>
      <c r="V171" s="586">
        <v>1181</v>
      </c>
      <c r="W171" s="585"/>
      <c r="X171" s="585"/>
      <c r="Y171" s="585"/>
      <c r="Z171" s="585"/>
      <c r="AA171" s="586">
        <v>1326</v>
      </c>
      <c r="AB171" s="585"/>
      <c r="AC171" s="585"/>
      <c r="AD171" s="585"/>
      <c r="AE171" s="585"/>
      <c r="AF171" s="586">
        <v>1475</v>
      </c>
      <c r="AG171" s="585"/>
      <c r="AH171" s="585"/>
      <c r="AI171" s="585"/>
      <c r="AJ171" s="585"/>
      <c r="AK171" s="586">
        <v>1746</v>
      </c>
      <c r="AL171" s="15"/>
      <c r="AM171" s="15"/>
      <c r="AN171" s="15"/>
      <c r="AO171" s="15"/>
      <c r="AP171" s="206"/>
      <c r="AQ171" s="15"/>
      <c r="AR171" s="15"/>
      <c r="AS171" s="15"/>
      <c r="AT171" s="15"/>
      <c r="AU171" s="206"/>
      <c r="AV171" s="15"/>
      <c r="AW171" s="15"/>
      <c r="AX171" s="15"/>
      <c r="AY171" s="15"/>
      <c r="AZ171" s="206"/>
    </row>
    <row r="172" spans="2:52" hidden="1" outlineLevel="1">
      <c r="B172" s="5" t="s">
        <v>606</v>
      </c>
      <c r="C172" s="6"/>
      <c r="D172" s="6"/>
      <c r="E172" s="14"/>
      <c r="F172" s="14"/>
      <c r="G172" s="14"/>
      <c r="H172" s="15"/>
      <c r="I172" s="15"/>
      <c r="J172" s="15"/>
      <c r="K172" s="15"/>
      <c r="L172" s="14"/>
      <c r="M172" s="15"/>
      <c r="N172" s="15"/>
      <c r="O172" s="15"/>
      <c r="P172" s="15"/>
      <c r="Q172" s="586">
        <v>64</v>
      </c>
      <c r="R172" s="585"/>
      <c r="S172" s="585"/>
      <c r="T172" s="585"/>
      <c r="U172" s="585"/>
      <c r="V172" s="586">
        <v>81</v>
      </c>
      <c r="W172" s="585"/>
      <c r="X172" s="585"/>
      <c r="Y172" s="585"/>
      <c r="Z172" s="585"/>
      <c r="AA172" s="586">
        <v>69</v>
      </c>
      <c r="AB172" s="585"/>
      <c r="AC172" s="585"/>
      <c r="AD172" s="585"/>
      <c r="AE172" s="585"/>
      <c r="AF172" s="586">
        <v>66</v>
      </c>
      <c r="AG172" s="585"/>
      <c r="AH172" s="585"/>
      <c r="AI172" s="585"/>
      <c r="AJ172" s="585"/>
      <c r="AK172" s="586">
        <v>65</v>
      </c>
      <c r="AL172" s="15"/>
      <c r="AM172" s="15"/>
      <c r="AN172" s="15"/>
      <c r="AO172" s="15"/>
      <c r="AP172" s="206"/>
      <c r="AQ172" s="15"/>
      <c r="AR172" s="15"/>
      <c r="AS172" s="15"/>
      <c r="AT172" s="15"/>
      <c r="AU172" s="206"/>
      <c r="AV172" s="15"/>
      <c r="AW172" s="15"/>
      <c r="AX172" s="15"/>
      <c r="AY172" s="15"/>
      <c r="AZ172" s="206"/>
    </row>
    <row r="173" spans="2:52" hidden="1" outlineLevel="1">
      <c r="B173" s="5" t="s">
        <v>604</v>
      </c>
      <c r="C173" s="6"/>
      <c r="D173" s="6"/>
      <c r="E173" s="14"/>
      <c r="F173" s="14"/>
      <c r="G173" s="14"/>
      <c r="H173" s="15"/>
      <c r="I173" s="15"/>
      <c r="J173" s="15"/>
      <c r="K173" s="15"/>
      <c r="L173" s="14"/>
      <c r="M173" s="15"/>
      <c r="N173" s="15"/>
      <c r="O173" s="15"/>
      <c r="P173" s="15"/>
      <c r="Q173" s="586">
        <f>Q169-Q170-Q171-Q172</f>
        <v>2386</v>
      </c>
      <c r="R173" s="585"/>
      <c r="S173" s="585"/>
      <c r="T173" s="585"/>
      <c r="U173" s="585"/>
      <c r="V173" s="586">
        <f>V169-V170-V171-V172</f>
        <v>1551</v>
      </c>
      <c r="W173" s="585"/>
      <c r="X173" s="585"/>
      <c r="Y173" s="585"/>
      <c r="Z173" s="585"/>
      <c r="AA173" s="586">
        <f>AA169-AA170-AA171-AA172</f>
        <v>1490</v>
      </c>
      <c r="AB173" s="585"/>
      <c r="AC173" s="585"/>
      <c r="AD173" s="585"/>
      <c r="AE173" s="585"/>
      <c r="AF173" s="586">
        <f>AF169-AF170-AF171-AF172</f>
        <v>1611</v>
      </c>
      <c r="AG173" s="585"/>
      <c r="AH173" s="585"/>
      <c r="AI173" s="585"/>
      <c r="AJ173" s="585"/>
      <c r="AK173" s="586">
        <f>AK169-AK170-AK171-AK172</f>
        <v>1817</v>
      </c>
      <c r="AL173" s="15"/>
      <c r="AM173" s="15"/>
      <c r="AN173" s="15"/>
      <c r="AO173" s="15"/>
      <c r="AP173" s="206"/>
      <c r="AQ173" s="15"/>
      <c r="AR173" s="15"/>
      <c r="AS173" s="15"/>
      <c r="AT173" s="15"/>
      <c r="AU173" s="206"/>
      <c r="AV173" s="15"/>
      <c r="AW173" s="15"/>
      <c r="AX173" s="15"/>
      <c r="AY173" s="15"/>
      <c r="AZ173" s="206"/>
    </row>
    <row r="174" spans="2:52" hidden="1" outlineLevel="1">
      <c r="B174" s="5"/>
      <c r="C174" s="6"/>
      <c r="D174" s="6"/>
      <c r="E174" s="14"/>
      <c r="F174" s="14"/>
      <c r="G174" s="14"/>
      <c r="H174" s="15"/>
      <c r="I174" s="15"/>
      <c r="J174" s="15"/>
      <c r="K174" s="15"/>
      <c r="L174" s="14"/>
      <c r="M174" s="15"/>
      <c r="N174" s="15"/>
      <c r="O174" s="15"/>
      <c r="P174" s="15"/>
      <c r="Q174" s="14"/>
      <c r="R174" s="15"/>
      <c r="S174" s="15"/>
      <c r="T174" s="15"/>
      <c r="U174" s="15"/>
      <c r="V174" s="14"/>
      <c r="W174" s="15"/>
      <c r="X174" s="15"/>
      <c r="Y174" s="15"/>
      <c r="Z174" s="15"/>
      <c r="AA174" s="14"/>
      <c r="AB174" s="15"/>
      <c r="AC174" s="15"/>
      <c r="AD174" s="15"/>
      <c r="AE174" s="15"/>
      <c r="AF174" s="14"/>
      <c r="AG174" s="15"/>
      <c r="AH174" s="15"/>
      <c r="AI174" s="15"/>
      <c r="AJ174" s="15"/>
      <c r="AK174" s="14"/>
      <c r="AL174" s="15"/>
      <c r="AM174" s="15"/>
      <c r="AN174" s="15"/>
      <c r="AO174" s="15"/>
      <c r="AP174" s="206"/>
      <c r="AQ174" s="15"/>
      <c r="AR174" s="15"/>
      <c r="AS174" s="15"/>
      <c r="AT174" s="15"/>
      <c r="AU174" s="206"/>
      <c r="AV174" s="15"/>
      <c r="AW174" s="15"/>
      <c r="AX174" s="15"/>
      <c r="AY174" s="15"/>
      <c r="AZ174" s="206"/>
    </row>
    <row r="175" spans="2:52" hidden="1" outlineLevel="1">
      <c r="B175" s="59" t="s">
        <v>797</v>
      </c>
      <c r="C175" s="6"/>
      <c r="D175" s="6"/>
      <c r="E175" s="14"/>
      <c r="F175" s="14"/>
      <c r="G175" s="14"/>
      <c r="H175" s="15"/>
      <c r="I175" s="15"/>
      <c r="J175" s="15"/>
      <c r="K175" s="15"/>
      <c r="L175" s="14"/>
      <c r="M175" s="15"/>
      <c r="N175" s="15"/>
      <c r="O175" s="15"/>
      <c r="P175" s="15"/>
      <c r="Q175" s="18">
        <f>Q170/Q$169</f>
        <v>0.11557930258717661</v>
      </c>
      <c r="R175" s="15"/>
      <c r="S175" s="15"/>
      <c r="T175" s="15"/>
      <c r="U175" s="15"/>
      <c r="V175" s="18">
        <f>V170/V$169</f>
        <v>0.19236290554120011</v>
      </c>
      <c r="W175" s="15"/>
      <c r="X175" s="15"/>
      <c r="Y175" s="15"/>
      <c r="Z175" s="15"/>
      <c r="AA175" s="18">
        <f>AA170/AA$169</f>
        <v>0.14493183165382337</v>
      </c>
      <c r="AB175" s="15"/>
      <c r="AC175" s="15"/>
      <c r="AD175" s="15"/>
      <c r="AE175" s="15"/>
      <c r="AF175" s="18">
        <f>AF170/AF$169</f>
        <v>0.14626218851570963</v>
      </c>
      <c r="AG175" s="15"/>
      <c r="AH175" s="15"/>
      <c r="AI175" s="15"/>
      <c r="AJ175" s="15"/>
      <c r="AK175" s="18">
        <f>AK170/AK$169</f>
        <v>0.12893157262905161</v>
      </c>
      <c r="AL175" s="15"/>
      <c r="AM175" s="15"/>
      <c r="AN175" s="15"/>
      <c r="AO175" s="15"/>
      <c r="AP175" s="206"/>
      <c r="AQ175" s="15"/>
      <c r="AR175" s="15"/>
      <c r="AS175" s="15"/>
      <c r="AT175" s="15"/>
      <c r="AU175" s="206"/>
      <c r="AV175" s="15"/>
      <c r="AW175" s="15"/>
      <c r="AX175" s="15"/>
      <c r="AY175" s="15"/>
      <c r="AZ175" s="206"/>
    </row>
    <row r="176" spans="2:52" hidden="1" outlineLevel="1">
      <c r="B176" s="59" t="s">
        <v>798</v>
      </c>
      <c r="C176" s="6"/>
      <c r="D176" s="6"/>
      <c r="E176" s="14"/>
      <c r="F176" s="14"/>
      <c r="G176" s="14"/>
      <c r="H176" s="15"/>
      <c r="I176" s="15"/>
      <c r="J176" s="15"/>
      <c r="K176" s="15"/>
      <c r="L176" s="14"/>
      <c r="M176" s="15"/>
      <c r="N176" s="15"/>
      <c r="O176" s="15"/>
      <c r="P176" s="15"/>
      <c r="Q176" s="18">
        <f t="shared" ref="Q176:Q178" si="385">Q171/Q$169</f>
        <v>0.19544431946006749</v>
      </c>
      <c r="R176" s="15"/>
      <c r="S176" s="15"/>
      <c r="T176" s="15"/>
      <c r="U176" s="15"/>
      <c r="V176" s="18">
        <f t="shared" ref="V176:V178" si="386">V171/V$169</f>
        <v>0.33907550961814525</v>
      </c>
      <c r="W176" s="15"/>
      <c r="X176" s="15"/>
      <c r="Y176" s="15"/>
      <c r="Z176" s="15"/>
      <c r="AA176" s="18">
        <f t="shared" ref="AA176:AA178" si="387">AA171/AA$169</f>
        <v>0.3930053349140486</v>
      </c>
      <c r="AB176" s="15"/>
      <c r="AC176" s="15"/>
      <c r="AD176" s="15"/>
      <c r="AE176" s="15"/>
      <c r="AF176" s="18">
        <f t="shared" ref="AF176:AF178" si="388">AF171/AF$169</f>
        <v>0.39951245937161428</v>
      </c>
      <c r="AG176" s="15"/>
      <c r="AH176" s="15"/>
      <c r="AI176" s="15"/>
      <c r="AJ176" s="15"/>
      <c r="AK176" s="18">
        <f t="shared" ref="AK176:AK178" si="389">AK171/AK$169</f>
        <v>0.41920768307322931</v>
      </c>
      <c r="AL176" s="15"/>
      <c r="AM176" s="15"/>
      <c r="AN176" s="15"/>
      <c r="AO176" s="15"/>
      <c r="AP176" s="206"/>
      <c r="AQ176" s="15"/>
      <c r="AR176" s="15"/>
      <c r="AS176" s="15"/>
      <c r="AT176" s="15"/>
      <c r="AU176" s="206"/>
      <c r="AV176" s="15"/>
      <c r="AW176" s="15"/>
      <c r="AX176" s="15"/>
      <c r="AY176" s="15"/>
      <c r="AZ176" s="206"/>
    </row>
    <row r="177" spans="2:54" hidden="1" outlineLevel="1">
      <c r="B177" s="59" t="s">
        <v>799</v>
      </c>
      <c r="C177" s="6"/>
      <c r="D177" s="6"/>
      <c r="E177" s="14"/>
      <c r="F177" s="14"/>
      <c r="G177" s="14"/>
      <c r="H177" s="15"/>
      <c r="I177" s="15"/>
      <c r="J177" s="15"/>
      <c r="K177" s="15"/>
      <c r="L177" s="14"/>
      <c r="M177" s="15"/>
      <c r="N177" s="15"/>
      <c r="O177" s="15"/>
      <c r="P177" s="15"/>
      <c r="Q177" s="18">
        <f t="shared" si="385"/>
        <v>1.799775028121485E-2</v>
      </c>
      <c r="R177" s="15"/>
      <c r="S177" s="15"/>
      <c r="T177" s="15"/>
      <c r="U177" s="15"/>
      <c r="V177" s="18">
        <f t="shared" si="386"/>
        <v>2.3255813953488372E-2</v>
      </c>
      <c r="W177" s="15"/>
      <c r="X177" s="15"/>
      <c r="Y177" s="15"/>
      <c r="Z177" s="15"/>
      <c r="AA177" s="18">
        <f t="shared" si="387"/>
        <v>2.045050385299348E-2</v>
      </c>
      <c r="AB177" s="15"/>
      <c r="AC177" s="15"/>
      <c r="AD177" s="15"/>
      <c r="AE177" s="15"/>
      <c r="AF177" s="18">
        <f t="shared" si="388"/>
        <v>1.7876489707475622E-2</v>
      </c>
      <c r="AG177" s="15"/>
      <c r="AH177" s="15"/>
      <c r="AI177" s="15"/>
      <c r="AJ177" s="15"/>
      <c r="AK177" s="18">
        <f t="shared" si="389"/>
        <v>1.5606242496998799E-2</v>
      </c>
      <c r="AL177" s="15"/>
      <c r="AM177" s="15"/>
      <c r="AN177" s="15"/>
      <c r="AO177" s="15"/>
      <c r="AP177" s="206"/>
      <c r="AQ177" s="15"/>
      <c r="AR177" s="15"/>
      <c r="AS177" s="15"/>
      <c r="AT177" s="15"/>
      <c r="AU177" s="206"/>
      <c r="AV177" s="15"/>
      <c r="AW177" s="15"/>
      <c r="AX177" s="15"/>
      <c r="AY177" s="15"/>
      <c r="AZ177" s="206"/>
    </row>
    <row r="178" spans="2:54" hidden="1" outlineLevel="1">
      <c r="B178" s="59" t="s">
        <v>800</v>
      </c>
      <c r="C178" s="6"/>
      <c r="D178" s="6"/>
      <c r="E178" s="14"/>
      <c r="F178" s="14"/>
      <c r="G178" s="14"/>
      <c r="H178" s="15"/>
      <c r="I178" s="15"/>
      <c r="J178" s="15"/>
      <c r="K178" s="15"/>
      <c r="L178" s="14"/>
      <c r="M178" s="15"/>
      <c r="N178" s="15"/>
      <c r="O178" s="15"/>
      <c r="P178" s="15"/>
      <c r="Q178" s="18">
        <f t="shared" si="385"/>
        <v>0.67097862767154104</v>
      </c>
      <c r="R178" s="15"/>
      <c r="S178" s="15"/>
      <c r="T178" s="15"/>
      <c r="U178" s="15"/>
      <c r="V178" s="18">
        <f t="shared" si="386"/>
        <v>0.44530577088716622</v>
      </c>
      <c r="W178" s="15"/>
      <c r="X178" s="15"/>
      <c r="Y178" s="15"/>
      <c r="Z178" s="15"/>
      <c r="AA178" s="18">
        <f t="shared" si="387"/>
        <v>0.44161232957913454</v>
      </c>
      <c r="AB178" s="15"/>
      <c r="AC178" s="15"/>
      <c r="AD178" s="15"/>
      <c r="AE178" s="15"/>
      <c r="AF178" s="18">
        <f t="shared" si="388"/>
        <v>0.43634886240520043</v>
      </c>
      <c r="AG178" s="15"/>
      <c r="AH178" s="15"/>
      <c r="AI178" s="15"/>
      <c r="AJ178" s="15"/>
      <c r="AK178" s="18">
        <f t="shared" si="389"/>
        <v>0.43625450180072028</v>
      </c>
      <c r="AL178" s="15"/>
      <c r="AM178" s="15"/>
      <c r="AN178" s="15"/>
      <c r="AO178" s="15"/>
      <c r="AP178" s="206"/>
      <c r="AQ178" s="15"/>
      <c r="AR178" s="15"/>
      <c r="AS178" s="15"/>
      <c r="AT178" s="15"/>
      <c r="AU178" s="206"/>
      <c r="AV178" s="15"/>
      <c r="AW178" s="15"/>
      <c r="AX178" s="15"/>
      <c r="AY178" s="15"/>
      <c r="AZ178" s="206"/>
    </row>
    <row r="179" spans="2:54" hidden="1" outlineLevel="1">
      <c r="B179" s="5"/>
      <c r="C179" s="6"/>
      <c r="D179" s="6"/>
      <c r="E179" s="14"/>
      <c r="F179" s="14"/>
      <c r="G179" s="14"/>
      <c r="H179" s="15"/>
      <c r="I179" s="15"/>
      <c r="J179" s="15"/>
      <c r="K179" s="15"/>
      <c r="L179" s="14"/>
      <c r="M179" s="15"/>
      <c r="N179" s="15"/>
      <c r="O179" s="15"/>
      <c r="P179" s="15"/>
      <c r="Q179" s="14"/>
      <c r="R179" s="15"/>
      <c r="S179" s="15"/>
      <c r="T179" s="15"/>
      <c r="U179" s="15"/>
      <c r="V179" s="14"/>
      <c r="W179" s="15"/>
      <c r="X179" s="15"/>
      <c r="Y179" s="15"/>
      <c r="Z179" s="15"/>
      <c r="AA179" s="14"/>
      <c r="AB179" s="15"/>
      <c r="AC179" s="15"/>
      <c r="AD179" s="15"/>
      <c r="AE179" s="15"/>
      <c r="AF179" s="14"/>
      <c r="AG179" s="15"/>
      <c r="AH179" s="15"/>
      <c r="AI179" s="15"/>
      <c r="AJ179" s="15"/>
      <c r="AK179" s="14"/>
      <c r="AL179" s="15"/>
      <c r="AM179" s="15"/>
      <c r="AN179" s="15"/>
      <c r="AO179" s="15"/>
      <c r="AP179" s="206"/>
      <c r="AQ179" s="15"/>
      <c r="AR179" s="15"/>
      <c r="AS179" s="15"/>
      <c r="AT179" s="15"/>
      <c r="AU179" s="206"/>
      <c r="AV179" s="15"/>
      <c r="AW179" s="15"/>
      <c r="AX179" s="15"/>
      <c r="AY179" s="15"/>
      <c r="AZ179" s="206"/>
    </row>
    <row r="180" spans="2:54" hidden="1" outlineLevel="1">
      <c r="B180" s="5"/>
      <c r="C180" s="6"/>
      <c r="D180" s="6"/>
      <c r="E180" s="14"/>
      <c r="F180" s="14"/>
      <c r="G180" s="14"/>
      <c r="H180" s="15"/>
      <c r="I180" s="15"/>
      <c r="J180" s="15"/>
      <c r="K180" s="15"/>
      <c r="L180" s="14"/>
      <c r="M180" s="15"/>
      <c r="N180" s="15"/>
      <c r="O180" s="15"/>
      <c r="P180" s="15"/>
      <c r="Q180" s="14"/>
      <c r="R180" s="15"/>
      <c r="S180" s="15"/>
      <c r="T180" s="15"/>
      <c r="U180" s="15"/>
      <c r="V180" s="14"/>
      <c r="W180" s="15"/>
      <c r="X180" s="15"/>
      <c r="Y180" s="15"/>
      <c r="Z180" s="15"/>
      <c r="AA180" s="14"/>
      <c r="AB180" s="15"/>
      <c r="AC180" s="15"/>
      <c r="AD180" s="15"/>
      <c r="AE180" s="15"/>
      <c r="AF180" s="14"/>
      <c r="AG180" s="15"/>
      <c r="AH180" s="15"/>
      <c r="AI180" s="15"/>
      <c r="AJ180" s="15"/>
      <c r="AK180" s="14"/>
      <c r="AL180" s="15"/>
      <c r="AM180" s="15"/>
      <c r="AN180" s="15"/>
      <c r="AO180" s="15"/>
      <c r="AP180" s="206"/>
      <c r="AQ180" s="15"/>
      <c r="AR180" s="15"/>
      <c r="AS180" s="15"/>
      <c r="AT180" s="15"/>
      <c r="AU180" s="206"/>
      <c r="AV180" s="15"/>
      <c r="AW180" s="15"/>
      <c r="AX180" s="15"/>
      <c r="AY180" s="15"/>
      <c r="AZ180" s="206"/>
    </row>
    <row r="181" spans="2:54" hidden="1" outlineLevel="1">
      <c r="B181" s="195" t="s">
        <v>525</v>
      </c>
      <c r="C181" s="6"/>
      <c r="D181" s="6"/>
      <c r="E181" s="18"/>
      <c r="F181" s="177"/>
      <c r="G181" s="177"/>
      <c r="H181" s="165"/>
      <c r="I181" s="165"/>
      <c r="J181" s="165"/>
      <c r="K181" s="165"/>
      <c r="L181" s="177"/>
      <c r="M181" s="165"/>
      <c r="N181" s="165"/>
      <c r="O181" s="165">
        <f t="shared" ref="O181:AL181" si="390">O169/O148</f>
        <v>0.31512605042016806</v>
      </c>
      <c r="P181" s="165">
        <f t="shared" si="390"/>
        <v>0.2986135798080341</v>
      </c>
      <c r="Q181" s="177">
        <f t="shared" si="390"/>
        <v>0.32268602540834845</v>
      </c>
      <c r="R181" s="165">
        <f t="shared" si="390"/>
        <v>0.32308306709265172</v>
      </c>
      <c r="S181" s="165">
        <f t="shared" si="390"/>
        <v>0.32467994310099574</v>
      </c>
      <c r="T181" s="165">
        <f t="shared" si="390"/>
        <v>0.30975609756097561</v>
      </c>
      <c r="U181" s="165">
        <f t="shared" si="390"/>
        <v>0.29720518064076346</v>
      </c>
      <c r="V181" s="177">
        <f t="shared" si="390"/>
        <v>0.31321942446043166</v>
      </c>
      <c r="W181" s="165">
        <f t="shared" si="390"/>
        <v>0.32223497895139691</v>
      </c>
      <c r="X181" s="165">
        <f t="shared" si="390"/>
        <v>0.29189944134078211</v>
      </c>
      <c r="Y181" s="165">
        <f t="shared" si="390"/>
        <v>0.26854304635761589</v>
      </c>
      <c r="Z181" s="165">
        <f t="shared" si="390"/>
        <v>0.2835629605895546</v>
      </c>
      <c r="AA181" s="177">
        <f t="shared" si="390"/>
        <v>0.29041143053881907</v>
      </c>
      <c r="AB181" s="165">
        <f t="shared" si="390"/>
        <v>0.3001378359751895</v>
      </c>
      <c r="AC181" s="165">
        <f t="shared" si="390"/>
        <v>0.29872611464968152</v>
      </c>
      <c r="AD181" s="165">
        <f t="shared" si="390"/>
        <v>0.27723076923076923</v>
      </c>
      <c r="AE181" s="165">
        <f t="shared" si="390"/>
        <v>0.28959009141846065</v>
      </c>
      <c r="AF181" s="177">
        <f t="shared" si="390"/>
        <v>0.291098320586612</v>
      </c>
      <c r="AG181" s="165">
        <f t="shared" si="390"/>
        <v>0.31091617933723198</v>
      </c>
      <c r="AH181" s="165">
        <f t="shared" si="390"/>
        <v>0.31288688801350589</v>
      </c>
      <c r="AI181" s="165">
        <f t="shared" si="390"/>
        <v>0.28658199889563779</v>
      </c>
      <c r="AJ181" s="165">
        <f t="shared" si="390"/>
        <v>0.27820141993163294</v>
      </c>
      <c r="AK181" s="177">
        <f t="shared" si="390"/>
        <v>0.29629366152095044</v>
      </c>
      <c r="AL181" s="165">
        <f t="shared" si="390"/>
        <v>0.32031016999701761</v>
      </c>
      <c r="AM181" s="165">
        <f>AM169/AM$148</f>
        <v>0.31749802058590659</v>
      </c>
      <c r="AN181" s="19">
        <f>AI181+AN182/10000</f>
        <v>0.28658199889563779</v>
      </c>
      <c r="AO181" s="19">
        <f>AJ181+AO182/10000</f>
        <v>0.27820141993163294</v>
      </c>
      <c r="AP181" s="242">
        <f>AP169/AP148</f>
        <v>0.29986870963353712</v>
      </c>
      <c r="AQ181" s="19">
        <f>AL181+AQ182/10000</f>
        <v>0.32031016999701761</v>
      </c>
      <c r="AR181" s="19">
        <f t="shared" ref="AR181:AT181" si="391">AM181+AR182/10000</f>
        <v>0.31749802058590659</v>
      </c>
      <c r="AS181" s="19">
        <f t="shared" si="391"/>
        <v>0.28658199889563779</v>
      </c>
      <c r="AT181" s="19">
        <f t="shared" si="391"/>
        <v>0.27820141993163294</v>
      </c>
      <c r="AU181" s="242">
        <f>AU169/AU148</f>
        <v>0.29992531206162232</v>
      </c>
      <c r="AV181" s="19">
        <f>AQ181+AV182/10000</f>
        <v>0.32031016999701761</v>
      </c>
      <c r="AW181" s="19">
        <f t="shared" ref="AW181" si="392">AR181+AW182/10000</f>
        <v>0.31749802058590659</v>
      </c>
      <c r="AX181" s="19">
        <f t="shared" ref="AX181" si="393">AS181+AX182/10000</f>
        <v>0.28658199889563779</v>
      </c>
      <c r="AY181" s="19">
        <f t="shared" ref="AY181" si="394">AT181+AY182/10000</f>
        <v>0.27820141993163294</v>
      </c>
      <c r="AZ181" s="242">
        <f>AZ169/AZ148</f>
        <v>0.29993805303429677</v>
      </c>
    </row>
    <row r="182" spans="2:54" s="15" customFormat="1" hidden="1" outlineLevel="1">
      <c r="B182" s="245" t="s">
        <v>526</v>
      </c>
      <c r="C182" s="246"/>
      <c r="D182" s="246"/>
      <c r="E182" s="28"/>
      <c r="F182" s="14"/>
      <c r="G182" s="14"/>
      <c r="L182" s="14"/>
      <c r="Q182" s="14"/>
      <c r="R182" s="15">
        <f t="shared" ref="R182" si="395">(R181-M181)*10000</f>
        <v>3230.8306709265171</v>
      </c>
      <c r="S182" s="15">
        <f t="shared" ref="S182" si="396">(S181-N181)*10000</f>
        <v>3246.7994310099575</v>
      </c>
      <c r="T182" s="15">
        <f t="shared" ref="T182" si="397">(T181-O181)*10000</f>
        <v>-53.699528591924505</v>
      </c>
      <c r="U182" s="15">
        <f t="shared" ref="U182" si="398">(U181-P181)*10000</f>
        <v>-14.083991672706464</v>
      </c>
      <c r="V182" s="14">
        <f>(V181-Q181)*10000</f>
        <v>-94.666009479167926</v>
      </c>
      <c r="W182" s="15">
        <f t="shared" ref="W182" si="399">(W181-R181)*10000</f>
        <v>-8.4808814125481025</v>
      </c>
      <c r="X182" s="15">
        <f t="shared" ref="X182" si="400">(X181-S181)*10000</f>
        <v>-327.80501760213633</v>
      </c>
      <c r="Y182" s="15">
        <f t="shared" ref="Y182" si="401">(Y181-T181)*10000</f>
        <v>-412.1305120335972</v>
      </c>
      <c r="Z182" s="15">
        <f t="shared" ref="Z182" si="402">(Z181-U181)*10000</f>
        <v>-136.42220051208852</v>
      </c>
      <c r="AA182" s="14">
        <f t="shared" ref="AA182" si="403">(AA181-V181)*10000</f>
        <v>-228.07993921612589</v>
      </c>
      <c r="AB182" s="15">
        <f t="shared" ref="AB182" si="404">(AB181-W181)*10000</f>
        <v>-220.97142976207408</v>
      </c>
      <c r="AC182" s="15">
        <f t="shared" ref="AC182" si="405">(AC181-X181)*10000</f>
        <v>68.266733088994116</v>
      </c>
      <c r="AD182" s="15">
        <f t="shared" ref="AD182" si="406">(AD181-Y181)*10000</f>
        <v>86.877228731533364</v>
      </c>
      <c r="AE182" s="15">
        <f t="shared" ref="AE182" si="407">(AE181-Z181)*10000</f>
        <v>60.271308289060464</v>
      </c>
      <c r="AF182" s="14">
        <f t="shared" ref="AF182" si="408">(AF181-AA181)*10000</f>
        <v>6.8689004779293183</v>
      </c>
      <c r="AG182" s="15">
        <f t="shared" ref="AG182" si="409">(AG181-AB181)*10000</f>
        <v>107.78343362042474</v>
      </c>
      <c r="AH182" s="15">
        <f t="shared" ref="AH182" si="410">(AH181-AC181)*10000</f>
        <v>141.60773363824376</v>
      </c>
      <c r="AI182" s="15">
        <f t="shared" ref="AI182" si="411">(AI181-AD181)*10000</f>
        <v>93.512296648685663</v>
      </c>
      <c r="AJ182" s="15">
        <f t="shared" ref="AJ182" si="412">(AJ181-AE181)*10000</f>
        <v>-113.88671486827707</v>
      </c>
      <c r="AK182" s="14">
        <f t="shared" ref="AK182" si="413">(AK181-AF181)*10000</f>
        <v>51.95340934338433</v>
      </c>
      <c r="AL182" s="15">
        <f t="shared" ref="AL182" si="414">(AL181-AG181)*10000</f>
        <v>93.939906597856336</v>
      </c>
      <c r="AM182" s="29">
        <f>(AM181-AH181)*10000</f>
        <v>46.111325724007003</v>
      </c>
      <c r="AN182" s="247">
        <v>0</v>
      </c>
      <c r="AO182" s="247">
        <v>0</v>
      </c>
      <c r="AP182" s="206">
        <f>(AP181-AK181)*10000</f>
        <v>35.75048112586687</v>
      </c>
      <c r="AQ182" s="247">
        <v>0</v>
      </c>
      <c r="AR182" s="247">
        <v>0</v>
      </c>
      <c r="AS182" s="247">
        <v>0</v>
      </c>
      <c r="AT182" s="247">
        <v>0</v>
      </c>
      <c r="AU182" s="206">
        <f>(AU181-AP181)*10000</f>
        <v>0.56602428085195111</v>
      </c>
      <c r="AV182" s="247">
        <v>0</v>
      </c>
      <c r="AW182" s="247">
        <v>0</v>
      </c>
      <c r="AX182" s="247">
        <v>0</v>
      </c>
      <c r="AY182" s="247">
        <v>0</v>
      </c>
      <c r="AZ182" s="206">
        <f>(AZ181-AU181)*10000</f>
        <v>0.12740972674452067</v>
      </c>
      <c r="BB182" s="247"/>
    </row>
    <row r="183" spans="2:54" s="15" customFormat="1" collapsed="1">
      <c r="B183" s="245"/>
      <c r="C183" s="246"/>
      <c r="D183" s="246"/>
      <c r="E183" s="28"/>
      <c r="F183" s="14"/>
      <c r="G183" s="14"/>
      <c r="L183" s="14"/>
      <c r="Q183" s="14"/>
      <c r="V183" s="14"/>
      <c r="AA183" s="14"/>
      <c r="AF183" s="14"/>
      <c r="AK183" s="14"/>
      <c r="AM183" s="29"/>
      <c r="AN183" s="247"/>
      <c r="AO183" s="247"/>
      <c r="AP183" s="206"/>
      <c r="AQ183" s="247"/>
      <c r="AR183" s="247"/>
      <c r="AS183" s="247"/>
      <c r="AT183" s="247"/>
      <c r="AU183" s="206"/>
      <c r="AV183" s="247"/>
      <c r="AW183" s="247"/>
      <c r="AX183" s="247"/>
      <c r="AY183" s="247"/>
      <c r="AZ183" s="206"/>
      <c r="BB183" s="247"/>
    </row>
    <row r="184" spans="2:54">
      <c r="B184" s="522" t="s">
        <v>856</v>
      </c>
      <c r="C184" s="6"/>
      <c r="D184" s="6"/>
      <c r="E184" s="12"/>
      <c r="F184" s="12"/>
      <c r="G184" s="12"/>
      <c r="L184" s="12"/>
      <c r="Q184" s="12"/>
      <c r="V184" s="12"/>
      <c r="AA184" s="12"/>
      <c r="AF184" s="12"/>
      <c r="AK184" s="12"/>
      <c r="AP184" s="199"/>
      <c r="AU184" s="199"/>
      <c r="AV184" s="83"/>
      <c r="AW184" s="83"/>
      <c r="AX184" s="83"/>
      <c r="AY184" s="83"/>
      <c r="AZ184" s="199"/>
    </row>
    <row r="185" spans="2:54" hidden="1" outlineLevel="1">
      <c r="B185" s="564" t="s">
        <v>846</v>
      </c>
      <c r="C185" s="6" t="s">
        <v>71</v>
      </c>
      <c r="D185" s="6"/>
      <c r="E185" s="12"/>
      <c r="F185" s="18"/>
      <c r="G185" s="18"/>
      <c r="H185" s="19"/>
      <c r="I185" s="19"/>
      <c r="J185" s="19"/>
      <c r="K185" s="19"/>
      <c r="L185" s="18"/>
      <c r="M185" s="19"/>
      <c r="N185" s="19"/>
      <c r="O185" s="19">
        <f t="shared" ref="O185:AM185" si="415">O308/O17</f>
        <v>0.21845630873825234</v>
      </c>
      <c r="P185" s="19">
        <f t="shared" si="415"/>
        <v>0.28994985829518205</v>
      </c>
      <c r="Q185" s="18">
        <f t="shared" si="415"/>
        <v>0.23900887882101751</v>
      </c>
      <c r="R185" s="19">
        <f t="shared" si="415"/>
        <v>0.25157717136150232</v>
      </c>
      <c r="S185" s="19">
        <f t="shared" si="415"/>
        <v>0.25666765813999604</v>
      </c>
      <c r="T185" s="19">
        <f t="shared" si="415"/>
        <v>0.2641659168166367</v>
      </c>
      <c r="U185" s="19">
        <f t="shared" si="415"/>
        <v>0.30975015713387805</v>
      </c>
      <c r="V185" s="18">
        <f t="shared" si="415"/>
        <v>0.27077763799339521</v>
      </c>
      <c r="W185" s="19">
        <f t="shared" si="415"/>
        <v>0.25990369884000875</v>
      </c>
      <c r="X185" s="19">
        <f t="shared" si="415"/>
        <v>0.28564692337840486</v>
      </c>
      <c r="Y185" s="19">
        <f t="shared" si="415"/>
        <v>0.31299217157680193</v>
      </c>
      <c r="Z185" s="19">
        <f t="shared" si="415"/>
        <v>0.29657782782782782</v>
      </c>
      <c r="AA185" s="18">
        <f t="shared" si="415"/>
        <v>0.28986150568181818</v>
      </c>
      <c r="AB185" s="19">
        <f t="shared" si="415"/>
        <v>0.26345788473717541</v>
      </c>
      <c r="AC185" s="19">
        <f t="shared" si="415"/>
        <v>0.28721638074156058</v>
      </c>
      <c r="AD185" s="19">
        <f t="shared" si="415"/>
        <v>0.30736392742796159</v>
      </c>
      <c r="AE185" s="19">
        <f t="shared" si="415"/>
        <v>0.29946236559139783</v>
      </c>
      <c r="AF185" s="18">
        <f t="shared" si="415"/>
        <v>0.29044943820224717</v>
      </c>
      <c r="AG185" s="19">
        <f t="shared" si="415"/>
        <v>0.25547445255474455</v>
      </c>
      <c r="AH185" s="19">
        <f t="shared" si="415"/>
        <v>0.2624760076775432</v>
      </c>
      <c r="AI185" s="19">
        <f t="shared" si="415"/>
        <v>0.30550373134328357</v>
      </c>
      <c r="AJ185" s="19">
        <f t="shared" si="415"/>
        <v>0.28592092574734812</v>
      </c>
      <c r="AK185" s="18">
        <f t="shared" si="415"/>
        <v>0.27836199430904368</v>
      </c>
      <c r="AL185" s="19">
        <f t="shared" si="415"/>
        <v>0.25311410064773293</v>
      </c>
      <c r="AM185" s="19">
        <f t="shared" si="415"/>
        <v>0.27725321888412019</v>
      </c>
      <c r="AN185" s="312">
        <f>AI185+AN186/10000</f>
        <v>0.31550373134328358</v>
      </c>
      <c r="AO185" s="312">
        <f>AJ185+AO186/10000</f>
        <v>0.31552092574734814</v>
      </c>
      <c r="AP185" s="207">
        <f>AK185+AP186/10000</f>
        <v>0.32771199430904369</v>
      </c>
      <c r="AQ185" s="312">
        <f t="shared" ref="AQ185:AT185" si="416">AL185+AQ186/10000</f>
        <v>0.26111410064773294</v>
      </c>
      <c r="AR185" s="312">
        <f t="shared" si="416"/>
        <v>0.27925321888412019</v>
      </c>
      <c r="AS185" s="312">
        <f t="shared" si="416"/>
        <v>0.31150373134328357</v>
      </c>
      <c r="AT185" s="312">
        <f t="shared" si="416"/>
        <v>0.31152092574734813</v>
      </c>
      <c r="AU185" s="207">
        <f>AP185+AU186/10000</f>
        <v>0.32821199430904369</v>
      </c>
      <c r="AV185" s="312">
        <f t="shared" ref="AV185:AY185" si="417">AQ185+AV186/10000</f>
        <v>0.25711410064773293</v>
      </c>
      <c r="AW185" s="312">
        <f t="shared" si="417"/>
        <v>0.27525321888412019</v>
      </c>
      <c r="AX185" s="312">
        <f t="shared" si="417"/>
        <v>0.30750373134328357</v>
      </c>
      <c r="AY185" s="312">
        <f t="shared" si="417"/>
        <v>0.30752092574734813</v>
      </c>
      <c r="AZ185" s="207">
        <f>AU185+AZ186/10000</f>
        <v>0.32421199430904368</v>
      </c>
    </row>
    <row r="186" spans="2:54" hidden="1" outlineLevel="1">
      <c r="B186" s="565" t="s">
        <v>847</v>
      </c>
      <c r="C186" s="6"/>
      <c r="D186" s="6"/>
      <c r="E186" s="12"/>
      <c r="F186" s="18"/>
      <c r="G186" s="18"/>
      <c r="H186" s="19"/>
      <c r="I186" s="19"/>
      <c r="J186" s="19"/>
      <c r="K186" s="19"/>
      <c r="L186" s="18"/>
      <c r="M186" s="19"/>
      <c r="N186" s="19"/>
      <c r="O186" s="19"/>
      <c r="P186" s="19"/>
      <c r="Q186" s="18"/>
      <c r="R186" s="19"/>
      <c r="S186" s="19"/>
      <c r="T186" s="15">
        <f>(T185-O185)*10000</f>
        <v>457.09608078384366</v>
      </c>
      <c r="U186" s="15">
        <f t="shared" ref="U186" si="418">(U185-P185)*10000</f>
        <v>198.00298838695994</v>
      </c>
      <c r="V186" s="14">
        <f t="shared" ref="V186" si="419">(V185-Q185)*10000</f>
        <v>317.68759172377702</v>
      </c>
      <c r="W186" s="15">
        <f t="shared" ref="W186" si="420">(W185-R185)*10000</f>
        <v>83.265274785064292</v>
      </c>
      <c r="X186" s="15">
        <f t="shared" ref="X186" si="421">(X185-S185)*10000</f>
        <v>289.79265238408823</v>
      </c>
      <c r="Y186" s="15">
        <f t="shared" ref="Y186" si="422">(Y185-T185)*10000</f>
        <v>488.26254760165222</v>
      </c>
      <c r="Z186" s="15">
        <f t="shared" ref="Z186" si="423">(Z185-U185)*10000</f>
        <v>-131.72329306050224</v>
      </c>
      <c r="AA186" s="14">
        <f t="shared" ref="AA186" si="424">(AA185-V185)*10000</f>
        <v>190.83867688422961</v>
      </c>
      <c r="AB186" s="15">
        <f t="shared" ref="AB186" si="425">(AB185-W185)*10000</f>
        <v>35.54185897166662</v>
      </c>
      <c r="AC186" s="15">
        <f t="shared" ref="AC186" si="426">(AC185-X185)*10000</f>
        <v>15.69457363155724</v>
      </c>
      <c r="AD186" s="15">
        <f t="shared" ref="AD186" si="427">(AD185-Y185)*10000</f>
        <v>-56.282441488403336</v>
      </c>
      <c r="AE186" s="15">
        <f t="shared" ref="AE186" si="428">(AE185-Z185)*10000</f>
        <v>28.845377635700054</v>
      </c>
      <c r="AF186" s="14">
        <f t="shared" ref="AF186" si="429">(AF185-AA185)*10000</f>
        <v>5.8793252042899091</v>
      </c>
      <c r="AG186" s="15">
        <f t="shared" ref="AG186" si="430">(AG185-AB185)*10000</f>
        <v>-79.834321824308603</v>
      </c>
      <c r="AH186" s="15">
        <f t="shared" ref="AH186" si="431">(AH185-AC185)*10000</f>
        <v>-247.40373064017385</v>
      </c>
      <c r="AI186" s="15">
        <f t="shared" ref="AI186" si="432">(AI185-AD185)*10000</f>
        <v>-18.60196084678023</v>
      </c>
      <c r="AJ186" s="15">
        <f t="shared" ref="AJ186" si="433">(AJ185-AE185)*10000</f>
        <v>-135.41439844049708</v>
      </c>
      <c r="AK186" s="14">
        <f t="shared" ref="AK186" si="434">(AK185-AF185)*10000</f>
        <v>-120.87443893203486</v>
      </c>
      <c r="AL186" s="29">
        <f>(AL185-AG185)*10000</f>
        <v>-23.603519070116153</v>
      </c>
      <c r="AM186" s="29">
        <f>(AM185-AH185)*10000</f>
        <v>147.7721120657699</v>
      </c>
      <c r="AN186" s="29">
        <f>AN198</f>
        <v>100</v>
      </c>
      <c r="AO186" s="29">
        <f>AO198</f>
        <v>296</v>
      </c>
      <c r="AP186" s="464">
        <f>AP198</f>
        <v>493.5</v>
      </c>
      <c r="AQ186" s="29">
        <f t="shared" ref="AQ186:AT186" si="435">AQ198</f>
        <v>80</v>
      </c>
      <c r="AR186" s="29">
        <f t="shared" si="435"/>
        <v>20</v>
      </c>
      <c r="AS186" s="29">
        <f t="shared" si="435"/>
        <v>-40</v>
      </c>
      <c r="AT186" s="29">
        <f t="shared" si="435"/>
        <v>-40</v>
      </c>
      <c r="AU186" s="464">
        <f>AU198</f>
        <v>5</v>
      </c>
      <c r="AV186" s="29">
        <f t="shared" ref="AV186:AY186" si="436">AV198</f>
        <v>-40</v>
      </c>
      <c r="AW186" s="29">
        <f t="shared" si="436"/>
        <v>-40</v>
      </c>
      <c r="AX186" s="29">
        <f t="shared" si="436"/>
        <v>-40</v>
      </c>
      <c r="AY186" s="29">
        <f t="shared" si="436"/>
        <v>-40</v>
      </c>
      <c r="AZ186" s="464">
        <f>AZ198</f>
        <v>-40</v>
      </c>
    </row>
    <row r="187" spans="2:54" hidden="1" outlineLevel="1">
      <c r="B187" s="565"/>
      <c r="C187" s="6"/>
      <c r="D187" s="6"/>
      <c r="E187" s="12"/>
      <c r="F187" s="18"/>
      <c r="G187" s="18"/>
      <c r="H187" s="19"/>
      <c r="I187" s="19"/>
      <c r="J187" s="19"/>
      <c r="K187" s="19"/>
      <c r="L187" s="18"/>
      <c r="M187" s="19"/>
      <c r="N187" s="19"/>
      <c r="O187" s="19"/>
      <c r="P187" s="19"/>
      <c r="Q187" s="18"/>
      <c r="R187" s="19"/>
      <c r="S187" s="19"/>
      <c r="T187" s="15"/>
      <c r="U187" s="15"/>
      <c r="V187" s="14"/>
      <c r="W187" s="15"/>
      <c r="X187" s="15"/>
      <c r="Y187" s="15"/>
      <c r="Z187" s="15"/>
      <c r="AA187" s="14"/>
      <c r="AB187" s="15"/>
      <c r="AC187" s="15"/>
      <c r="AD187" s="15"/>
      <c r="AE187" s="15"/>
      <c r="AF187" s="14"/>
      <c r="AG187" s="15"/>
      <c r="AH187" s="15"/>
      <c r="AI187" s="15"/>
      <c r="AJ187" s="15"/>
      <c r="AK187" s="14"/>
      <c r="AL187" s="29"/>
      <c r="AM187" s="29"/>
      <c r="AN187" s="241"/>
      <c r="AO187" s="241"/>
      <c r="AP187" s="207"/>
      <c r="AQ187" s="241"/>
      <c r="AR187" s="241"/>
      <c r="AS187" s="241"/>
      <c r="AT187" s="241"/>
      <c r="AU187" s="207"/>
      <c r="AV187" s="241"/>
      <c r="AW187" s="241"/>
      <c r="AX187" s="241"/>
      <c r="AY187" s="241"/>
      <c r="AZ187" s="207"/>
    </row>
    <row r="188" spans="2:54" hidden="1" outlineLevel="1">
      <c r="B188" s="565" t="s">
        <v>815</v>
      </c>
      <c r="C188" s="6"/>
      <c r="D188" s="6"/>
      <c r="E188" s="12"/>
      <c r="F188" s="18"/>
      <c r="G188" s="18"/>
      <c r="H188" s="19"/>
      <c r="I188" s="19"/>
      <c r="J188" s="19"/>
      <c r="K188" s="19"/>
      <c r="L188" s="18"/>
      <c r="M188" s="19"/>
      <c r="N188" s="19"/>
      <c r="O188" s="19">
        <f t="shared" ref="O188:AZ188" si="437">O22</f>
        <v>3.1E-2</v>
      </c>
      <c r="P188" s="19">
        <f t="shared" si="437"/>
        <v>2.5249999999999998E-2</v>
      </c>
      <c r="Q188" s="18">
        <f t="shared" si="437"/>
        <v>0.03</v>
      </c>
      <c r="R188" s="19">
        <f t="shared" si="437"/>
        <v>-1.4499999999999999E-2</v>
      </c>
      <c r="S188" s="19">
        <f t="shared" si="437"/>
        <v>-1.0500000000000001E-2</v>
      </c>
      <c r="T188" s="165">
        <f t="shared" si="437"/>
        <v>1.3500000000000002E-2</v>
      </c>
      <c r="U188" s="165">
        <f t="shared" si="437"/>
        <v>4.2000000000000003E-2</v>
      </c>
      <c r="V188" s="177">
        <f t="shared" si="437"/>
        <v>8.0000000000000002E-3</v>
      </c>
      <c r="W188" s="165">
        <f t="shared" si="437"/>
        <v>3.5000000000000003E-2</v>
      </c>
      <c r="X188" s="165">
        <f t="shared" si="437"/>
        <v>-2.4E-2</v>
      </c>
      <c r="Y188" s="165">
        <f t="shared" si="437"/>
        <v>3.3000000000000002E-2</v>
      </c>
      <c r="Z188" s="165">
        <f t="shared" si="437"/>
        <v>8.0000000000000002E-3</v>
      </c>
      <c r="AA188" s="177">
        <f t="shared" si="437"/>
        <v>1.2E-2</v>
      </c>
      <c r="AB188" s="165">
        <f t="shared" si="437"/>
        <v>5.2999999999999999E-2</v>
      </c>
      <c r="AC188" s="165">
        <f t="shared" si="437"/>
        <v>6.7000000000000004E-2</v>
      </c>
      <c r="AD188" s="165">
        <f t="shared" si="437"/>
        <v>1.1000000000000001E-2</v>
      </c>
      <c r="AE188" s="165">
        <f t="shared" si="437"/>
        <v>8.199999999999999E-2</v>
      </c>
      <c r="AF188" s="177">
        <f t="shared" si="437"/>
        <v>5.2999999999999999E-2</v>
      </c>
      <c r="AG188" s="165">
        <f t="shared" si="437"/>
        <v>4.5999999999999999E-2</v>
      </c>
      <c r="AH188" s="165">
        <f t="shared" si="437"/>
        <v>2.3E-2</v>
      </c>
      <c r="AI188" s="165">
        <f t="shared" si="437"/>
        <v>1E-3</v>
      </c>
      <c r="AJ188" s="165">
        <f t="shared" si="437"/>
        <v>-3.7999999999999999E-2</v>
      </c>
      <c r="AK188" s="177">
        <f t="shared" si="437"/>
        <v>6.0000000000000001E-3</v>
      </c>
      <c r="AL188" s="19">
        <f t="shared" si="437"/>
        <v>2E-3</v>
      </c>
      <c r="AM188" s="19">
        <f t="shared" si="437"/>
        <v>-2E-3</v>
      </c>
      <c r="AN188" s="312">
        <f t="shared" si="437"/>
        <v>0.01</v>
      </c>
      <c r="AO188" s="312">
        <f t="shared" si="437"/>
        <v>0.01</v>
      </c>
      <c r="AP188" s="546">
        <f t="shared" si="437"/>
        <v>5.0000000000000001E-3</v>
      </c>
      <c r="AQ188" s="312">
        <f t="shared" si="437"/>
        <v>0.01</v>
      </c>
      <c r="AR188" s="312">
        <f t="shared" si="437"/>
        <v>0.01</v>
      </c>
      <c r="AS188" s="312">
        <f t="shared" si="437"/>
        <v>0.01</v>
      </c>
      <c r="AT188" s="312">
        <f t="shared" si="437"/>
        <v>0.01</v>
      </c>
      <c r="AU188" s="546">
        <f t="shared" si="437"/>
        <v>0.01</v>
      </c>
      <c r="AV188" s="312">
        <f t="shared" si="437"/>
        <v>0.01</v>
      </c>
      <c r="AW188" s="312">
        <f t="shared" si="437"/>
        <v>0.01</v>
      </c>
      <c r="AX188" s="312">
        <f t="shared" si="437"/>
        <v>0.01</v>
      </c>
      <c r="AY188" s="312">
        <f t="shared" si="437"/>
        <v>0.01</v>
      </c>
      <c r="AZ188" s="546">
        <f t="shared" si="437"/>
        <v>0.01</v>
      </c>
    </row>
    <row r="189" spans="2:54" hidden="1" outlineLevel="1">
      <c r="B189" s="565" t="s">
        <v>816</v>
      </c>
      <c r="C189" s="6"/>
      <c r="D189" s="6"/>
      <c r="E189" s="12"/>
      <c r="F189" s="18"/>
      <c r="G189" s="18"/>
      <c r="H189" s="19"/>
      <c r="I189" s="19"/>
      <c r="J189" s="19"/>
      <c r="K189" s="19"/>
      <c r="L189" s="18"/>
      <c r="M189" s="19"/>
      <c r="N189" s="19"/>
      <c r="O189" s="19">
        <f t="shared" ref="O189:AZ189" si="438">O24</f>
        <v>1.1000000000000001E-2</v>
      </c>
      <c r="P189" s="19">
        <f t="shared" si="438"/>
        <v>2.1250000000000002E-2</v>
      </c>
      <c r="Q189" s="18">
        <f t="shared" si="438"/>
        <v>1.55E-2</v>
      </c>
      <c r="R189" s="19">
        <f t="shared" si="438"/>
        <v>4.7E-2</v>
      </c>
      <c r="S189" s="19">
        <f t="shared" si="438"/>
        <v>3.2000000000000001E-2</v>
      </c>
      <c r="T189" s="165">
        <f t="shared" si="438"/>
        <v>4.5999999999999999E-2</v>
      </c>
      <c r="U189" s="165">
        <f t="shared" si="438"/>
        <v>1.55E-2</v>
      </c>
      <c r="V189" s="177">
        <f t="shared" si="438"/>
        <v>3.5499999999999997E-2</v>
      </c>
      <c r="W189" s="165">
        <f t="shared" si="438"/>
        <v>1.3999999999999999E-2</v>
      </c>
      <c r="X189" s="165">
        <f t="shared" si="438"/>
        <v>-2.5499999999999998E-2</v>
      </c>
      <c r="Y189" s="165">
        <f t="shared" si="438"/>
        <v>9.4999999999999998E-3</v>
      </c>
      <c r="Z189" s="165">
        <f t="shared" si="438"/>
        <v>2.5000000000000001E-3</v>
      </c>
      <c r="AA189" s="177">
        <f t="shared" si="438"/>
        <v>-5.0000000000000001E-4</v>
      </c>
      <c r="AB189" s="165">
        <f t="shared" si="438"/>
        <v>1.3999999999999999E-2</v>
      </c>
      <c r="AC189" s="165">
        <f t="shared" si="438"/>
        <v>2.8999999999999998E-2</v>
      </c>
      <c r="AD189" s="165">
        <f t="shared" si="438"/>
        <v>6.8000000000000005E-2</v>
      </c>
      <c r="AE189" s="165">
        <f t="shared" si="438"/>
        <v>7.4999999999999997E-2</v>
      </c>
      <c r="AF189" s="177">
        <f t="shared" si="438"/>
        <v>4.7E-2</v>
      </c>
      <c r="AG189" s="165">
        <f t="shared" si="438"/>
        <v>8.199999999999999E-2</v>
      </c>
      <c r="AH189" s="165">
        <f t="shared" si="438"/>
        <v>0.13</v>
      </c>
      <c r="AI189" s="165">
        <f t="shared" si="438"/>
        <v>0.14300000000000002</v>
      </c>
      <c r="AJ189" s="165">
        <f t="shared" si="438"/>
        <v>0.153</v>
      </c>
      <c r="AK189" s="177">
        <f t="shared" si="438"/>
        <v>0.129</v>
      </c>
      <c r="AL189" s="19">
        <f t="shared" si="438"/>
        <v>0.125</v>
      </c>
      <c r="AM189" s="19">
        <f t="shared" si="438"/>
        <v>0.12</v>
      </c>
      <c r="AN189" s="312">
        <f t="shared" si="438"/>
        <v>0.08</v>
      </c>
      <c r="AO189" s="312">
        <f t="shared" si="438"/>
        <v>0.06</v>
      </c>
      <c r="AP189" s="546">
        <f t="shared" si="438"/>
        <v>9.6250000000000002E-2</v>
      </c>
      <c r="AQ189" s="312">
        <f t="shared" si="438"/>
        <v>0.04</v>
      </c>
      <c r="AR189" s="312">
        <f t="shared" si="438"/>
        <v>0.03</v>
      </c>
      <c r="AS189" s="312">
        <f t="shared" si="438"/>
        <v>0.02</v>
      </c>
      <c r="AT189" s="312">
        <f t="shared" si="438"/>
        <v>0.02</v>
      </c>
      <c r="AU189" s="546">
        <f t="shared" si="438"/>
        <v>2.7500000000000004E-2</v>
      </c>
      <c r="AV189" s="312">
        <f t="shared" si="438"/>
        <v>0.02</v>
      </c>
      <c r="AW189" s="312">
        <f t="shared" si="438"/>
        <v>0.02</v>
      </c>
      <c r="AX189" s="312">
        <f t="shared" si="438"/>
        <v>0.02</v>
      </c>
      <c r="AY189" s="312">
        <f t="shared" si="438"/>
        <v>0.02</v>
      </c>
      <c r="AZ189" s="546">
        <f t="shared" si="438"/>
        <v>0.02</v>
      </c>
    </row>
    <row r="190" spans="2:54" hidden="1" outlineLevel="1">
      <c r="B190" s="565"/>
      <c r="C190" s="6"/>
      <c r="D190" s="6"/>
      <c r="E190" s="12"/>
      <c r="F190" s="18"/>
      <c r="G190" s="18"/>
      <c r="H190" s="19"/>
      <c r="I190" s="19"/>
      <c r="J190" s="19"/>
      <c r="K190" s="19"/>
      <c r="L190" s="18"/>
      <c r="M190" s="19"/>
      <c r="N190" s="19"/>
      <c r="O190" s="19"/>
      <c r="P190" s="19"/>
      <c r="Q190" s="18"/>
      <c r="R190" s="19"/>
      <c r="S190" s="19"/>
      <c r="T190" s="165"/>
      <c r="U190" s="165"/>
      <c r="V190" s="177"/>
      <c r="W190" s="165"/>
      <c r="X190" s="165"/>
      <c r="Y190" s="165"/>
      <c r="Z190" s="165"/>
      <c r="AA190" s="177"/>
      <c r="AB190" s="165"/>
      <c r="AC190" s="165"/>
      <c r="AD190" s="165"/>
      <c r="AE190" s="165"/>
      <c r="AF190" s="177"/>
      <c r="AG190" s="165"/>
      <c r="AH190" s="165"/>
      <c r="AI190" s="165"/>
      <c r="AJ190" s="165"/>
      <c r="AK190" s="177"/>
      <c r="AL190" s="19"/>
      <c r="AM190" s="19"/>
      <c r="AN190" s="241"/>
      <c r="AO190" s="241"/>
      <c r="AP190" s="207"/>
      <c r="AQ190" s="241"/>
      <c r="AR190" s="241"/>
      <c r="AS190" s="241"/>
      <c r="AT190" s="241"/>
      <c r="AU190" s="207"/>
      <c r="AV190" s="241"/>
      <c r="AW190" s="241"/>
      <c r="AX190" s="241"/>
      <c r="AY190" s="241"/>
      <c r="AZ190" s="207"/>
    </row>
    <row r="191" spans="2:54" s="20" customFormat="1" hidden="1" outlineLevel="1">
      <c r="B191" s="565" t="s">
        <v>817</v>
      </c>
      <c r="C191" s="520"/>
      <c r="D191" s="520"/>
      <c r="E191" s="529"/>
      <c r="F191" s="497"/>
      <c r="G191" s="497"/>
      <c r="H191" s="447"/>
      <c r="I191" s="447"/>
      <c r="J191" s="447"/>
      <c r="K191" s="447"/>
      <c r="L191" s="497"/>
      <c r="M191" s="447"/>
      <c r="N191" s="447"/>
      <c r="O191" s="447">
        <v>0.4</v>
      </c>
      <c r="P191" s="447">
        <v>0.4</v>
      </c>
      <c r="Q191" s="497">
        <v>0.4</v>
      </c>
      <c r="R191" s="447">
        <v>0.4</v>
      </c>
      <c r="S191" s="447">
        <v>0.4</v>
      </c>
      <c r="T191" s="241">
        <v>0.4</v>
      </c>
      <c r="U191" s="241">
        <v>0.4</v>
      </c>
      <c r="V191" s="530">
        <v>0.4</v>
      </c>
      <c r="W191" s="241">
        <v>0.4</v>
      </c>
      <c r="X191" s="241">
        <v>0.4</v>
      </c>
      <c r="Y191" s="241">
        <v>0.4</v>
      </c>
      <c r="Z191" s="241">
        <v>0.4</v>
      </c>
      <c r="AA191" s="530">
        <v>0.4</v>
      </c>
      <c r="AB191" s="241">
        <v>0.4</v>
      </c>
      <c r="AC191" s="241">
        <v>0.4</v>
      </c>
      <c r="AD191" s="241">
        <v>0.4</v>
      </c>
      <c r="AE191" s="241">
        <v>0.4</v>
      </c>
      <c r="AF191" s="530">
        <v>0.4</v>
      </c>
      <c r="AG191" s="241">
        <v>0.4</v>
      </c>
      <c r="AH191" s="241">
        <v>0.4</v>
      </c>
      <c r="AI191" s="241">
        <v>0.4</v>
      </c>
      <c r="AJ191" s="241">
        <v>0.4</v>
      </c>
      <c r="AK191" s="530">
        <v>0.4</v>
      </c>
      <c r="AL191" s="447">
        <v>0.4</v>
      </c>
      <c r="AM191" s="447">
        <v>0.4</v>
      </c>
      <c r="AN191" s="447">
        <v>0.4</v>
      </c>
      <c r="AO191" s="241">
        <v>0.4</v>
      </c>
      <c r="AP191" s="549">
        <v>0.4</v>
      </c>
      <c r="AQ191" s="241">
        <v>0.4</v>
      </c>
      <c r="AR191" s="241">
        <v>0.4</v>
      </c>
      <c r="AS191" s="241">
        <v>0.4</v>
      </c>
      <c r="AT191" s="241">
        <v>0.4</v>
      </c>
      <c r="AU191" s="549">
        <v>0.4</v>
      </c>
      <c r="AV191" s="241">
        <v>0.4</v>
      </c>
      <c r="AW191" s="241">
        <v>0.4</v>
      </c>
      <c r="AX191" s="241">
        <v>0.4</v>
      </c>
      <c r="AY191" s="241">
        <v>0.4</v>
      </c>
      <c r="AZ191" s="549">
        <v>0.4</v>
      </c>
    </row>
    <row r="192" spans="2:54" s="20" customFormat="1" hidden="1" outlineLevel="1">
      <c r="B192" s="565" t="s">
        <v>818</v>
      </c>
      <c r="C192" s="520"/>
      <c r="D192" s="520"/>
      <c r="E192" s="529"/>
      <c r="F192" s="497"/>
      <c r="G192" s="497"/>
      <c r="H192" s="447"/>
      <c r="I192" s="447"/>
      <c r="J192" s="447"/>
      <c r="K192" s="447"/>
      <c r="L192" s="497"/>
      <c r="M192" s="447"/>
      <c r="N192" s="447"/>
      <c r="O192" s="447">
        <v>0.6</v>
      </c>
      <c r="P192" s="447">
        <v>0.6</v>
      </c>
      <c r="Q192" s="497">
        <v>0.6</v>
      </c>
      <c r="R192" s="447">
        <v>0.6</v>
      </c>
      <c r="S192" s="447">
        <v>0.6</v>
      </c>
      <c r="T192" s="241">
        <v>0.6</v>
      </c>
      <c r="U192" s="241">
        <v>0.6</v>
      </c>
      <c r="V192" s="530">
        <v>0.6</v>
      </c>
      <c r="W192" s="241">
        <v>0.6</v>
      </c>
      <c r="X192" s="241">
        <v>0.6</v>
      </c>
      <c r="Y192" s="241">
        <v>0.6</v>
      </c>
      <c r="Z192" s="241">
        <v>0.6</v>
      </c>
      <c r="AA192" s="530">
        <v>0.6</v>
      </c>
      <c r="AB192" s="241">
        <v>0.6</v>
      </c>
      <c r="AC192" s="241">
        <v>0.6</v>
      </c>
      <c r="AD192" s="241">
        <v>0.6</v>
      </c>
      <c r="AE192" s="241">
        <v>0.6</v>
      </c>
      <c r="AF192" s="530">
        <v>0.6</v>
      </c>
      <c r="AG192" s="241">
        <v>0.6</v>
      </c>
      <c r="AH192" s="241">
        <v>0.6</v>
      </c>
      <c r="AI192" s="241">
        <v>0.6</v>
      </c>
      <c r="AJ192" s="241">
        <v>0.6</v>
      </c>
      <c r="AK192" s="530">
        <v>0.6</v>
      </c>
      <c r="AL192" s="447">
        <v>0.6</v>
      </c>
      <c r="AM192" s="447">
        <v>0.6</v>
      </c>
      <c r="AN192" s="447">
        <v>0.6</v>
      </c>
      <c r="AO192" s="241">
        <v>0.6</v>
      </c>
      <c r="AP192" s="549">
        <v>0.6</v>
      </c>
      <c r="AQ192" s="241">
        <v>0.6</v>
      </c>
      <c r="AR192" s="241">
        <v>0.6</v>
      </c>
      <c r="AS192" s="241">
        <v>0.6</v>
      </c>
      <c r="AT192" s="241">
        <v>0.6</v>
      </c>
      <c r="AU192" s="549">
        <v>0.6</v>
      </c>
      <c r="AV192" s="241">
        <v>0.6</v>
      </c>
      <c r="AW192" s="241">
        <v>0.6</v>
      </c>
      <c r="AX192" s="241">
        <v>0.6</v>
      </c>
      <c r="AY192" s="241">
        <v>0.6</v>
      </c>
      <c r="AZ192" s="549">
        <v>0.6</v>
      </c>
    </row>
    <row r="193" spans="2:54" hidden="1" outlineLevel="1">
      <c r="B193" s="565"/>
      <c r="C193" s="6"/>
      <c r="D193" s="6"/>
      <c r="E193" s="12"/>
      <c r="F193" s="18"/>
      <c r="G193" s="18"/>
      <c r="H193" s="19"/>
      <c r="I193" s="19"/>
      <c r="J193" s="19"/>
      <c r="K193" s="19"/>
      <c r="L193" s="18"/>
      <c r="M193" s="19"/>
      <c r="N193" s="19"/>
      <c r="O193" s="19"/>
      <c r="P193" s="19"/>
      <c r="Q193" s="18"/>
      <c r="R193" s="19"/>
      <c r="S193" s="19"/>
      <c r="T193" s="15"/>
      <c r="U193" s="15"/>
      <c r="V193" s="14"/>
      <c r="W193" s="15"/>
      <c r="X193" s="15"/>
      <c r="Y193" s="15"/>
      <c r="Z193" s="15"/>
      <c r="AA193" s="14"/>
      <c r="AB193" s="15"/>
      <c r="AC193" s="15"/>
      <c r="AD193" s="15"/>
      <c r="AE193" s="15"/>
      <c r="AF193" s="14"/>
      <c r="AG193" s="15"/>
      <c r="AH193" s="15"/>
      <c r="AI193" s="15"/>
      <c r="AJ193" s="15"/>
      <c r="AK193" s="14"/>
      <c r="AL193" s="29"/>
      <c r="AM193" s="29"/>
      <c r="AN193" s="241"/>
      <c r="AO193" s="241"/>
      <c r="AP193" s="207"/>
      <c r="AQ193" s="241"/>
      <c r="AR193" s="241"/>
      <c r="AS193" s="241"/>
      <c r="AT193" s="241"/>
      <c r="AU193" s="207"/>
      <c r="AV193" s="241"/>
      <c r="AW193" s="241"/>
      <c r="AX193" s="241"/>
      <c r="AY193" s="241"/>
      <c r="AZ193" s="207"/>
    </row>
    <row r="194" spans="2:54" hidden="1" outlineLevel="1">
      <c r="B194" s="565" t="s">
        <v>910</v>
      </c>
      <c r="C194" s="6"/>
      <c r="D194" s="6"/>
      <c r="E194" s="12"/>
      <c r="F194" s="18"/>
      <c r="G194" s="18"/>
      <c r="H194" s="19"/>
      <c r="I194" s="19"/>
      <c r="J194" s="19"/>
      <c r="K194" s="19"/>
      <c r="L194" s="18"/>
      <c r="M194" s="19"/>
      <c r="N194" s="19"/>
      <c r="O194" s="15">
        <f t="shared" ref="O194:U195" si="439">O188*O191*10000</f>
        <v>124.00000000000001</v>
      </c>
      <c r="P194" s="15">
        <f t="shared" si="439"/>
        <v>101</v>
      </c>
      <c r="Q194" s="28">
        <f t="shared" si="439"/>
        <v>120</v>
      </c>
      <c r="R194" s="29">
        <f t="shared" si="439"/>
        <v>-57.999999999999993</v>
      </c>
      <c r="S194" s="29">
        <f t="shared" si="439"/>
        <v>-42.000000000000007</v>
      </c>
      <c r="T194" s="15">
        <f t="shared" si="439"/>
        <v>54.000000000000014</v>
      </c>
      <c r="U194" s="15">
        <f t="shared" si="439"/>
        <v>168.00000000000003</v>
      </c>
      <c r="V194" s="14"/>
      <c r="W194" s="15">
        <f t="shared" ref="W194:Z195" si="440">W188*W191*10000</f>
        <v>140.00000000000003</v>
      </c>
      <c r="X194" s="15">
        <f t="shared" si="440"/>
        <v>-96.000000000000014</v>
      </c>
      <c r="Y194" s="15">
        <f t="shared" si="440"/>
        <v>132.00000000000003</v>
      </c>
      <c r="Z194" s="15">
        <f t="shared" si="440"/>
        <v>32</v>
      </c>
      <c r="AA194" s="14"/>
      <c r="AB194" s="15">
        <f t="shared" ref="AB194:AE195" si="441">AB188*AB191*10000</f>
        <v>212</v>
      </c>
      <c r="AC194" s="15">
        <f t="shared" si="441"/>
        <v>268.00000000000006</v>
      </c>
      <c r="AD194" s="15">
        <f t="shared" si="441"/>
        <v>44</v>
      </c>
      <c r="AE194" s="15">
        <f t="shared" si="441"/>
        <v>327.99999999999994</v>
      </c>
      <c r="AF194" s="14"/>
      <c r="AG194" s="15">
        <f t="shared" ref="AG194:AJ195" si="442">AG188*AG191*10000</f>
        <v>184</v>
      </c>
      <c r="AH194" s="15">
        <f t="shared" si="442"/>
        <v>92</v>
      </c>
      <c r="AI194" s="15">
        <f t="shared" si="442"/>
        <v>4</v>
      </c>
      <c r="AJ194" s="15">
        <f t="shared" si="442"/>
        <v>-152</v>
      </c>
      <c r="AK194" s="14"/>
      <c r="AL194" s="15">
        <f t="shared" ref="AL194:AP195" si="443">AL188*AL191*10000</f>
        <v>8</v>
      </c>
      <c r="AM194" s="15">
        <f t="shared" si="443"/>
        <v>-8</v>
      </c>
      <c r="AN194" s="203">
        <f t="shared" si="443"/>
        <v>40</v>
      </c>
      <c r="AO194" s="203">
        <f t="shared" si="443"/>
        <v>40</v>
      </c>
      <c r="AP194" s="464">
        <f t="shared" si="443"/>
        <v>20</v>
      </c>
      <c r="AQ194" s="203">
        <f t="shared" ref="AQ194:AT194" si="444">AQ188*AQ191*10000</f>
        <v>40</v>
      </c>
      <c r="AR194" s="203">
        <f t="shared" si="444"/>
        <v>40</v>
      </c>
      <c r="AS194" s="203">
        <f t="shared" si="444"/>
        <v>40</v>
      </c>
      <c r="AT194" s="203">
        <f t="shared" si="444"/>
        <v>40</v>
      </c>
      <c r="AU194" s="464">
        <f>AU188*AU191*10000</f>
        <v>40</v>
      </c>
      <c r="AV194" s="203">
        <f t="shared" ref="AV194:AY194" si="445">AV188*AV191*10000</f>
        <v>40</v>
      </c>
      <c r="AW194" s="203">
        <f t="shared" si="445"/>
        <v>40</v>
      </c>
      <c r="AX194" s="203">
        <f t="shared" si="445"/>
        <v>40</v>
      </c>
      <c r="AY194" s="203">
        <f t="shared" si="445"/>
        <v>40</v>
      </c>
      <c r="AZ194" s="464">
        <f>AZ188*AZ191*10000</f>
        <v>40</v>
      </c>
    </row>
    <row r="195" spans="2:54" hidden="1" outlineLevel="1">
      <c r="B195" s="565" t="s">
        <v>840</v>
      </c>
      <c r="C195" s="6"/>
      <c r="D195" s="6"/>
      <c r="E195" s="12"/>
      <c r="F195" s="18"/>
      <c r="G195" s="18"/>
      <c r="H195" s="19"/>
      <c r="I195" s="19"/>
      <c r="J195" s="19"/>
      <c r="K195" s="19"/>
      <c r="L195" s="18"/>
      <c r="M195" s="19"/>
      <c r="N195" s="19"/>
      <c r="O195" s="15">
        <f t="shared" si="439"/>
        <v>66.000000000000014</v>
      </c>
      <c r="P195" s="15">
        <f t="shared" si="439"/>
        <v>127.50000000000001</v>
      </c>
      <c r="Q195" s="28">
        <f t="shared" si="439"/>
        <v>92.999999999999986</v>
      </c>
      <c r="R195" s="29">
        <f t="shared" si="439"/>
        <v>282</v>
      </c>
      <c r="S195" s="29">
        <f t="shared" si="439"/>
        <v>191.99999999999997</v>
      </c>
      <c r="T195" s="15">
        <f t="shared" si="439"/>
        <v>276</v>
      </c>
      <c r="U195" s="15">
        <f t="shared" si="439"/>
        <v>92.999999999999986</v>
      </c>
      <c r="V195" s="14"/>
      <c r="W195" s="15">
        <f t="shared" si="440"/>
        <v>84</v>
      </c>
      <c r="X195" s="15">
        <f t="shared" si="440"/>
        <v>-152.99999999999997</v>
      </c>
      <c r="Y195" s="15">
        <f t="shared" si="440"/>
        <v>56.999999999999993</v>
      </c>
      <c r="Z195" s="15">
        <f t="shared" si="440"/>
        <v>15</v>
      </c>
      <c r="AA195" s="14"/>
      <c r="AB195" s="15">
        <f t="shared" si="441"/>
        <v>84</v>
      </c>
      <c r="AC195" s="15">
        <f t="shared" si="441"/>
        <v>174</v>
      </c>
      <c r="AD195" s="15">
        <f t="shared" si="441"/>
        <v>408.00000000000006</v>
      </c>
      <c r="AE195" s="15">
        <f t="shared" si="441"/>
        <v>450</v>
      </c>
      <c r="AF195" s="14"/>
      <c r="AG195" s="15">
        <f t="shared" si="442"/>
        <v>491.99999999999994</v>
      </c>
      <c r="AH195" s="15">
        <f t="shared" si="442"/>
        <v>780</v>
      </c>
      <c r="AI195" s="15">
        <f t="shared" si="442"/>
        <v>858</v>
      </c>
      <c r="AJ195" s="15">
        <f t="shared" si="442"/>
        <v>917.99999999999989</v>
      </c>
      <c r="AK195" s="14"/>
      <c r="AL195" s="15">
        <f t="shared" si="443"/>
        <v>750</v>
      </c>
      <c r="AM195" s="15">
        <f t="shared" si="443"/>
        <v>720</v>
      </c>
      <c r="AN195" s="203">
        <f t="shared" si="443"/>
        <v>480</v>
      </c>
      <c r="AO195" s="203">
        <f t="shared" si="443"/>
        <v>360</v>
      </c>
      <c r="AP195" s="464">
        <f t="shared" si="443"/>
        <v>577.5</v>
      </c>
      <c r="AQ195" s="203">
        <f t="shared" ref="AQ195:AT195" si="446">AQ189*AQ192*10000</f>
        <v>240</v>
      </c>
      <c r="AR195" s="203">
        <f t="shared" si="446"/>
        <v>180</v>
      </c>
      <c r="AS195" s="203">
        <f t="shared" si="446"/>
        <v>120</v>
      </c>
      <c r="AT195" s="203">
        <f t="shared" si="446"/>
        <v>120</v>
      </c>
      <c r="AU195" s="464">
        <f>AU189*AU192*10000</f>
        <v>165</v>
      </c>
      <c r="AV195" s="203">
        <f t="shared" ref="AV195:AY195" si="447">AV189*AV192*10000</f>
        <v>120</v>
      </c>
      <c r="AW195" s="203">
        <f t="shared" si="447"/>
        <v>120</v>
      </c>
      <c r="AX195" s="203">
        <f t="shared" si="447"/>
        <v>120</v>
      </c>
      <c r="AY195" s="203">
        <f t="shared" si="447"/>
        <v>120</v>
      </c>
      <c r="AZ195" s="464">
        <f>AZ189*AZ192*10000</f>
        <v>120</v>
      </c>
    </row>
    <row r="196" spans="2:54" hidden="1" outlineLevel="1">
      <c r="B196" s="565" t="s">
        <v>841</v>
      </c>
      <c r="C196" s="6"/>
      <c r="D196" s="6"/>
      <c r="E196" s="12"/>
      <c r="F196" s="18"/>
      <c r="G196" s="18"/>
      <c r="H196" s="19"/>
      <c r="I196" s="19"/>
      <c r="J196" s="19"/>
      <c r="K196" s="19"/>
      <c r="L196" s="18"/>
      <c r="M196" s="19"/>
      <c r="N196" s="19"/>
      <c r="O196" s="15">
        <f t="shared" ref="O196:P196" si="448">O263*10000*-1</f>
        <v>-575.95500000000004</v>
      </c>
      <c r="P196" s="15">
        <f t="shared" si="448"/>
        <v>-210.19900000000001</v>
      </c>
      <c r="Q196" s="28"/>
      <c r="R196" s="15">
        <f t="shared" ref="R196:U196" si="449">R263*10000*-1</f>
        <v>-111.15099999999995</v>
      </c>
      <c r="S196" s="15">
        <f t="shared" si="449"/>
        <v>100.32399999999998</v>
      </c>
      <c r="T196" s="15">
        <f t="shared" si="449"/>
        <v>152.95500000000007</v>
      </c>
      <c r="U196" s="15">
        <f t="shared" si="449"/>
        <v>57.59399999999998</v>
      </c>
      <c r="V196" s="14"/>
      <c r="W196" s="15">
        <f t="shared" ref="W196:Y196" si="450">W263*10000*-1</f>
        <v>196.71300000000002</v>
      </c>
      <c r="X196" s="15">
        <f t="shared" si="450"/>
        <v>320.04800000000006</v>
      </c>
      <c r="Y196" s="15">
        <f t="shared" si="450"/>
        <v>13.952999999999991</v>
      </c>
      <c r="Z196" s="15">
        <f>Z263*10000*-1</f>
        <v>-670.82400000000018</v>
      </c>
      <c r="AA196" s="14"/>
      <c r="AB196" s="15">
        <f>AB263*10000*-1</f>
        <v>-1923.6709999999998</v>
      </c>
      <c r="AC196" s="15">
        <f>AC263*10000*-1</f>
        <v>-2664.4380000000001</v>
      </c>
      <c r="AD196" s="15">
        <f>AD263*10000*-1</f>
        <v>-2340.7939999999999</v>
      </c>
      <c r="AE196" s="15">
        <f>AE263*10000*-1</f>
        <v>-1265.4550000000002</v>
      </c>
      <c r="AF196" s="14"/>
      <c r="AG196" s="15">
        <f t="shared" ref="AG196:AI196" si="451">AG263*10000*-1</f>
        <v>-1280.635</v>
      </c>
      <c r="AH196" s="15">
        <f t="shared" si="451"/>
        <v>-857.077</v>
      </c>
      <c r="AI196" s="15">
        <f t="shared" si="451"/>
        <v>-366.24800000000005</v>
      </c>
      <c r="AJ196" s="15">
        <f>AJ263*10000*-1</f>
        <v>-207.83699999999996</v>
      </c>
      <c r="AK196" s="14"/>
      <c r="AL196" s="15">
        <f t="shared" ref="AL196:AN196" si="452">AL263*10000*-1</f>
        <v>60.458000000000041</v>
      </c>
      <c r="AM196" s="15">
        <f t="shared" si="452"/>
        <v>415.08200000000011</v>
      </c>
      <c r="AN196" s="203">
        <f t="shared" si="452"/>
        <v>169.00900000000004</v>
      </c>
      <c r="AO196" s="203">
        <f>AO263*10000*-1</f>
        <v>-3.999999999999976</v>
      </c>
      <c r="AP196" s="464">
        <f>AP263*10000*-1</f>
        <v>-3.999999999999976</v>
      </c>
      <c r="AQ196" s="203">
        <f t="shared" ref="AQ196:AT196" si="453">AQ263*10000*-1</f>
        <v>-100</v>
      </c>
      <c r="AR196" s="203">
        <f t="shared" si="453"/>
        <v>-100</v>
      </c>
      <c r="AS196" s="203">
        <f t="shared" si="453"/>
        <v>-100</v>
      </c>
      <c r="AT196" s="203">
        <f t="shared" si="453"/>
        <v>-100</v>
      </c>
      <c r="AU196" s="464">
        <f>AU263*10000*-1</f>
        <v>-100</v>
      </c>
      <c r="AV196" s="203">
        <f t="shared" ref="AV196:AY196" si="454">AV263*10000*-1</f>
        <v>-100</v>
      </c>
      <c r="AW196" s="203">
        <f t="shared" si="454"/>
        <v>-100</v>
      </c>
      <c r="AX196" s="203">
        <f t="shared" si="454"/>
        <v>-100</v>
      </c>
      <c r="AY196" s="203">
        <f t="shared" si="454"/>
        <v>-100</v>
      </c>
      <c r="AZ196" s="464">
        <f>AZ263*10000*-1</f>
        <v>-100</v>
      </c>
    </row>
    <row r="197" spans="2:54" s="11" customFormat="1" hidden="1" outlineLevel="1">
      <c r="B197" s="566" t="s">
        <v>842</v>
      </c>
      <c r="C197" s="10"/>
      <c r="D197" s="10"/>
      <c r="E197" s="39"/>
      <c r="F197" s="538"/>
      <c r="G197" s="538"/>
      <c r="H197" s="184"/>
      <c r="I197" s="184"/>
      <c r="J197" s="184"/>
      <c r="K197" s="184"/>
      <c r="L197" s="538"/>
      <c r="M197" s="184"/>
      <c r="N197" s="184"/>
      <c r="O197" s="17"/>
      <c r="P197" s="17"/>
      <c r="Q197" s="31"/>
      <c r="R197" s="32"/>
      <c r="S197" s="32"/>
      <c r="T197" s="17">
        <f>T199-SUM(T194:T196)</f>
        <v>-25.85891921615638</v>
      </c>
      <c r="U197" s="17">
        <f>U199-SUM(U194:U196)</f>
        <v>-120.59101161304005</v>
      </c>
      <c r="V197" s="16"/>
      <c r="W197" s="17">
        <f>W199-SUM(W194:W196)</f>
        <v>-337.44772521493576</v>
      </c>
      <c r="X197" s="17">
        <f>X199-SUM(X194:X196)</f>
        <v>218.74465238408817</v>
      </c>
      <c r="Y197" s="17">
        <f>Y199-SUM(Y194:Y196)</f>
        <v>285.30954760165218</v>
      </c>
      <c r="Z197" s="17">
        <f>Z199-SUM(Z194:Z196)</f>
        <v>492.10070693949797</v>
      </c>
      <c r="AA197" s="16"/>
      <c r="AB197" s="17">
        <f>AB199-SUM(AB194:AB196)</f>
        <v>1663.2128589716665</v>
      </c>
      <c r="AC197" s="17">
        <f>AC199-SUM(AC194:AC196)</f>
        <v>2238.1325736315575</v>
      </c>
      <c r="AD197" s="17">
        <f>AD199-SUM(AD194:AD196)</f>
        <v>1832.5115585115966</v>
      </c>
      <c r="AE197" s="17">
        <f>AE199-SUM(AE194:AE196)</f>
        <v>516.30037763570022</v>
      </c>
      <c r="AF197" s="16"/>
      <c r="AG197" s="17">
        <f>AG199-SUM(AG194:AG196)</f>
        <v>524.80067817569136</v>
      </c>
      <c r="AH197" s="17">
        <f>AH199-SUM(AH194:AH196)</f>
        <v>-262.32673064017388</v>
      </c>
      <c r="AI197" s="17">
        <f>AI199-SUM(AI194:AI196)</f>
        <v>-514.35396084678018</v>
      </c>
      <c r="AJ197" s="17">
        <f>AJ199-SUM(AJ194:AJ196)</f>
        <v>-693.57739844049695</v>
      </c>
      <c r="AK197" s="16"/>
      <c r="AL197" s="17">
        <f>AL199-SUM(AL194:AL196)</f>
        <v>-842.06151907011622</v>
      </c>
      <c r="AM197" s="17">
        <f>AM199-SUM(AM194:AM196)</f>
        <v>-979.30988793423023</v>
      </c>
      <c r="AN197" s="548">
        <v>0</v>
      </c>
      <c r="AO197" s="548">
        <v>-100</v>
      </c>
      <c r="AP197" s="550">
        <v>-100</v>
      </c>
      <c r="AQ197" s="548">
        <v>-100</v>
      </c>
      <c r="AR197" s="548">
        <v>-100</v>
      </c>
      <c r="AS197" s="548">
        <v>-100</v>
      </c>
      <c r="AT197" s="548">
        <v>-100</v>
      </c>
      <c r="AU197" s="550">
        <v>-100</v>
      </c>
      <c r="AV197" s="548">
        <v>-100</v>
      </c>
      <c r="AW197" s="548">
        <v>-100</v>
      </c>
      <c r="AX197" s="548">
        <v>-100</v>
      </c>
      <c r="AY197" s="548">
        <v>-100</v>
      </c>
      <c r="AZ197" s="550">
        <v>-100</v>
      </c>
      <c r="BB197" s="257"/>
    </row>
    <row r="198" spans="2:54" hidden="1" outlineLevel="1">
      <c r="B198" s="565" t="s">
        <v>819</v>
      </c>
      <c r="C198" s="6"/>
      <c r="D198" s="6"/>
      <c r="E198" s="12"/>
      <c r="F198" s="18"/>
      <c r="G198" s="18"/>
      <c r="H198" s="19"/>
      <c r="I198" s="19"/>
      <c r="J198" s="19"/>
      <c r="K198" s="19"/>
      <c r="L198" s="18"/>
      <c r="M198" s="19"/>
      <c r="N198" s="19"/>
      <c r="O198" s="15">
        <f>SUM(O194:O197)</f>
        <v>-385.95500000000004</v>
      </c>
      <c r="P198" s="15">
        <f>SUM(P194:P197)</f>
        <v>18.300999999999988</v>
      </c>
      <c r="Q198" s="28">
        <f>SUM(Q194:Q197)</f>
        <v>213</v>
      </c>
      <c r="R198" s="29">
        <f t="shared" ref="R198:U198" si="455">SUM(R194:R197)</f>
        <v>112.84900000000005</v>
      </c>
      <c r="S198" s="29">
        <f t="shared" si="455"/>
        <v>250.32399999999996</v>
      </c>
      <c r="T198" s="15">
        <f t="shared" si="455"/>
        <v>457.09608078384366</v>
      </c>
      <c r="U198" s="15">
        <f t="shared" si="455"/>
        <v>198.00298838695994</v>
      </c>
      <c r="V198" s="14"/>
      <c r="W198" s="15">
        <f t="shared" ref="W198:Z198" si="456">SUM(W194:W197)</f>
        <v>83.265274785064321</v>
      </c>
      <c r="X198" s="15">
        <f t="shared" si="456"/>
        <v>289.79265238408823</v>
      </c>
      <c r="Y198" s="15">
        <f t="shared" si="456"/>
        <v>488.26254760165222</v>
      </c>
      <c r="Z198" s="15">
        <f t="shared" si="456"/>
        <v>-131.72329306050221</v>
      </c>
      <c r="AA198" s="14"/>
      <c r="AB198" s="15">
        <f t="shared" ref="AB198" si="457">SUM(AB194:AB197)</f>
        <v>35.54185897166667</v>
      </c>
      <c r="AC198" s="15">
        <f t="shared" ref="AC198" si="458">SUM(AC194:AC197)</f>
        <v>15.694573631557432</v>
      </c>
      <c r="AD198" s="15">
        <f t="shared" ref="AD198" si="459">SUM(AD194:AD197)</f>
        <v>-56.282441488403265</v>
      </c>
      <c r="AE198" s="15">
        <f t="shared" ref="AE198" si="460">SUM(AE194:AE197)</f>
        <v>28.845377635700061</v>
      </c>
      <c r="AF198" s="14"/>
      <c r="AG198" s="15">
        <f t="shared" ref="AG198" si="461">SUM(AG194:AG197)</f>
        <v>-79.834321824308631</v>
      </c>
      <c r="AH198" s="15">
        <f t="shared" ref="AH198" si="462">SUM(AH194:AH197)</f>
        <v>-247.40373064017388</v>
      </c>
      <c r="AI198" s="15">
        <f t="shared" ref="AI198" si="463">SUM(AI194:AI197)</f>
        <v>-18.60196084678023</v>
      </c>
      <c r="AJ198" s="15">
        <f t="shared" ref="AJ198" si="464">SUM(AJ194:AJ197)</f>
        <v>-135.41439844049705</v>
      </c>
      <c r="AK198" s="14"/>
      <c r="AL198" s="15">
        <f t="shared" ref="AL198" si="465">SUM(AL194:AL197)</f>
        <v>-23.603519070116135</v>
      </c>
      <c r="AM198" s="15">
        <f t="shared" ref="AM198" si="466">SUM(AM194:AM197)</f>
        <v>147.77211206576987</v>
      </c>
      <c r="AN198" s="547">
        <v>100</v>
      </c>
      <c r="AO198" s="547">
        <f t="shared" ref="AO198:AP198" si="467">SUM(AO194:AO197)</f>
        <v>296</v>
      </c>
      <c r="AP198" s="551">
        <f t="shared" si="467"/>
        <v>493.5</v>
      </c>
      <c r="AQ198" s="547">
        <f t="shared" ref="AQ198" si="468">SUM(AQ194:AQ197)</f>
        <v>80</v>
      </c>
      <c r="AR198" s="547">
        <f t="shared" ref="AR198" si="469">SUM(AR194:AR197)</f>
        <v>20</v>
      </c>
      <c r="AS198" s="547">
        <f t="shared" ref="AS198" si="470">SUM(AS194:AS197)</f>
        <v>-40</v>
      </c>
      <c r="AT198" s="547">
        <f t="shared" ref="AT198:AU198" si="471">SUM(AT194:AT197)</f>
        <v>-40</v>
      </c>
      <c r="AU198" s="551">
        <f t="shared" si="471"/>
        <v>5</v>
      </c>
      <c r="AV198" s="547">
        <f t="shared" ref="AV198" si="472">SUM(AV194:AV197)</f>
        <v>-40</v>
      </c>
      <c r="AW198" s="547">
        <f t="shared" ref="AW198" si="473">SUM(AW194:AW197)</f>
        <v>-40</v>
      </c>
      <c r="AX198" s="547">
        <f t="shared" ref="AX198" si="474">SUM(AX194:AX197)</f>
        <v>-40</v>
      </c>
      <c r="AY198" s="547">
        <f t="shared" ref="AY198:AZ198" si="475">SUM(AY194:AY197)</f>
        <v>-40</v>
      </c>
      <c r="AZ198" s="551">
        <f t="shared" si="475"/>
        <v>-40</v>
      </c>
    </row>
    <row r="199" spans="2:54" hidden="1" outlineLevel="1">
      <c r="B199" s="565" t="s">
        <v>820</v>
      </c>
      <c r="E199" s="12"/>
      <c r="F199" s="18"/>
      <c r="G199" s="18"/>
      <c r="H199" s="19"/>
      <c r="I199" s="19"/>
      <c r="J199" s="19"/>
      <c r="K199" s="19"/>
      <c r="L199" s="18"/>
      <c r="M199" s="19"/>
      <c r="N199" s="19"/>
      <c r="O199" s="15">
        <f>O186</f>
        <v>0</v>
      </c>
      <c r="P199" s="15">
        <f>P186</f>
        <v>0</v>
      </c>
      <c r="Q199" s="28">
        <f>Q186</f>
        <v>0</v>
      </c>
      <c r="R199" s="29">
        <f t="shared" ref="R199:U199" si="476">R186</f>
        <v>0</v>
      </c>
      <c r="S199" s="29">
        <f t="shared" si="476"/>
        <v>0</v>
      </c>
      <c r="T199" s="15">
        <f t="shared" si="476"/>
        <v>457.09608078384366</v>
      </c>
      <c r="U199" s="15">
        <f t="shared" si="476"/>
        <v>198.00298838695994</v>
      </c>
      <c r="V199" s="14"/>
      <c r="W199" s="15">
        <f t="shared" ref="W199:Z199" si="477">W186</f>
        <v>83.265274785064292</v>
      </c>
      <c r="X199" s="15">
        <f t="shared" si="477"/>
        <v>289.79265238408823</v>
      </c>
      <c r="Y199" s="15">
        <f t="shared" si="477"/>
        <v>488.26254760165222</v>
      </c>
      <c r="Z199" s="15">
        <f t="shared" si="477"/>
        <v>-131.72329306050224</v>
      </c>
      <c r="AA199" s="14"/>
      <c r="AB199" s="15">
        <f t="shared" ref="AB199:AE199" si="478">AB186</f>
        <v>35.54185897166662</v>
      </c>
      <c r="AC199" s="15">
        <f t="shared" si="478"/>
        <v>15.69457363155724</v>
      </c>
      <c r="AD199" s="15">
        <f t="shared" si="478"/>
        <v>-56.282441488403336</v>
      </c>
      <c r="AE199" s="15">
        <f t="shared" si="478"/>
        <v>28.845377635700054</v>
      </c>
      <c r="AF199" s="14"/>
      <c r="AG199" s="15">
        <f t="shared" ref="AG199:AJ199" si="479">AG186</f>
        <v>-79.834321824308603</v>
      </c>
      <c r="AH199" s="15">
        <f t="shared" si="479"/>
        <v>-247.40373064017385</v>
      </c>
      <c r="AI199" s="15">
        <f t="shared" si="479"/>
        <v>-18.60196084678023</v>
      </c>
      <c r="AJ199" s="15">
        <f t="shared" si="479"/>
        <v>-135.41439844049708</v>
      </c>
      <c r="AK199" s="14"/>
      <c r="AL199" s="15">
        <f t="shared" ref="AL199:AM199" si="480">AL186</f>
        <v>-23.603519070116153</v>
      </c>
      <c r="AM199" s="15">
        <f t="shared" si="480"/>
        <v>147.7721120657699</v>
      </c>
      <c r="AN199" s="273"/>
      <c r="AO199" s="268"/>
      <c r="AP199" s="242"/>
      <c r="AQ199" s="539"/>
      <c r="AR199" s="539"/>
      <c r="AS199" s="539"/>
      <c r="AT199" s="539"/>
      <c r="AU199" s="242"/>
      <c r="AV199" s="539"/>
      <c r="AW199" s="539"/>
      <c r="AX199" s="539"/>
      <c r="AY199" s="539"/>
      <c r="AZ199" s="242"/>
    </row>
    <row r="200" spans="2:54" hidden="1" outlineLevel="1">
      <c r="B200" s="567" t="s">
        <v>507</v>
      </c>
      <c r="E200" s="12"/>
      <c r="F200" s="18"/>
      <c r="G200" s="18"/>
      <c r="H200" s="19"/>
      <c r="I200" s="19"/>
      <c r="J200" s="19"/>
      <c r="K200" s="19"/>
      <c r="L200" s="18"/>
      <c r="M200" s="19"/>
      <c r="N200" s="19"/>
      <c r="O200" s="19"/>
      <c r="P200" s="19"/>
      <c r="Q200" s="18"/>
      <c r="R200" s="19"/>
      <c r="S200" s="19"/>
      <c r="T200" s="165">
        <f t="shared" ref="T200:U200" si="481">T198/T199-1</f>
        <v>0</v>
      </c>
      <c r="U200" s="165">
        <f t="shared" si="481"/>
        <v>0</v>
      </c>
      <c r="V200" s="14"/>
      <c r="W200" s="19">
        <f t="shared" ref="W200:Z200" si="482">W198/W199-1</f>
        <v>0</v>
      </c>
      <c r="X200" s="19">
        <f t="shared" si="482"/>
        <v>0</v>
      </c>
      <c r="Y200" s="19">
        <f t="shared" si="482"/>
        <v>0</v>
      </c>
      <c r="Z200" s="19">
        <f t="shared" si="482"/>
        <v>0</v>
      </c>
      <c r="AA200" s="14"/>
      <c r="AB200" s="19">
        <f t="shared" ref="AB200" si="483">AB198/AB199-1</f>
        <v>0</v>
      </c>
      <c r="AC200" s="19">
        <f t="shared" ref="AC200" si="484">AC198/AC199-1</f>
        <v>1.2212453270876722E-14</v>
      </c>
      <c r="AD200" s="19">
        <f t="shared" ref="AD200" si="485">AD198/AD199-1</f>
        <v>-1.2212453270876722E-15</v>
      </c>
      <c r="AE200" s="19">
        <f t="shared" ref="AE200" si="486">AE198/AE199-1</f>
        <v>0</v>
      </c>
      <c r="AF200" s="14"/>
      <c r="AG200" s="19">
        <f t="shared" ref="AG200" si="487">AG198/AG199-1</f>
        <v>0</v>
      </c>
      <c r="AH200" s="19">
        <f t="shared" ref="AH200" si="488">AH198/AH199-1</f>
        <v>0</v>
      </c>
      <c r="AI200" s="19">
        <f t="shared" ref="AI200" si="489">AI198/AI199-1</f>
        <v>0</v>
      </c>
      <c r="AJ200" s="19">
        <f t="shared" ref="AJ200" si="490">AJ198/AJ199-1</f>
        <v>0</v>
      </c>
      <c r="AK200" s="14"/>
      <c r="AL200" s="19">
        <f t="shared" ref="AL200" si="491">AL198/AL199-1</f>
        <v>0</v>
      </c>
      <c r="AM200" s="19">
        <f t="shared" ref="AM200" si="492">AM198/AM199-1</f>
        <v>0</v>
      </c>
      <c r="AN200" s="540"/>
      <c r="AO200" s="540"/>
      <c r="AP200" s="242"/>
      <c r="AQ200" s="539"/>
      <c r="AR200" s="539"/>
      <c r="AS200" s="539"/>
      <c r="AT200" s="539"/>
      <c r="AU200" s="242"/>
      <c r="AV200" s="539"/>
      <c r="AW200" s="539"/>
      <c r="AX200" s="539"/>
      <c r="AY200" s="539"/>
      <c r="AZ200" s="242"/>
    </row>
    <row r="201" spans="2:54" hidden="1" outlineLevel="1">
      <c r="B201" s="565"/>
      <c r="C201" s="6"/>
      <c r="D201" s="6"/>
      <c r="E201" s="12"/>
      <c r="F201" s="18"/>
      <c r="G201" s="18"/>
      <c r="H201" s="19"/>
      <c r="I201" s="19"/>
      <c r="J201" s="19"/>
      <c r="K201" s="19"/>
      <c r="L201" s="18"/>
      <c r="M201" s="19"/>
      <c r="N201" s="19"/>
      <c r="O201" s="19"/>
      <c r="P201" s="19"/>
      <c r="Q201" s="18"/>
      <c r="R201" s="19"/>
      <c r="S201" s="19"/>
      <c r="T201" s="15"/>
      <c r="U201" s="15"/>
      <c r="V201" s="14"/>
      <c r="W201" s="15"/>
      <c r="X201" s="15"/>
      <c r="Y201" s="15"/>
      <c r="Z201" s="15"/>
      <c r="AA201" s="14"/>
      <c r="AB201" s="15"/>
      <c r="AC201" s="15"/>
      <c r="AD201" s="15"/>
      <c r="AE201" s="15"/>
      <c r="AF201" s="14"/>
      <c r="AG201" s="15"/>
      <c r="AH201" s="15"/>
      <c r="AI201" s="15"/>
      <c r="AJ201" s="15"/>
      <c r="AK201" s="14"/>
      <c r="AL201" s="29"/>
      <c r="AM201" s="29"/>
      <c r="AN201" s="241"/>
      <c r="AO201" s="241"/>
      <c r="AP201" s="242"/>
      <c r="AQ201" s="539"/>
      <c r="AR201" s="539"/>
      <c r="AS201" s="539"/>
      <c r="AT201" s="539"/>
      <c r="AU201" s="242"/>
      <c r="AV201" s="539"/>
      <c r="AW201" s="539"/>
      <c r="AX201" s="539"/>
      <c r="AY201" s="539"/>
      <c r="AZ201" s="242"/>
    </row>
    <row r="202" spans="2:54" hidden="1" outlineLevel="1">
      <c r="B202" s="565"/>
      <c r="C202" s="6"/>
      <c r="D202" s="6"/>
      <c r="E202" s="12"/>
      <c r="F202" s="18"/>
      <c r="G202" s="18"/>
      <c r="H202" s="19"/>
      <c r="I202" s="19"/>
      <c r="J202" s="19"/>
      <c r="K202" s="19"/>
      <c r="L202" s="18"/>
      <c r="M202" s="19"/>
      <c r="N202" s="19"/>
      <c r="O202" s="19"/>
      <c r="P202" s="19"/>
      <c r="Q202" s="18"/>
      <c r="R202" s="19"/>
      <c r="S202" s="19"/>
      <c r="T202" s="15"/>
      <c r="U202" s="15"/>
      <c r="V202" s="14"/>
      <c r="W202" s="15"/>
      <c r="X202" s="15"/>
      <c r="Y202" s="15"/>
      <c r="Z202" s="15"/>
      <c r="AA202" s="14"/>
      <c r="AB202" s="15"/>
      <c r="AC202" s="15"/>
      <c r="AD202" s="15"/>
      <c r="AE202" s="15"/>
      <c r="AF202" s="14"/>
      <c r="AG202" s="15"/>
      <c r="AH202" s="15"/>
      <c r="AI202" s="15"/>
      <c r="AJ202" s="15"/>
      <c r="AK202" s="14"/>
      <c r="AL202" s="29"/>
      <c r="AM202" s="29"/>
      <c r="AN202" s="241"/>
      <c r="AO202" s="241"/>
      <c r="AP202" s="242"/>
      <c r="AQ202" s="241"/>
      <c r="AR202" s="241"/>
      <c r="AS202" s="241"/>
      <c r="AT202" s="241"/>
      <c r="AU202" s="242"/>
      <c r="AV202" s="539"/>
      <c r="AW202" s="539"/>
      <c r="AX202" s="539"/>
      <c r="AY202" s="539"/>
      <c r="AZ202" s="242"/>
    </row>
    <row r="203" spans="2:54" hidden="1" outlineLevel="1">
      <c r="B203" s="565"/>
      <c r="C203" s="6"/>
      <c r="D203" s="6"/>
      <c r="E203" s="12"/>
      <c r="F203" s="18"/>
      <c r="G203" s="18"/>
      <c r="H203" s="19"/>
      <c r="I203" s="19"/>
      <c r="J203" s="19"/>
      <c r="K203" s="19"/>
      <c r="L203" s="18"/>
      <c r="M203" s="19"/>
      <c r="N203" s="19"/>
      <c r="O203" s="19"/>
      <c r="P203" s="19"/>
      <c r="Q203" s="18"/>
      <c r="R203" s="19"/>
      <c r="S203" s="19"/>
      <c r="T203" s="15"/>
      <c r="U203" s="15"/>
      <c r="V203" s="14"/>
      <c r="W203" s="15"/>
      <c r="X203" s="15"/>
      <c r="Y203" s="15"/>
      <c r="Z203" s="15"/>
      <c r="AA203" s="14"/>
      <c r="AB203" s="15"/>
      <c r="AC203" s="15"/>
      <c r="AD203" s="15"/>
      <c r="AE203" s="15"/>
      <c r="AF203" s="14"/>
      <c r="AG203" s="15"/>
      <c r="AH203" s="15"/>
      <c r="AI203" s="15"/>
      <c r="AJ203" s="15"/>
      <c r="AK203" s="14"/>
      <c r="AL203" s="29"/>
      <c r="AM203" s="29"/>
      <c r="AN203" s="241"/>
      <c r="AO203" s="241"/>
      <c r="AP203" s="242"/>
      <c r="AQ203" s="241"/>
      <c r="AR203" s="241"/>
      <c r="AS203" s="241"/>
      <c r="AT203" s="241"/>
      <c r="AU203" s="242"/>
      <c r="AV203" s="241"/>
      <c r="AW203" s="241"/>
      <c r="AX203" s="241"/>
      <c r="AY203" s="241"/>
      <c r="AZ203" s="242"/>
    </row>
    <row r="204" spans="2:54" hidden="1" outlineLevel="1">
      <c r="B204" s="564" t="s">
        <v>844</v>
      </c>
      <c r="C204" s="6" t="s">
        <v>72</v>
      </c>
      <c r="D204" s="6"/>
      <c r="E204" s="12"/>
      <c r="F204" s="18"/>
      <c r="G204" s="18"/>
      <c r="H204" s="19"/>
      <c r="I204" s="19"/>
      <c r="J204" s="19"/>
      <c r="K204" s="19"/>
      <c r="L204" s="18"/>
      <c r="M204" s="19"/>
      <c r="N204" s="19"/>
      <c r="O204" s="19">
        <f>O309/O28</f>
        <v>0.38605092868658764</v>
      </c>
      <c r="P204" s="19">
        <f>P309/P28</f>
        <v>0.30144649564452969</v>
      </c>
      <c r="Q204" s="18"/>
      <c r="R204" s="19">
        <f t="shared" ref="R204:AM204" si="493">R309/R28</f>
        <v>0.37021910436286753</v>
      </c>
      <c r="S204" s="19">
        <f t="shared" si="493"/>
        <v>0.35766972046041817</v>
      </c>
      <c r="T204" s="19">
        <f t="shared" si="493"/>
        <v>0.36864286494158749</v>
      </c>
      <c r="U204" s="19">
        <f t="shared" si="493"/>
        <v>0.32711896982510097</v>
      </c>
      <c r="V204" s="18">
        <f t="shared" si="493"/>
        <v>0.35456738032842722</v>
      </c>
      <c r="W204" s="19">
        <f t="shared" si="493"/>
        <v>0.38151007433256057</v>
      </c>
      <c r="X204" s="19">
        <f t="shared" si="493"/>
        <v>0.37231599366764034</v>
      </c>
      <c r="Y204" s="19">
        <f t="shared" si="493"/>
        <v>0.36374043374106979</v>
      </c>
      <c r="Z204" s="19">
        <f t="shared" si="493"/>
        <v>0.34929527836504581</v>
      </c>
      <c r="AA204" s="18">
        <f t="shared" si="493"/>
        <v>0.36535707353411784</v>
      </c>
      <c r="AB204" s="19">
        <f t="shared" si="493"/>
        <v>0.38916750250752258</v>
      </c>
      <c r="AC204" s="19">
        <f t="shared" si="493"/>
        <v>0.38219895287958117</v>
      </c>
      <c r="AD204" s="19">
        <f t="shared" si="493"/>
        <v>0.3652694610778443</v>
      </c>
      <c r="AE204" s="19">
        <f t="shared" si="493"/>
        <v>0.32863436123348017</v>
      </c>
      <c r="AF204" s="18">
        <f t="shared" si="493"/>
        <v>0.36488138909268769</v>
      </c>
      <c r="AG204" s="19">
        <f t="shared" si="493"/>
        <v>0.31919406150583246</v>
      </c>
      <c r="AH204" s="19">
        <f t="shared" si="493"/>
        <v>0.33236151603498543</v>
      </c>
      <c r="AI204" s="19">
        <f t="shared" si="493"/>
        <v>0.30143540669856461</v>
      </c>
      <c r="AJ204" s="19">
        <f t="shared" si="493"/>
        <v>0.33852140077821014</v>
      </c>
      <c r="AK204" s="18">
        <f t="shared" si="493"/>
        <v>0.32380288238028826</v>
      </c>
      <c r="AL204" s="19">
        <f t="shared" si="493"/>
        <v>0.30612244897959184</v>
      </c>
      <c r="AM204" s="19">
        <f t="shared" si="493"/>
        <v>0.30103092783505153</v>
      </c>
      <c r="AN204" s="243">
        <f t="shared" ref="AN204:AZ204" si="494">AN216/AN28</f>
        <v>0.3077622622801936</v>
      </c>
      <c r="AO204" s="243">
        <f t="shared" si="494"/>
        <v>0.32482622336797518</v>
      </c>
      <c r="AP204" s="242">
        <f t="shared" si="494"/>
        <v>0.31085238392767467</v>
      </c>
      <c r="AQ204" s="243">
        <f t="shared" si="494"/>
        <v>0.28718064558354539</v>
      </c>
      <c r="AR204" s="243">
        <f t="shared" si="494"/>
        <v>0.29163061286160158</v>
      </c>
      <c r="AS204" s="243">
        <f t="shared" si="494"/>
        <v>0.29680766440760803</v>
      </c>
      <c r="AT204" s="243">
        <f t="shared" si="494"/>
        <v>0.31458695682735582</v>
      </c>
      <c r="AU204" s="242">
        <f t="shared" si="494"/>
        <v>0.29874325465140888</v>
      </c>
      <c r="AV204" s="243">
        <f t="shared" si="494"/>
        <v>0.27441640275512436</v>
      </c>
      <c r="AW204" s="243">
        <f t="shared" si="494"/>
        <v>0.27891880088049809</v>
      </c>
      <c r="AX204" s="243">
        <f t="shared" si="494"/>
        <v>0.28446264993226789</v>
      </c>
      <c r="AY204" s="243">
        <f t="shared" si="494"/>
        <v>0.30229487177721259</v>
      </c>
      <c r="AZ204" s="242">
        <f t="shared" si="494"/>
        <v>0.2862366972676858</v>
      </c>
    </row>
    <row r="205" spans="2:54" hidden="1" outlineLevel="1">
      <c r="B205" s="565" t="s">
        <v>801</v>
      </c>
      <c r="C205" s="6"/>
      <c r="D205" s="6"/>
      <c r="E205" s="12"/>
      <c r="F205" s="18"/>
      <c r="G205" s="18"/>
      <c r="H205" s="19"/>
      <c r="I205" s="19"/>
      <c r="J205" s="19"/>
      <c r="K205" s="19"/>
      <c r="L205" s="18"/>
      <c r="M205" s="19"/>
      <c r="N205" s="19"/>
      <c r="O205" s="19"/>
      <c r="P205" s="19"/>
      <c r="Q205" s="14"/>
      <c r="R205" s="19"/>
      <c r="S205" s="19"/>
      <c r="T205" s="15">
        <f>(T204-O204)*10000</f>
        <v>-174.08063745000146</v>
      </c>
      <c r="U205" s="15">
        <f t="shared" ref="U205" si="495">(U204-P204)*10000</f>
        <v>256.72474180571282</v>
      </c>
      <c r="V205" s="14"/>
      <c r="W205" s="15">
        <f t="shared" ref="W205" si="496">(W204-R204)*10000</f>
        <v>112.90969969693032</v>
      </c>
      <c r="X205" s="15">
        <f t="shared" ref="X205" si="497">(X204-S204)*10000</f>
        <v>146.46273207222171</v>
      </c>
      <c r="Y205" s="15">
        <f t="shared" ref="Y205" si="498">(Y204-T204)*10000</f>
        <v>-49.024312005176981</v>
      </c>
      <c r="Z205" s="15">
        <f t="shared" ref="Z205:AA205" si="499">(Z204-U204)*10000</f>
        <v>221.76308539944844</v>
      </c>
      <c r="AA205" s="14">
        <f t="shared" si="499"/>
        <v>107.89693205690621</v>
      </c>
      <c r="AB205" s="15">
        <f t="shared" ref="AB205" si="500">(AB204-W204)*10000</f>
        <v>76.574281749620113</v>
      </c>
      <c r="AC205" s="15">
        <f t="shared" ref="AC205" si="501">(AC204-X204)*10000</f>
        <v>98.829592119408233</v>
      </c>
      <c r="AD205" s="15">
        <f t="shared" ref="AD205" si="502">(AD204-Y204)*10000</f>
        <v>15.290273367745133</v>
      </c>
      <c r="AE205" s="15">
        <f t="shared" ref="AE205:AF205" si="503">(AE204-Z204)*10000</f>
        <v>-206.60917131565648</v>
      </c>
      <c r="AF205" s="14">
        <f t="shared" si="503"/>
        <v>-4.7568444143014643</v>
      </c>
      <c r="AG205" s="15">
        <f t="shared" ref="AG205" si="504">(AG204-AB204)*10000</f>
        <v>-699.73441001690117</v>
      </c>
      <c r="AH205" s="15">
        <f t="shared" ref="AH205" si="505">(AH204-AC204)*10000</f>
        <v>-498.37436844595737</v>
      </c>
      <c r="AI205" s="15">
        <f t="shared" ref="AI205" si="506">(AI204-AD204)*10000</f>
        <v>-638.34054379279689</v>
      </c>
      <c r="AJ205" s="15">
        <f t="shared" ref="AJ205" si="507">(AJ204-AE204)*10000</f>
        <v>98.8703954472997</v>
      </c>
      <c r="AK205" s="14">
        <f t="shared" ref="AK205" si="508">(AK204-AF204)*10000</f>
        <v>-410.78506712399434</v>
      </c>
      <c r="AL205" s="29">
        <f t="shared" ref="AL205:AZ205" si="509">(AL204-AG204)*10000</f>
        <v>-130.71612526240617</v>
      </c>
      <c r="AM205" s="29">
        <f t="shared" si="509"/>
        <v>-313.30588199933896</v>
      </c>
      <c r="AN205" s="29">
        <f t="shared" si="509"/>
        <v>63.268555816289876</v>
      </c>
      <c r="AO205" s="29">
        <f t="shared" si="509"/>
        <v>-136.95177410234959</v>
      </c>
      <c r="AP205" s="463">
        <f t="shared" si="509"/>
        <v>-129.5049845261359</v>
      </c>
      <c r="AQ205" s="29">
        <f t="shared" si="509"/>
        <v>-189.41803396046453</v>
      </c>
      <c r="AR205" s="29">
        <f t="shared" si="509"/>
        <v>-94.00314973449953</v>
      </c>
      <c r="AS205" s="29">
        <f t="shared" si="509"/>
        <v>-109.54597872585569</v>
      </c>
      <c r="AT205" s="29">
        <f t="shared" si="509"/>
        <v>-102.39266540619352</v>
      </c>
      <c r="AU205" s="463">
        <f t="shared" si="509"/>
        <v>-121.09129276265784</v>
      </c>
      <c r="AV205" s="29">
        <f t="shared" si="509"/>
        <v>-127.64242828421035</v>
      </c>
      <c r="AW205" s="29">
        <f t="shared" si="509"/>
        <v>-127.11811981103493</v>
      </c>
      <c r="AX205" s="29">
        <f t="shared" si="509"/>
        <v>-123.45014475340143</v>
      </c>
      <c r="AY205" s="29">
        <f t="shared" si="509"/>
        <v>-122.92085050143231</v>
      </c>
      <c r="AZ205" s="463">
        <f t="shared" si="509"/>
        <v>-125.06557383723083</v>
      </c>
    </row>
    <row r="206" spans="2:54" hidden="1" outlineLevel="1">
      <c r="B206" s="565"/>
      <c r="C206" s="6"/>
      <c r="D206" s="6"/>
      <c r="E206" s="12"/>
      <c r="F206" s="18"/>
      <c r="G206" s="18"/>
      <c r="H206" s="19"/>
      <c r="I206" s="19"/>
      <c r="J206" s="19"/>
      <c r="K206" s="19"/>
      <c r="L206" s="18"/>
      <c r="M206" s="19"/>
      <c r="N206" s="19"/>
      <c r="O206" s="19"/>
      <c r="P206" s="19"/>
      <c r="Q206" s="14"/>
      <c r="R206" s="19"/>
      <c r="S206" s="19"/>
      <c r="T206" s="15"/>
      <c r="U206" s="15"/>
      <c r="V206" s="14"/>
      <c r="W206" s="15"/>
      <c r="X206" s="15"/>
      <c r="Y206" s="15"/>
      <c r="Z206" s="15"/>
      <c r="AA206" s="14"/>
      <c r="AB206" s="15"/>
      <c r="AC206" s="15"/>
      <c r="AD206" s="15"/>
      <c r="AE206" s="15"/>
      <c r="AF206" s="14"/>
      <c r="AG206" s="15"/>
      <c r="AH206" s="15"/>
      <c r="AI206" s="15"/>
      <c r="AJ206" s="15"/>
      <c r="AK206" s="14"/>
      <c r="AL206" s="29"/>
      <c r="AM206" s="29"/>
      <c r="AN206" s="241"/>
      <c r="AO206" s="241"/>
      <c r="AP206" s="242"/>
      <c r="AQ206" s="241"/>
      <c r="AR206" s="241"/>
      <c r="AS206" s="241"/>
      <c r="AT206" s="241"/>
      <c r="AU206" s="242"/>
      <c r="AV206" s="241"/>
      <c r="AW206" s="241"/>
      <c r="AX206" s="241"/>
      <c r="AY206" s="241"/>
      <c r="AZ206" s="242"/>
    </row>
    <row r="207" spans="2:54" hidden="1" outlineLevel="1">
      <c r="B207" s="565" t="s">
        <v>807</v>
      </c>
      <c r="C207" s="6"/>
      <c r="D207" s="6"/>
      <c r="E207" s="12"/>
      <c r="F207" s="18"/>
      <c r="G207" s="18"/>
      <c r="H207" s="19"/>
      <c r="I207" s="19"/>
      <c r="J207" s="19"/>
      <c r="K207" s="19"/>
      <c r="L207" s="18"/>
      <c r="M207" s="19"/>
      <c r="N207" s="19"/>
      <c r="O207" s="447">
        <v>0.49161081303092086</v>
      </c>
      <c r="P207" s="447">
        <v>0.37902031856251067</v>
      </c>
      <c r="Q207" s="444"/>
      <c r="R207" s="447">
        <v>0.46129722992913946</v>
      </c>
      <c r="S207" s="447">
        <v>0.4510253241605201</v>
      </c>
      <c r="T207" s="447">
        <v>0.46823438005787216</v>
      </c>
      <c r="U207" s="447">
        <v>0.44794724144420772</v>
      </c>
      <c r="V207" s="444">
        <f>V212/V29</f>
        <v>0.45689124166919648</v>
      </c>
      <c r="W207" s="447">
        <v>0.47565348481494141</v>
      </c>
      <c r="X207" s="447">
        <v>0.47037612282150731</v>
      </c>
      <c r="Y207" s="447">
        <v>0.46165114621621084</v>
      </c>
      <c r="Z207" s="447">
        <v>0.44411486827122237</v>
      </c>
      <c r="AA207" s="444">
        <f>AA212/AA29</f>
        <v>0.46182703471676817</v>
      </c>
      <c r="AB207" s="447">
        <v>0.47057506961637963</v>
      </c>
      <c r="AC207" s="447">
        <v>0.48471846825561837</v>
      </c>
      <c r="AD207" s="447">
        <v>0.47486583436899737</v>
      </c>
      <c r="AE207" s="447">
        <v>0.42628639844992422</v>
      </c>
      <c r="AF207" s="444">
        <f>AF212/AF29</f>
        <v>0.46296031778533542</v>
      </c>
      <c r="AG207" s="447">
        <v>0.3886515353805074</v>
      </c>
      <c r="AH207" s="447">
        <v>0.41729323308270672</v>
      </c>
      <c r="AI207" s="447">
        <v>0.37583286604442995</v>
      </c>
      <c r="AJ207" s="447">
        <v>0.43500845957670198</v>
      </c>
      <c r="AK207" s="444">
        <f>AK212/AK29</f>
        <v>0.40592329454993226</v>
      </c>
      <c r="AL207" s="447">
        <v>0.35603112840466922</v>
      </c>
      <c r="AM207" s="447">
        <v>0.37069645203679369</v>
      </c>
      <c r="AN207" s="243">
        <f t="shared" ref="AN207:AZ207" si="510">AN208/10000+AI207</f>
        <v>0.37566719355359252</v>
      </c>
      <c r="AO207" s="243">
        <f t="shared" si="510"/>
        <v>0.40640441421412543</v>
      </c>
      <c r="AP207" s="242">
        <f t="shared" si="510"/>
        <v>0.38190900219043117</v>
      </c>
      <c r="AQ207" s="243">
        <f t="shared" si="510"/>
        <v>0.33689670255923437</v>
      </c>
      <c r="AR207" s="243">
        <f t="shared" si="510"/>
        <v>0.35117488859130036</v>
      </c>
      <c r="AS207" s="243">
        <f t="shared" si="510"/>
        <v>0.35620143748961652</v>
      </c>
      <c r="AT207" s="243">
        <f t="shared" si="510"/>
        <v>0.38663819316016262</v>
      </c>
      <c r="AU207" s="242">
        <f t="shared" si="510"/>
        <v>0.36769126371884753</v>
      </c>
      <c r="AV207" s="243">
        <f t="shared" si="510"/>
        <v>0.32131674707370367</v>
      </c>
      <c r="AW207" s="243">
        <f t="shared" si="510"/>
        <v>0.33537132581785906</v>
      </c>
      <c r="AX207" s="243">
        <f t="shared" si="510"/>
        <v>0.34043010761340681</v>
      </c>
      <c r="AY207" s="243">
        <f t="shared" si="510"/>
        <v>0.37069332629980728</v>
      </c>
      <c r="AZ207" s="242">
        <f t="shared" si="510"/>
        <v>0.35331492636067768</v>
      </c>
    </row>
    <row r="208" spans="2:54" hidden="1" outlineLevel="1">
      <c r="B208" s="568" t="s">
        <v>843</v>
      </c>
      <c r="C208" s="6"/>
      <c r="D208" s="6"/>
      <c r="E208" s="12"/>
      <c r="F208" s="18"/>
      <c r="G208" s="18"/>
      <c r="H208" s="19"/>
      <c r="I208" s="19"/>
      <c r="J208" s="19"/>
      <c r="K208" s="19"/>
      <c r="L208" s="18"/>
      <c r="M208" s="19"/>
      <c r="N208" s="19"/>
      <c r="O208" s="447"/>
      <c r="P208" s="447"/>
      <c r="Q208" s="14"/>
      <c r="R208" s="447"/>
      <c r="S208" s="447"/>
      <c r="T208" s="15">
        <f>(T207-O207)*10000</f>
        <v>-233.76432973048699</v>
      </c>
      <c r="U208" s="15">
        <f t="shared" ref="U208" si="511">(U207-P207)*10000</f>
        <v>689.26922881697055</v>
      </c>
      <c r="V208" s="14"/>
      <c r="W208" s="15">
        <f t="shared" ref="W208" si="512">(W207-R207)*10000</f>
        <v>143.56254885801945</v>
      </c>
      <c r="X208" s="15">
        <f t="shared" ref="X208" si="513">(X207-S207)*10000</f>
        <v>193.50798660987212</v>
      </c>
      <c r="Y208" s="15">
        <f t="shared" ref="Y208" si="514">(Y207-T207)*10000</f>
        <v>-65.832338416613183</v>
      </c>
      <c r="Z208" s="15">
        <f t="shared" ref="Z208:AA208" si="515">(Z207-U207)*10000</f>
        <v>-38.323731729853485</v>
      </c>
      <c r="AA208" s="14">
        <f t="shared" si="515"/>
        <v>49.357930475716906</v>
      </c>
      <c r="AB208" s="15">
        <f t="shared" ref="AB208" si="516">(AB207-W207)*10000</f>
        <v>-50.784151985617811</v>
      </c>
      <c r="AC208" s="15">
        <f t="shared" ref="AC208" si="517">(AC207-X207)*10000</f>
        <v>143.42345434111058</v>
      </c>
      <c r="AD208" s="15">
        <f t="shared" ref="AD208" si="518">(AD207-Y207)*10000</f>
        <v>132.14688152786536</v>
      </c>
      <c r="AE208" s="15">
        <f t="shared" ref="AE208:AF208" si="519">(AE207-Z207)*10000</f>
        <v>-178.28469821298154</v>
      </c>
      <c r="AF208" s="14">
        <f t="shared" si="519"/>
        <v>11.33283068567248</v>
      </c>
      <c r="AG208" s="15">
        <f t="shared" ref="AG208" si="520">(AG207-AB207)*10000</f>
        <v>-819.23534235872228</v>
      </c>
      <c r="AH208" s="15">
        <f t="shared" ref="AH208" si="521">(AH207-AC207)*10000</f>
        <v>-674.25235172911653</v>
      </c>
      <c r="AI208" s="15">
        <f t="shared" ref="AI208" si="522">(AI207-AD207)*10000</f>
        <v>-990.32968324567423</v>
      </c>
      <c r="AJ208" s="15">
        <f t="shared" ref="AJ208:AK208" si="523">(AJ207-AE207)*10000</f>
        <v>87.220611267777585</v>
      </c>
      <c r="AK208" s="14">
        <f t="shared" si="523"/>
        <v>-570.3702323540316</v>
      </c>
      <c r="AL208" s="29">
        <f>(AL207-AG207)*10000</f>
        <v>-326.20406975838176</v>
      </c>
      <c r="AM208" s="29">
        <f>(AM207-AH207)*10000</f>
        <v>-465.96781045913025</v>
      </c>
      <c r="AN208" s="29">
        <f t="shared" ref="AN208:AZ208" si="524">AN231</f>
        <v>-1.6567249083741444</v>
      </c>
      <c r="AO208" s="29">
        <f t="shared" si="524"/>
        <v>-286.04045362576522</v>
      </c>
      <c r="AP208" s="463">
        <f t="shared" si="524"/>
        <v>-240.14292359501087</v>
      </c>
      <c r="AQ208" s="29">
        <f t="shared" si="524"/>
        <v>-191.34425845434833</v>
      </c>
      <c r="AR208" s="29">
        <f t="shared" si="524"/>
        <v>-195.21563445493348</v>
      </c>
      <c r="AS208" s="29">
        <f t="shared" si="524"/>
        <v>-194.65756063975974</v>
      </c>
      <c r="AT208" s="29">
        <f t="shared" si="524"/>
        <v>-197.66221053962792</v>
      </c>
      <c r="AU208" s="463">
        <f t="shared" si="524"/>
        <v>-142.17738471583613</v>
      </c>
      <c r="AV208" s="29">
        <f t="shared" si="524"/>
        <v>-155.79955485530729</v>
      </c>
      <c r="AW208" s="29">
        <f t="shared" si="524"/>
        <v>-158.03562773441308</v>
      </c>
      <c r="AX208" s="29">
        <f t="shared" si="524"/>
        <v>-157.71329876209734</v>
      </c>
      <c r="AY208" s="29">
        <f t="shared" si="524"/>
        <v>-159.4486686035533</v>
      </c>
      <c r="AZ208" s="463">
        <f t="shared" si="524"/>
        <v>-143.76337358169852</v>
      </c>
    </row>
    <row r="209" spans="2:54" hidden="1" outlineLevel="1">
      <c r="B209" s="565" t="s">
        <v>808</v>
      </c>
      <c r="C209" s="6"/>
      <c r="D209" s="6"/>
      <c r="E209" s="12"/>
      <c r="F209" s="18"/>
      <c r="G209" s="18"/>
      <c r="H209" s="19"/>
      <c r="I209" s="19"/>
      <c r="J209" s="19"/>
      <c r="K209" s="19"/>
      <c r="L209" s="18"/>
      <c r="M209" s="19"/>
      <c r="N209" s="19"/>
      <c r="O209" s="447">
        <v>0</v>
      </c>
      <c r="P209" s="447">
        <v>0</v>
      </c>
      <c r="Q209" s="444"/>
      <c r="R209" s="447">
        <v>0</v>
      </c>
      <c r="S209" s="447">
        <v>0</v>
      </c>
      <c r="T209" s="447">
        <v>0</v>
      </c>
      <c r="U209" s="447">
        <v>0</v>
      </c>
      <c r="V209" s="444">
        <f>V213/V36</f>
        <v>0</v>
      </c>
      <c r="W209" s="447">
        <v>0</v>
      </c>
      <c r="X209" s="447">
        <v>0</v>
      </c>
      <c r="Y209" s="447">
        <v>0</v>
      </c>
      <c r="Z209" s="447">
        <v>0</v>
      </c>
      <c r="AA209" s="444">
        <f>AA213/AA36</f>
        <v>0</v>
      </c>
      <c r="AB209" s="447">
        <v>0</v>
      </c>
      <c r="AC209" s="447">
        <v>0</v>
      </c>
      <c r="AD209" s="447">
        <v>0</v>
      </c>
      <c r="AE209" s="447">
        <v>0</v>
      </c>
      <c r="AF209" s="444">
        <f>AF213/AF36</f>
        <v>0</v>
      </c>
      <c r="AG209" s="447">
        <v>0</v>
      </c>
      <c r="AH209" s="447">
        <v>0</v>
      </c>
      <c r="AI209" s="447">
        <v>0</v>
      </c>
      <c r="AJ209" s="447">
        <v>0</v>
      </c>
      <c r="AK209" s="444">
        <f>AK213/AK36</f>
        <v>0</v>
      </c>
      <c r="AL209" s="447">
        <v>0</v>
      </c>
      <c r="AM209" s="447">
        <v>0</v>
      </c>
      <c r="AN209" s="447">
        <v>0</v>
      </c>
      <c r="AO209" s="447">
        <v>0</v>
      </c>
      <c r="AP209" s="531">
        <v>0</v>
      </c>
      <c r="AQ209" s="447">
        <v>0</v>
      </c>
      <c r="AR209" s="447">
        <v>0</v>
      </c>
      <c r="AS209" s="447">
        <v>0</v>
      </c>
      <c r="AT209" s="447">
        <v>0</v>
      </c>
      <c r="AU209" s="531">
        <v>0</v>
      </c>
      <c r="AV209" s="447">
        <v>0</v>
      </c>
      <c r="AW209" s="447">
        <v>0</v>
      </c>
      <c r="AX209" s="447">
        <v>0</v>
      </c>
      <c r="AY209" s="447">
        <v>0</v>
      </c>
      <c r="AZ209" s="531">
        <v>0</v>
      </c>
    </row>
    <row r="210" spans="2:54" hidden="1" outlineLevel="1">
      <c r="B210" s="565" t="s">
        <v>811</v>
      </c>
      <c r="C210" s="6"/>
      <c r="D210" s="6"/>
      <c r="E210" s="12"/>
      <c r="F210" s="18"/>
      <c r="G210" s="18"/>
      <c r="H210" s="19"/>
      <c r="I210" s="19"/>
      <c r="J210" s="19"/>
      <c r="K210" s="19"/>
      <c r="L210" s="18"/>
      <c r="M210" s="19"/>
      <c r="N210" s="19"/>
      <c r="O210" s="447">
        <v>0.3</v>
      </c>
      <c r="P210" s="447">
        <v>0.3</v>
      </c>
      <c r="Q210" s="444"/>
      <c r="R210" s="447">
        <v>0.3</v>
      </c>
      <c r="S210" s="447">
        <v>0.3</v>
      </c>
      <c r="T210" s="447">
        <v>0.3</v>
      </c>
      <c r="U210" s="447">
        <v>0.3</v>
      </c>
      <c r="V210" s="444">
        <f>V214/V43</f>
        <v>0.3</v>
      </c>
      <c r="W210" s="447">
        <v>0.3</v>
      </c>
      <c r="X210" s="447">
        <v>0.3</v>
      </c>
      <c r="Y210" s="447">
        <v>0.3</v>
      </c>
      <c r="Z210" s="447">
        <v>0.3</v>
      </c>
      <c r="AA210" s="444">
        <f>AA214/AA43</f>
        <v>0.3</v>
      </c>
      <c r="AB210" s="447">
        <v>0.3</v>
      </c>
      <c r="AC210" s="447">
        <v>0.3</v>
      </c>
      <c r="AD210" s="447">
        <v>0.3</v>
      </c>
      <c r="AE210" s="447">
        <v>0.3</v>
      </c>
      <c r="AF210" s="444">
        <f>AF214/AF43</f>
        <v>0.3</v>
      </c>
      <c r="AG210" s="447">
        <v>0.3</v>
      </c>
      <c r="AH210" s="447">
        <v>0.3</v>
      </c>
      <c r="AI210" s="447">
        <v>0.3</v>
      </c>
      <c r="AJ210" s="447">
        <v>0.3</v>
      </c>
      <c r="AK210" s="444">
        <f>AK214/AK43</f>
        <v>0.29999999999999993</v>
      </c>
      <c r="AL210" s="447">
        <v>0.3</v>
      </c>
      <c r="AM210" s="447">
        <v>0.3</v>
      </c>
      <c r="AN210" s="447">
        <v>0.3</v>
      </c>
      <c r="AO210" s="447">
        <v>0.3</v>
      </c>
      <c r="AP210" s="531">
        <v>0.3</v>
      </c>
      <c r="AQ210" s="447">
        <v>0.3</v>
      </c>
      <c r="AR210" s="447">
        <v>0.3</v>
      </c>
      <c r="AS210" s="447">
        <v>0.3</v>
      </c>
      <c r="AT210" s="447">
        <v>0.3</v>
      </c>
      <c r="AU210" s="531">
        <v>0.3</v>
      </c>
      <c r="AV210" s="447">
        <v>0.3</v>
      </c>
      <c r="AW210" s="447">
        <v>0.3</v>
      </c>
      <c r="AX210" s="447">
        <v>0.3</v>
      </c>
      <c r="AY210" s="447">
        <v>0.3</v>
      </c>
      <c r="AZ210" s="531">
        <v>0.3</v>
      </c>
    </row>
    <row r="211" spans="2:54" hidden="1" outlineLevel="1">
      <c r="B211" s="565"/>
      <c r="C211" s="6"/>
      <c r="D211" s="6"/>
      <c r="E211" s="12"/>
      <c r="F211" s="18"/>
      <c r="G211" s="18"/>
      <c r="H211" s="19"/>
      <c r="I211" s="19"/>
      <c r="J211" s="19"/>
      <c r="K211" s="19"/>
      <c r="L211" s="18"/>
      <c r="M211" s="19"/>
      <c r="N211" s="19"/>
      <c r="O211" s="19"/>
      <c r="P211" s="19"/>
      <c r="Q211" s="177"/>
      <c r="R211" s="19"/>
      <c r="S211" s="19"/>
      <c r="T211" s="19"/>
      <c r="U211" s="19"/>
      <c r="V211" s="177"/>
      <c r="W211" s="19"/>
      <c r="X211" s="19"/>
      <c r="Y211" s="19"/>
      <c r="Z211" s="19"/>
      <c r="AA211" s="177"/>
      <c r="AB211" s="19"/>
      <c r="AC211" s="19"/>
      <c r="AD211" s="19"/>
      <c r="AE211" s="19"/>
      <c r="AF211" s="177"/>
      <c r="AG211" s="19"/>
      <c r="AH211" s="19"/>
      <c r="AI211" s="19"/>
      <c r="AJ211" s="19"/>
      <c r="AK211" s="177"/>
      <c r="AL211" s="19"/>
      <c r="AM211" s="19"/>
      <c r="AN211" s="241"/>
      <c r="AO211" s="241"/>
      <c r="AP211" s="242"/>
      <c r="AQ211" s="241"/>
      <c r="AR211" s="241"/>
      <c r="AS211" s="241"/>
      <c r="AT211" s="241"/>
      <c r="AU211" s="242"/>
      <c r="AV211" s="241"/>
      <c r="AW211" s="241"/>
      <c r="AX211" s="241"/>
      <c r="AY211" s="241"/>
      <c r="AZ211" s="242"/>
    </row>
    <row r="212" spans="2:54" s="15" customFormat="1" hidden="1" outlineLevel="1">
      <c r="B212" s="569" t="s">
        <v>809</v>
      </c>
      <c r="C212" s="246"/>
      <c r="D212" s="246"/>
      <c r="E212" s="14"/>
      <c r="F212" s="28"/>
      <c r="G212" s="28"/>
      <c r="H212" s="29"/>
      <c r="I212" s="29"/>
      <c r="J212" s="29"/>
      <c r="K212" s="29"/>
      <c r="L212" s="28"/>
      <c r="M212" s="29"/>
      <c r="N212" s="29"/>
      <c r="O212" s="29">
        <f>O207*O29</f>
        <v>331.5281993724804</v>
      </c>
      <c r="P212" s="29">
        <f>P207*P29</f>
        <v>278.89465459245707</v>
      </c>
      <c r="Q212" s="14"/>
      <c r="R212" s="29">
        <f>R207*R29</f>
        <v>302.02628950556584</v>
      </c>
      <c r="S212" s="29">
        <f>S207*S29</f>
        <v>290.64496910841297</v>
      </c>
      <c r="T212" s="29">
        <f>T207*T29</f>
        <v>319.36225292658264</v>
      </c>
      <c r="U212" s="29">
        <f>U207*U29</f>
        <v>342.63912682560363</v>
      </c>
      <c r="V212" s="14">
        <f>SUM(R212:U212)</f>
        <v>1254.6726383661651</v>
      </c>
      <c r="W212" s="29">
        <f>W207*W29</f>
        <v>313.03440050507766</v>
      </c>
      <c r="X212" s="29">
        <f>X207*X29</f>
        <v>319.34216442431796</v>
      </c>
      <c r="Y212" s="29">
        <f>Y207*Y29</f>
        <v>324.33306240418904</v>
      </c>
      <c r="Z212" s="29">
        <f>Z207*Z29</f>
        <v>370.59022685742542</v>
      </c>
      <c r="AA212" s="14">
        <f>SUM(W212:Z212)</f>
        <v>1327.2998541910101</v>
      </c>
      <c r="AB212" s="29">
        <f>AB207*AB29</f>
        <v>370.97591943957968</v>
      </c>
      <c r="AC212" s="29">
        <f>AC207*AC29</f>
        <v>349.38692098092645</v>
      </c>
      <c r="AD212" s="29">
        <f>AD207*AD29</f>
        <v>349.34337662337623</v>
      </c>
      <c r="AE212" s="29">
        <f>AE207*AE29</f>
        <v>353.88239757207896</v>
      </c>
      <c r="AF212" s="14">
        <f>SUM(AB212:AE212)</f>
        <v>1423.5886146159614</v>
      </c>
      <c r="AG212" s="29">
        <f>AG207*AG29</f>
        <v>291.10000000000002</v>
      </c>
      <c r="AH212" s="29">
        <f>AH207*AH29</f>
        <v>332.99999999999994</v>
      </c>
      <c r="AI212" s="29">
        <f>AI207*AI29</f>
        <v>296.58933002481388</v>
      </c>
      <c r="AJ212" s="29">
        <f>AJ207*AJ29</f>
        <v>412.93434343434342</v>
      </c>
      <c r="AK212" s="14">
        <f>SUM(AG212:AJ212)</f>
        <v>1333.6236734591571</v>
      </c>
      <c r="AL212" s="29">
        <f>AL207*AL29</f>
        <v>274.49999999999994</v>
      </c>
      <c r="AM212" s="29">
        <f>AM207*AM29</f>
        <v>282.10000000000002</v>
      </c>
      <c r="AN212" s="29">
        <f>AN207*AN29</f>
        <v>286.5870838003346</v>
      </c>
      <c r="AO212" s="29">
        <f>AO207*AO29</f>
        <v>372.93598741976655</v>
      </c>
      <c r="AP212" s="463">
        <f>SUM(AL212:AO212)</f>
        <v>1216.1230712201009</v>
      </c>
      <c r="AQ212" s="29">
        <f>AQ207*AQ29</f>
        <v>240.42731395808178</v>
      </c>
      <c r="AR212" s="29">
        <f>AR207*AR29</f>
        <v>267.01248660973806</v>
      </c>
      <c r="AS212" s="29">
        <f>AS207*AS29</f>
        <v>267.83150485645228</v>
      </c>
      <c r="AT212" s="29">
        <f>AT207*AT29</f>
        <v>349.69810650360841</v>
      </c>
      <c r="AU212" s="463">
        <f>SUM(AQ212:AT212)</f>
        <v>1124.9694119278806</v>
      </c>
      <c r="AV212" s="29">
        <f>AV207*AV29</f>
        <v>223.84351649096672</v>
      </c>
      <c r="AW212" s="29">
        <f>AW207*AW29</f>
        <v>248.9190641842346</v>
      </c>
      <c r="AX212" s="29">
        <f>AX207*AX29</f>
        <v>249.872274276669</v>
      </c>
      <c r="AY212" s="29">
        <f>AY207*AY29</f>
        <v>327.28598576765512</v>
      </c>
      <c r="AZ212" s="463">
        <f>SUM(AV212:AY212)</f>
        <v>1049.9208407195256</v>
      </c>
      <c r="BB212" s="247"/>
    </row>
    <row r="213" spans="2:54" hidden="1" outlineLevel="1">
      <c r="B213" s="565" t="s">
        <v>810</v>
      </c>
      <c r="C213" s="6"/>
      <c r="D213" s="6"/>
      <c r="E213" s="12"/>
      <c r="F213" s="18"/>
      <c r="G213" s="18"/>
      <c r="H213" s="19"/>
      <c r="I213" s="19"/>
      <c r="J213" s="19"/>
      <c r="K213" s="19"/>
      <c r="L213" s="18"/>
      <c r="M213" s="19"/>
      <c r="N213" s="19"/>
      <c r="O213" s="500">
        <f>O209*O36</f>
        <v>0</v>
      </c>
      <c r="P213" s="500">
        <f>P209*P36</f>
        <v>0</v>
      </c>
      <c r="Q213" s="558"/>
      <c r="R213" s="500">
        <f>R209*R36</f>
        <v>0</v>
      </c>
      <c r="S213" s="500">
        <f>S209*S36</f>
        <v>0</v>
      </c>
      <c r="T213" s="500">
        <f>T209*T36</f>
        <v>0</v>
      </c>
      <c r="U213" s="500">
        <f>U209*U36</f>
        <v>0</v>
      </c>
      <c r="V213" s="558">
        <f>SUM(R213:U213)</f>
        <v>0</v>
      </c>
      <c r="W213" s="500">
        <f>W209*W36</f>
        <v>0</v>
      </c>
      <c r="X213" s="500">
        <f>X209*X36</f>
        <v>0</v>
      </c>
      <c r="Y213" s="500">
        <f>Y209*Y36</f>
        <v>0</v>
      </c>
      <c r="Z213" s="500">
        <f>Z209*Z36</f>
        <v>0</v>
      </c>
      <c r="AA213" s="558">
        <f>SUM(W213:Z213)</f>
        <v>0</v>
      </c>
      <c r="AB213" s="500">
        <f>AB209*AB36</f>
        <v>0</v>
      </c>
      <c r="AC213" s="500">
        <f>AC209*AC36</f>
        <v>0</v>
      </c>
      <c r="AD213" s="500">
        <f>AD209*AD36</f>
        <v>0</v>
      </c>
      <c r="AE213" s="500">
        <f>AE209*AE36</f>
        <v>0</v>
      </c>
      <c r="AF213" s="558">
        <f>SUM(AB213:AE213)</f>
        <v>0</v>
      </c>
      <c r="AG213" s="500">
        <f>AG209*AG36</f>
        <v>0</v>
      </c>
      <c r="AH213" s="500">
        <f>AH209*AH36</f>
        <v>0</v>
      </c>
      <c r="AI213" s="500">
        <f>AI209*AI36</f>
        <v>0</v>
      </c>
      <c r="AJ213" s="500">
        <f>AJ209*AJ36</f>
        <v>0</v>
      </c>
      <c r="AK213" s="558">
        <f>SUM(AG213:AJ213)</f>
        <v>0</v>
      </c>
      <c r="AL213" s="500">
        <f>AL209*AL36</f>
        <v>0</v>
      </c>
      <c r="AM213" s="500">
        <f>AM209*AM36</f>
        <v>0</v>
      </c>
      <c r="AN213" s="500">
        <f>AN209*AN36</f>
        <v>0</v>
      </c>
      <c r="AO213" s="500">
        <f>AO209*AO36</f>
        <v>0</v>
      </c>
      <c r="AP213" s="463">
        <f>SUM(AL213:AO213)</f>
        <v>0</v>
      </c>
      <c r="AQ213" s="500">
        <f>AQ209*AQ36</f>
        <v>0</v>
      </c>
      <c r="AR213" s="500">
        <f>AR209*AR36</f>
        <v>0</v>
      </c>
      <c r="AS213" s="500">
        <f>AS209*AS36</f>
        <v>0</v>
      </c>
      <c r="AT213" s="500">
        <f>AT209*AT36</f>
        <v>0</v>
      </c>
      <c r="AU213" s="463">
        <f>SUM(AQ213:AT213)</f>
        <v>0</v>
      </c>
      <c r="AV213" s="500">
        <f>AV209*AV36</f>
        <v>0</v>
      </c>
      <c r="AW213" s="500">
        <f>AW209*AW36</f>
        <v>0</v>
      </c>
      <c r="AX213" s="500">
        <f>AX209*AX36</f>
        <v>0</v>
      </c>
      <c r="AY213" s="500">
        <f>AY209*AY36</f>
        <v>0</v>
      </c>
      <c r="AZ213" s="463">
        <f>SUM(AV213:AY213)</f>
        <v>0</v>
      </c>
    </row>
    <row r="214" spans="2:54" hidden="1" outlineLevel="1">
      <c r="B214" s="565" t="s">
        <v>812</v>
      </c>
      <c r="C214" s="6"/>
      <c r="D214" s="6"/>
      <c r="E214" s="12"/>
      <c r="F214" s="18"/>
      <c r="G214" s="18"/>
      <c r="H214" s="19"/>
      <c r="I214" s="19"/>
      <c r="J214" s="19"/>
      <c r="K214" s="19"/>
      <c r="L214" s="18"/>
      <c r="M214" s="19"/>
      <c r="N214" s="19"/>
      <c r="O214" s="500">
        <f>O210*O43</f>
        <v>18.071800627519622</v>
      </c>
      <c r="P214" s="500">
        <f>P210*P43</f>
        <v>22.865345407543</v>
      </c>
      <c r="Q214" s="558"/>
      <c r="R214" s="500">
        <f>R210*R43</f>
        <v>6.173710494434526</v>
      </c>
      <c r="S214" s="500">
        <f>S210*S43</f>
        <v>13.87503089158721</v>
      </c>
      <c r="T214" s="500">
        <f>T210*T43</f>
        <v>18.277747073417281</v>
      </c>
      <c r="U214" s="500">
        <f>U210*U43</f>
        <v>23.768958714026653</v>
      </c>
      <c r="V214" s="558">
        <f>SUM(R214:U214)</f>
        <v>62.095447173465672</v>
      </c>
      <c r="W214" s="500">
        <f>W210*W43</f>
        <v>6.205599494922307</v>
      </c>
      <c r="X214" s="500">
        <f>X210*X43</f>
        <v>14.617835575682284</v>
      </c>
      <c r="Y214" s="500">
        <f>Y210*Y43</f>
        <v>18.826937595811039</v>
      </c>
      <c r="Z214" s="500">
        <f>Z210*Z43</f>
        <v>25.929773142574536</v>
      </c>
      <c r="AA214" s="558">
        <f>SUM(W214:Z214)</f>
        <v>65.580145808990167</v>
      </c>
      <c r="AB214" s="500">
        <f>AB210*AB43</f>
        <v>17.02408056042032</v>
      </c>
      <c r="AC214" s="500">
        <f>AC210*AC43</f>
        <v>15.613079019073552</v>
      </c>
      <c r="AD214" s="500">
        <f>AD210*AD43</f>
        <v>16.656623376623383</v>
      </c>
      <c r="AE214" s="500">
        <f>AE210*AE43</f>
        <v>19.117602427921106</v>
      </c>
      <c r="AF214" s="558">
        <f>SUM(AB214:AE214)</f>
        <v>68.411385384038368</v>
      </c>
      <c r="AG214" s="500">
        <f>AG210*AG43</f>
        <v>9.9</v>
      </c>
      <c r="AH214" s="500">
        <f>AH210*AH43</f>
        <v>9</v>
      </c>
      <c r="AI214" s="500">
        <f>AI210*AI43</f>
        <v>18.410669975186092</v>
      </c>
      <c r="AJ214" s="500">
        <f>AJ210*AJ43</f>
        <v>22.065656565656582</v>
      </c>
      <c r="AK214" s="558">
        <f>SUM(AG214:AJ214)</f>
        <v>59.376326540842669</v>
      </c>
      <c r="AL214" s="500">
        <f>AL210*AL43</f>
        <v>10.5</v>
      </c>
      <c r="AM214" s="500">
        <f>AM210*AM43</f>
        <v>9.9</v>
      </c>
      <c r="AN214" s="500">
        <f>AN210*AN43</f>
        <v>18.410669975186092</v>
      </c>
      <c r="AO214" s="500">
        <f>AO210*AO43</f>
        <v>22.065656565656582</v>
      </c>
      <c r="AP214" s="463">
        <f>SUM(AL214:AO214)</f>
        <v>60.876326540842669</v>
      </c>
      <c r="AQ214" s="500">
        <f>AQ210*AQ43</f>
        <v>10.5</v>
      </c>
      <c r="AR214" s="500">
        <f>AR210*AR43</f>
        <v>9.9</v>
      </c>
      <c r="AS214" s="500">
        <f>AS210*AS43</f>
        <v>18.410669975186092</v>
      </c>
      <c r="AT214" s="500">
        <f>AT210*AT43</f>
        <v>22.065656565656582</v>
      </c>
      <c r="AU214" s="463">
        <f>SUM(AQ214:AT214)</f>
        <v>60.876326540842669</v>
      </c>
      <c r="AV214" s="500">
        <f>AV210*AV43</f>
        <v>10.5</v>
      </c>
      <c r="AW214" s="500">
        <f>AW210*AW43</f>
        <v>9.9</v>
      </c>
      <c r="AX214" s="500">
        <f>AX210*AX43</f>
        <v>18.410669975186092</v>
      </c>
      <c r="AY214" s="500">
        <f>AY210*AY43</f>
        <v>22.065656565656582</v>
      </c>
      <c r="AZ214" s="463">
        <f>SUM(AV214:AY214)</f>
        <v>60.876326540842669</v>
      </c>
    </row>
    <row r="215" spans="2:54" hidden="1" outlineLevel="1">
      <c r="B215" s="565"/>
      <c r="C215" s="6"/>
      <c r="D215" s="6"/>
      <c r="E215" s="12"/>
      <c r="F215" s="18"/>
      <c r="G215" s="18"/>
      <c r="H215" s="19"/>
      <c r="I215" s="19"/>
      <c r="J215" s="19"/>
      <c r="K215" s="19"/>
      <c r="L215" s="18"/>
      <c r="M215" s="19"/>
      <c r="N215" s="19"/>
      <c r="O215" s="19"/>
      <c r="P215" s="19"/>
      <c r="Q215" s="177"/>
      <c r="R215" s="19"/>
      <c r="S215" s="19"/>
      <c r="T215" s="19"/>
      <c r="U215" s="19"/>
      <c r="V215" s="177"/>
      <c r="W215" s="19"/>
      <c r="X215" s="19"/>
      <c r="Y215" s="19"/>
      <c r="Z215" s="19"/>
      <c r="AA215" s="177"/>
      <c r="AB215" s="19"/>
      <c r="AC215" s="19"/>
      <c r="AD215" s="19"/>
      <c r="AE215" s="19"/>
      <c r="AF215" s="177"/>
      <c r="AG215" s="19"/>
      <c r="AH215" s="19"/>
      <c r="AI215" s="19"/>
      <c r="AJ215" s="19"/>
      <c r="AK215" s="177"/>
      <c r="AL215" s="19"/>
      <c r="AM215" s="19"/>
      <c r="AN215" s="241"/>
      <c r="AO215" s="241"/>
      <c r="AP215" s="242"/>
      <c r="AQ215" s="241"/>
      <c r="AR215" s="241"/>
      <c r="AS215" s="241"/>
      <c r="AT215" s="241"/>
      <c r="AU215" s="242"/>
      <c r="AV215" s="241"/>
      <c r="AW215" s="241"/>
      <c r="AX215" s="241"/>
      <c r="AY215" s="241"/>
      <c r="AZ215" s="242"/>
    </row>
    <row r="216" spans="2:54" hidden="1" outlineLevel="1">
      <c r="B216" s="565" t="s">
        <v>813</v>
      </c>
      <c r="C216" s="6"/>
      <c r="D216" s="6"/>
      <c r="E216" s="12"/>
      <c r="F216" s="18"/>
      <c r="G216" s="18"/>
      <c r="H216" s="19"/>
      <c r="I216" s="19"/>
      <c r="J216" s="19"/>
      <c r="K216" s="19"/>
      <c r="L216" s="18"/>
      <c r="M216" s="19"/>
      <c r="N216" s="19"/>
      <c r="O216" s="500">
        <f>SUM(O212:O214)</f>
        <v>349.6</v>
      </c>
      <c r="P216" s="500">
        <f>SUM(P212:P214)</f>
        <v>301.76000000000005</v>
      </c>
      <c r="Q216" s="558"/>
      <c r="R216" s="500">
        <f>SUM(R212:R214)</f>
        <v>308.20000000000039</v>
      </c>
      <c r="S216" s="500">
        <f t="shared" ref="S216:U216" si="525">SUM(S212:S214)</f>
        <v>304.52000000000015</v>
      </c>
      <c r="T216" s="500">
        <f t="shared" si="525"/>
        <v>337.63999999999993</v>
      </c>
      <c r="U216" s="500">
        <f t="shared" si="525"/>
        <v>366.40808553963029</v>
      </c>
      <c r="V216" s="558">
        <f>SUM(V212:V214)</f>
        <v>1316.7680855396306</v>
      </c>
      <c r="W216" s="500">
        <f t="shared" ref="W216:Z216" si="526">SUM(W212:W214)</f>
        <v>319.23999999999995</v>
      </c>
      <c r="X216" s="500">
        <f t="shared" si="526"/>
        <v>333.96000000000026</v>
      </c>
      <c r="Y216" s="500">
        <f t="shared" si="526"/>
        <v>343.16000000000008</v>
      </c>
      <c r="Z216" s="500">
        <f t="shared" si="526"/>
        <v>396.52</v>
      </c>
      <c r="AA216" s="14">
        <f>SUM(AA212:AA214)</f>
        <v>1392.8800000000003</v>
      </c>
      <c r="AB216" s="29">
        <f t="shared" ref="AB216:AE216" si="527">SUM(AB212:AB214)</f>
        <v>388</v>
      </c>
      <c r="AC216" s="29">
        <f t="shared" si="527"/>
        <v>365</v>
      </c>
      <c r="AD216" s="29">
        <f t="shared" si="527"/>
        <v>365.9999999999996</v>
      </c>
      <c r="AE216" s="29">
        <f t="shared" si="527"/>
        <v>373.00000000000006</v>
      </c>
      <c r="AF216" s="14">
        <f>SUM(AF212:AF214)</f>
        <v>1491.9999999999998</v>
      </c>
      <c r="AG216" s="29">
        <f t="shared" ref="AG216:AJ216" si="528">SUM(AG212:AG214)</f>
        <v>301</v>
      </c>
      <c r="AH216" s="29">
        <f t="shared" si="528"/>
        <v>341.99999999999994</v>
      </c>
      <c r="AI216" s="29">
        <f t="shared" si="528"/>
        <v>314.99999999999994</v>
      </c>
      <c r="AJ216" s="29">
        <f t="shared" si="528"/>
        <v>435</v>
      </c>
      <c r="AK216" s="14">
        <f>SUM(AK212:AK214)</f>
        <v>1392.9999999999998</v>
      </c>
      <c r="AL216" s="29">
        <f t="shared" ref="AL216:AM216" si="529">SUM(AL212:AL214)</f>
        <v>284.99999999999994</v>
      </c>
      <c r="AM216" s="29">
        <f t="shared" si="529"/>
        <v>292</v>
      </c>
      <c r="AN216" s="29">
        <f>SUM(AN212:AN214)</f>
        <v>304.99775377552066</v>
      </c>
      <c r="AO216" s="29">
        <f>SUM(AO212:AO214)</f>
        <v>395.00164398542313</v>
      </c>
      <c r="AP216" s="463">
        <f>SUM(AL216:AO216)</f>
        <v>1276.9993977609438</v>
      </c>
      <c r="AQ216" s="29">
        <f>SUM(AQ212:AQ214)</f>
        <v>250.92731395808178</v>
      </c>
      <c r="AR216" s="29">
        <f>SUM(AR212:AR214)</f>
        <v>276.91248660973804</v>
      </c>
      <c r="AS216" s="29">
        <f>SUM(AS212:AS214)</f>
        <v>286.24217483163835</v>
      </c>
      <c r="AT216" s="29">
        <f>SUM(AT212:AT214)</f>
        <v>371.763763069265</v>
      </c>
      <c r="AU216" s="463">
        <f>SUM(AQ216:AT216)</f>
        <v>1185.8457384687231</v>
      </c>
      <c r="AV216" s="29">
        <f>SUM(AV212:AV214)</f>
        <v>234.34351649096672</v>
      </c>
      <c r="AW216" s="29">
        <f>SUM(AW212:AW214)</f>
        <v>258.81906418423461</v>
      </c>
      <c r="AX216" s="29">
        <f>SUM(AX212:AX214)</f>
        <v>268.2829442518551</v>
      </c>
      <c r="AY216" s="29">
        <f>SUM(AY212:AY214)</f>
        <v>349.3516423333117</v>
      </c>
      <c r="AZ216" s="463">
        <f>SUM(AV216:AY216)</f>
        <v>1110.797167260368</v>
      </c>
    </row>
    <row r="217" spans="2:54" s="60" customFormat="1" hidden="1" outlineLevel="1">
      <c r="B217" s="570" t="s">
        <v>814</v>
      </c>
      <c r="C217" s="518"/>
      <c r="D217" s="518"/>
      <c r="E217" s="63"/>
      <c r="F217" s="63"/>
      <c r="G217" s="63"/>
      <c r="L217" s="63"/>
      <c r="O217" s="60">
        <f>O216/O309-1</f>
        <v>0</v>
      </c>
      <c r="P217" s="60">
        <f>P216/P309-1</f>
        <v>0</v>
      </c>
      <c r="Q217" s="63"/>
      <c r="R217" s="60">
        <f>R216/R309-1</f>
        <v>0</v>
      </c>
      <c r="S217" s="60">
        <f>S216/S309-1</f>
        <v>0</v>
      </c>
      <c r="T217" s="60">
        <f>T216/T309-1</f>
        <v>0</v>
      </c>
      <c r="U217" s="60">
        <v>0</v>
      </c>
      <c r="V217" s="63">
        <f t="shared" ref="V217:AM217" si="530">V216/V309-1</f>
        <v>2.0149435634533752E-2</v>
      </c>
      <c r="W217" s="60">
        <f t="shared" si="530"/>
        <v>0</v>
      </c>
      <c r="X217" s="60">
        <f t="shared" si="530"/>
        <v>0</v>
      </c>
      <c r="Y217" s="60">
        <f t="shared" si="530"/>
        <v>0</v>
      </c>
      <c r="Z217" s="60">
        <f t="shared" si="530"/>
        <v>0</v>
      </c>
      <c r="AA217" s="63">
        <f t="shared" si="530"/>
        <v>0</v>
      </c>
      <c r="AB217" s="60">
        <f t="shared" si="530"/>
        <v>0</v>
      </c>
      <c r="AC217" s="60">
        <f t="shared" si="530"/>
        <v>0</v>
      </c>
      <c r="AD217" s="60">
        <f t="shared" si="530"/>
        <v>-1.1102230246251565E-15</v>
      </c>
      <c r="AE217" s="60">
        <f t="shared" si="530"/>
        <v>0</v>
      </c>
      <c r="AF217" s="63">
        <f t="shared" si="530"/>
        <v>0</v>
      </c>
      <c r="AG217" s="60">
        <f t="shared" si="530"/>
        <v>0</v>
      </c>
      <c r="AH217" s="60">
        <f t="shared" si="530"/>
        <v>0</v>
      </c>
      <c r="AI217" s="60">
        <f t="shared" si="530"/>
        <v>0</v>
      </c>
      <c r="AJ217" s="60">
        <f t="shared" si="530"/>
        <v>0</v>
      </c>
      <c r="AK217" s="63">
        <f t="shared" si="530"/>
        <v>0</v>
      </c>
      <c r="AL217" s="60">
        <f t="shared" si="530"/>
        <v>0</v>
      </c>
      <c r="AM217" s="60">
        <f t="shared" si="530"/>
        <v>0</v>
      </c>
      <c r="AN217" s="519"/>
      <c r="AO217" s="519"/>
      <c r="AP217" s="207"/>
      <c r="AQ217" s="519"/>
      <c r="AR217" s="519"/>
      <c r="AS217" s="519"/>
      <c r="AT217" s="519"/>
      <c r="AU217" s="207"/>
      <c r="AV217" s="519"/>
      <c r="AW217" s="519"/>
      <c r="AX217" s="519"/>
      <c r="AY217" s="519"/>
      <c r="AZ217" s="207"/>
      <c r="BB217" s="519"/>
    </row>
    <row r="218" spans="2:54" hidden="1" outlineLevel="1">
      <c r="B218" s="565"/>
      <c r="C218" s="6"/>
      <c r="D218" s="6"/>
      <c r="E218" s="12"/>
      <c r="F218" s="18"/>
      <c r="G218" s="18"/>
      <c r="H218" s="19"/>
      <c r="I218" s="19"/>
      <c r="J218" s="19"/>
      <c r="K218" s="19"/>
      <c r="L218" s="18"/>
      <c r="M218" s="19"/>
      <c r="N218" s="19"/>
      <c r="O218" s="19"/>
      <c r="P218" s="19"/>
      <c r="Q218" s="18"/>
      <c r="R218" s="19"/>
      <c r="S218" s="19"/>
      <c r="T218" s="15"/>
      <c r="U218" s="15"/>
      <c r="V218" s="14"/>
      <c r="W218" s="15"/>
      <c r="X218" s="15"/>
      <c r="Y218" s="15"/>
      <c r="Z218" s="15"/>
      <c r="AA218" s="14"/>
      <c r="AB218" s="15"/>
      <c r="AC218" s="15"/>
      <c r="AD218" s="15"/>
      <c r="AE218" s="15"/>
      <c r="AF218" s="14"/>
      <c r="AG218" s="15"/>
      <c r="AH218" s="15"/>
      <c r="AI218" s="15"/>
      <c r="AJ218" s="15"/>
      <c r="AK218" s="14"/>
      <c r="AL218" s="29"/>
      <c r="AM218" s="29"/>
      <c r="AN218" s="241"/>
      <c r="AO218" s="241"/>
      <c r="AP218" s="242"/>
      <c r="AQ218" s="241"/>
      <c r="AR218" s="241"/>
      <c r="AS218" s="241"/>
      <c r="AT218" s="241"/>
      <c r="AU218" s="242"/>
      <c r="AV218" s="241"/>
      <c r="AW218" s="241"/>
      <c r="AX218" s="241"/>
      <c r="AY218" s="241"/>
      <c r="AZ218" s="242"/>
    </row>
    <row r="219" spans="2:54" hidden="1" outlineLevel="1">
      <c r="B219" s="565"/>
      <c r="C219" s="6"/>
      <c r="D219" s="6"/>
      <c r="E219" s="12"/>
      <c r="F219" s="18"/>
      <c r="G219" s="18"/>
      <c r="H219" s="19"/>
      <c r="I219" s="19"/>
      <c r="J219" s="19"/>
      <c r="K219" s="19"/>
      <c r="L219" s="18"/>
      <c r="M219" s="19"/>
      <c r="N219" s="19"/>
      <c r="O219" s="19"/>
      <c r="P219" s="19"/>
      <c r="Q219" s="18"/>
      <c r="R219" s="19"/>
      <c r="S219" s="19"/>
      <c r="T219" s="15"/>
      <c r="U219" s="15"/>
      <c r="V219" s="14"/>
      <c r="W219" s="15"/>
      <c r="X219" s="15"/>
      <c r="Y219" s="15"/>
      <c r="Z219" s="15"/>
      <c r="AA219" s="14"/>
      <c r="AB219" s="15"/>
      <c r="AC219" s="15"/>
      <c r="AD219" s="15"/>
      <c r="AE219" s="15"/>
      <c r="AF219" s="14"/>
      <c r="AG219" s="15"/>
      <c r="AH219" s="15"/>
      <c r="AI219" s="15"/>
      <c r="AJ219" s="15"/>
      <c r="AK219" s="14"/>
      <c r="AL219" s="29"/>
      <c r="AM219" s="29"/>
      <c r="AN219" s="241"/>
      <c r="AO219" s="241"/>
      <c r="AP219" s="242"/>
      <c r="AQ219" s="241"/>
      <c r="AR219" s="241"/>
      <c r="AS219" s="241"/>
      <c r="AT219" s="241"/>
      <c r="AU219" s="242"/>
      <c r="AV219" s="241"/>
      <c r="AW219" s="241"/>
      <c r="AX219" s="241"/>
      <c r="AY219" s="241"/>
      <c r="AZ219" s="242"/>
    </row>
    <row r="220" spans="2:54" hidden="1" outlineLevel="1">
      <c r="B220" s="526" t="s">
        <v>837</v>
      </c>
      <c r="C220" s="6"/>
      <c r="D220" s="6"/>
      <c r="E220" s="12"/>
      <c r="F220" s="18"/>
      <c r="G220" s="18"/>
      <c r="H220" s="19"/>
      <c r="I220" s="19"/>
      <c r="J220" s="19"/>
      <c r="K220" s="19"/>
      <c r="L220" s="18"/>
      <c r="M220" s="19"/>
      <c r="N220" s="19"/>
      <c r="O220" s="19"/>
      <c r="P220" s="19"/>
      <c r="Q220" s="18"/>
      <c r="R220" s="19"/>
      <c r="S220" s="19"/>
      <c r="T220" s="15"/>
      <c r="U220" s="15"/>
      <c r="V220" s="14"/>
      <c r="W220" s="15"/>
      <c r="X220" s="15"/>
      <c r="Y220" s="15"/>
      <c r="Z220" s="15"/>
      <c r="AA220" s="14"/>
      <c r="AB220" s="15"/>
      <c r="AC220" s="15"/>
      <c r="AD220" s="15"/>
      <c r="AE220" s="15"/>
      <c r="AF220" s="14"/>
      <c r="AG220" s="15"/>
      <c r="AH220" s="15"/>
      <c r="AI220" s="15"/>
      <c r="AJ220" s="15"/>
      <c r="AK220" s="14"/>
      <c r="AL220" s="29"/>
      <c r="AM220" s="29"/>
      <c r="AN220" s="241"/>
      <c r="AO220" s="241"/>
      <c r="AP220" s="242"/>
      <c r="AQ220" s="241"/>
      <c r="AR220" s="241"/>
      <c r="AS220" s="241"/>
      <c r="AT220" s="241"/>
      <c r="AU220" s="242"/>
      <c r="AV220" s="241"/>
      <c r="AW220" s="241"/>
      <c r="AX220" s="241"/>
      <c r="AY220" s="241"/>
      <c r="AZ220" s="242"/>
    </row>
    <row r="221" spans="2:54" hidden="1" outlineLevel="1">
      <c r="B221" s="565" t="s">
        <v>838</v>
      </c>
      <c r="C221" s="6"/>
      <c r="D221" s="6"/>
      <c r="E221" s="12"/>
      <c r="F221" s="18"/>
      <c r="G221" s="18"/>
      <c r="H221" s="19"/>
      <c r="I221" s="19"/>
      <c r="J221" s="19"/>
      <c r="K221" s="19"/>
      <c r="L221" s="18"/>
      <c r="M221" s="19"/>
      <c r="N221" s="19"/>
      <c r="O221" s="19">
        <f>O45</f>
        <v>3.5000000000000003E-2</v>
      </c>
      <c r="P221" s="19">
        <f>P45</f>
        <v>2.7999999999999997E-2</v>
      </c>
      <c r="Q221" s="18"/>
      <c r="R221" s="19">
        <f>R45</f>
        <v>2.0499999999999997E-2</v>
      </c>
      <c r="S221" s="19">
        <f>S45</f>
        <v>3.6499999999999998E-2</v>
      </c>
      <c r="T221" s="19">
        <f>T45</f>
        <v>1.7500000000000002E-2</v>
      </c>
      <c r="U221" s="19">
        <f>U45</f>
        <v>5.7000000000000002E-2</v>
      </c>
      <c r="V221" s="14"/>
      <c r="W221" s="19">
        <f>W45</f>
        <v>6.2E-2</v>
      </c>
      <c r="X221" s="19">
        <f>X45</f>
        <v>7.4499999999999997E-2</v>
      </c>
      <c r="Y221" s="19">
        <f>Y45</f>
        <v>8.6999999999999994E-2</v>
      </c>
      <c r="Z221" s="19">
        <f>Z45</f>
        <v>8.1500000000000003E-2</v>
      </c>
      <c r="AA221" s="14"/>
      <c r="AB221" s="19">
        <f>AB45</f>
        <v>0.21600000000000003</v>
      </c>
      <c r="AC221" s="19">
        <f>AC45</f>
        <v>4.0999999999999995E-2</v>
      </c>
      <c r="AD221" s="19">
        <f>AD45</f>
        <v>6.2E-2</v>
      </c>
      <c r="AE221" s="19">
        <f>AE45</f>
        <v>-3.0000000000000001E-3</v>
      </c>
      <c r="AF221" s="14"/>
      <c r="AG221" s="19">
        <f>AG45</f>
        <v>-0.09</v>
      </c>
      <c r="AH221" s="19">
        <f>AH45</f>
        <v>2.4E-2</v>
      </c>
      <c r="AI221" s="19">
        <f>AI45</f>
        <v>-2.4E-2</v>
      </c>
      <c r="AJ221" s="19">
        <f>AJ45</f>
        <v>3.9E-2</v>
      </c>
      <c r="AK221" s="14"/>
      <c r="AL221" s="19">
        <f t="shared" ref="AL221:AZ221" si="531">AL45</f>
        <v>-6.6000000000000003E-2</v>
      </c>
      <c r="AM221" s="19">
        <f t="shared" si="531"/>
        <v>-7.2999999999999995E-2</v>
      </c>
      <c r="AN221" s="60">
        <f t="shared" si="531"/>
        <v>-4.5328960104168807E-2</v>
      </c>
      <c r="AO221" s="60">
        <f t="shared" si="531"/>
        <v>-4.6496179262218419E-2</v>
      </c>
      <c r="AP221" s="207">
        <f t="shared" si="531"/>
        <v>-4.5192517636799594E-2</v>
      </c>
      <c r="AQ221" s="312">
        <f t="shared" si="531"/>
        <v>-1.6359807087462215E-2</v>
      </c>
      <c r="AR221" s="312">
        <f t="shared" si="531"/>
        <v>-1.8295495087754781E-2</v>
      </c>
      <c r="AS221" s="312">
        <f t="shared" si="531"/>
        <v>-1.8016458180167911E-2</v>
      </c>
      <c r="AT221" s="312">
        <f t="shared" si="531"/>
        <v>-1.951878313010201E-2</v>
      </c>
      <c r="AU221" s="546">
        <f t="shared" si="531"/>
        <v>-1.8157460143946865E-2</v>
      </c>
      <c r="AV221" s="312">
        <f t="shared" si="531"/>
        <v>-2.0059330903431968E-2</v>
      </c>
      <c r="AW221" s="312">
        <f t="shared" si="531"/>
        <v>-2.1177367342984876E-2</v>
      </c>
      <c r="AX221" s="312">
        <f t="shared" si="531"/>
        <v>-2.1016202856826999E-2</v>
      </c>
      <c r="AY221" s="312">
        <f t="shared" si="531"/>
        <v>-2.1883887777554973E-2</v>
      </c>
      <c r="AZ221" s="207">
        <f t="shared" si="531"/>
        <v>-2.1097642138427092E-2</v>
      </c>
    </row>
    <row r="222" spans="2:54" hidden="1" outlineLevel="1">
      <c r="B222" s="565" t="s">
        <v>839</v>
      </c>
      <c r="C222" s="6"/>
      <c r="D222" s="6"/>
      <c r="E222" s="12"/>
      <c r="F222" s="18"/>
      <c r="G222" s="18"/>
      <c r="H222" s="19"/>
      <c r="I222" s="19"/>
      <c r="J222" s="19"/>
      <c r="K222" s="19"/>
      <c r="L222" s="18"/>
      <c r="M222" s="19"/>
      <c r="N222" s="19"/>
      <c r="O222" s="19">
        <f>O47</f>
        <v>-6.5000000000000006E-3</v>
      </c>
      <c r="P222" s="19">
        <f>P47</f>
        <v>-6.5000000000000006E-3</v>
      </c>
      <c r="Q222" s="18"/>
      <c r="R222" s="19">
        <f>R47</f>
        <v>-1E-3</v>
      </c>
      <c r="S222" s="19">
        <f>S47</f>
        <v>-7.4999999999999997E-3</v>
      </c>
      <c r="T222" s="19">
        <f>T47</f>
        <v>4.0000000000000001E-3</v>
      </c>
      <c r="U222" s="19">
        <f>U47</f>
        <v>-1.6500000000000001E-2</v>
      </c>
      <c r="V222" s="14"/>
      <c r="W222" s="19">
        <f>W47</f>
        <v>-1.4499999999999999E-2</v>
      </c>
      <c r="X222" s="19">
        <f>X47</f>
        <v>-1.3999999999999999E-2</v>
      </c>
      <c r="Y222" s="19">
        <f>Y47</f>
        <v>-1.7500000000000002E-2</v>
      </c>
      <c r="Z222" s="19">
        <f>Z47</f>
        <v>2.5000000000000001E-3</v>
      </c>
      <c r="AA222" s="14"/>
      <c r="AB222" s="19">
        <f>AB47</f>
        <v>-2.8999999999999998E-2</v>
      </c>
      <c r="AC222" s="19">
        <f>AC47</f>
        <v>5.0000000000000001E-3</v>
      </c>
      <c r="AD222" s="19">
        <f>AD47</f>
        <v>-9.0000000000000011E-3</v>
      </c>
      <c r="AE222" s="19">
        <f>AE47</f>
        <v>-5.0000000000000001E-3</v>
      </c>
      <c r="AF222" s="14"/>
      <c r="AG222" s="19">
        <f>AG47</f>
        <v>3.6000000000000004E-2</v>
      </c>
      <c r="AH222" s="19">
        <f>AH47</f>
        <v>5.2999999999999999E-2</v>
      </c>
      <c r="AI222" s="19">
        <f>AI47</f>
        <v>6.7000000000000004E-2</v>
      </c>
      <c r="AJ222" s="19">
        <f>AJ47</f>
        <v>9.3000000000000013E-2</v>
      </c>
      <c r="AK222" s="14"/>
      <c r="AL222" s="19">
        <f t="shared" ref="AL222:AZ222" si="532">AL47</f>
        <v>5.2999999999999999E-2</v>
      </c>
      <c r="AM222" s="19">
        <f t="shared" si="532"/>
        <v>1.6E-2</v>
      </c>
      <c r="AN222" s="60">
        <f t="shared" si="532"/>
        <v>-8.3945299472879143E-3</v>
      </c>
      <c r="AO222" s="60">
        <f t="shared" si="532"/>
        <v>-8.0167049592438384E-3</v>
      </c>
      <c r="AP222" s="207">
        <f t="shared" si="532"/>
        <v>-8.0167049592438384E-3</v>
      </c>
      <c r="AQ222" s="312">
        <f t="shared" si="532"/>
        <v>-9.7707740465706513E-3</v>
      </c>
      <c r="AR222" s="312">
        <f t="shared" si="532"/>
        <v>-9.7707740465706513E-3</v>
      </c>
      <c r="AS222" s="312">
        <f t="shared" si="532"/>
        <v>-9.7707740465706513E-3</v>
      </c>
      <c r="AT222" s="312">
        <f t="shared" si="532"/>
        <v>-9.7707740465706513E-3</v>
      </c>
      <c r="AU222" s="546">
        <f t="shared" si="532"/>
        <v>-9.7707740465706513E-3</v>
      </c>
      <c r="AV222" s="312">
        <f t="shared" si="532"/>
        <v>-2.6134821747405565E-3</v>
      </c>
      <c r="AW222" s="312">
        <f t="shared" si="532"/>
        <v>-2.6134821747405565E-3</v>
      </c>
      <c r="AX222" s="312">
        <f t="shared" si="532"/>
        <v>-2.6134821747405565E-3</v>
      </c>
      <c r="AY222" s="312">
        <f t="shared" si="532"/>
        <v>-2.6134821747405565E-3</v>
      </c>
      <c r="AZ222" s="207">
        <f t="shared" si="532"/>
        <v>-2.6134821747405565E-3</v>
      </c>
    </row>
    <row r="223" spans="2:54" hidden="1" outlineLevel="1">
      <c r="B223" s="565"/>
      <c r="C223" s="6"/>
      <c r="D223" s="6"/>
      <c r="E223" s="12"/>
      <c r="F223" s="18"/>
      <c r="G223" s="18"/>
      <c r="H223" s="19"/>
      <c r="I223" s="19"/>
      <c r="J223" s="19"/>
      <c r="K223" s="19"/>
      <c r="L223" s="18"/>
      <c r="M223" s="19"/>
      <c r="N223" s="19"/>
      <c r="O223" s="19"/>
      <c r="P223" s="19"/>
      <c r="Q223" s="18"/>
      <c r="R223" s="19"/>
      <c r="S223" s="19"/>
      <c r="T223" s="19"/>
      <c r="U223" s="19"/>
      <c r="V223" s="14"/>
      <c r="W223" s="19"/>
      <c r="X223" s="19"/>
      <c r="Y223" s="19"/>
      <c r="Z223" s="19"/>
      <c r="AA223" s="14"/>
      <c r="AB223" s="19"/>
      <c r="AC223" s="19"/>
      <c r="AD223" s="19"/>
      <c r="AE223" s="19"/>
      <c r="AF223" s="14"/>
      <c r="AG223" s="19"/>
      <c r="AH223" s="19"/>
      <c r="AI223" s="19"/>
      <c r="AJ223" s="19"/>
      <c r="AK223" s="14"/>
      <c r="AL223" s="19"/>
      <c r="AM223" s="19"/>
      <c r="AN223" s="19"/>
      <c r="AO223" s="19"/>
      <c r="AP223" s="242"/>
      <c r="AQ223" s="241"/>
      <c r="AR223" s="241"/>
      <c r="AS223" s="241"/>
      <c r="AT223" s="241"/>
      <c r="AU223" s="242"/>
      <c r="AV223" s="241"/>
      <c r="AW223" s="241"/>
      <c r="AX223" s="241"/>
      <c r="AY223" s="241"/>
      <c r="AZ223" s="242"/>
    </row>
    <row r="224" spans="2:54" hidden="1" outlineLevel="1">
      <c r="B224" s="565" t="s">
        <v>850</v>
      </c>
      <c r="C224" s="6"/>
      <c r="D224" s="6"/>
      <c r="E224" s="12"/>
      <c r="F224" s="18"/>
      <c r="G224" s="18"/>
      <c r="H224" s="19"/>
      <c r="I224" s="19"/>
      <c r="J224" s="19"/>
      <c r="K224" s="19"/>
      <c r="L224" s="18"/>
      <c r="M224" s="19"/>
      <c r="N224" s="19"/>
      <c r="O224" s="447">
        <v>0.2</v>
      </c>
      <c r="P224" s="447">
        <v>0.2</v>
      </c>
      <c r="Q224" s="18"/>
      <c r="R224" s="447">
        <v>0.2</v>
      </c>
      <c r="S224" s="447">
        <v>0.2</v>
      </c>
      <c r="T224" s="447">
        <v>0.2</v>
      </c>
      <c r="U224" s="447">
        <v>0.2</v>
      </c>
      <c r="V224" s="14"/>
      <c r="W224" s="447">
        <v>0.2</v>
      </c>
      <c r="X224" s="447">
        <v>0.2</v>
      </c>
      <c r="Y224" s="447">
        <v>0.2</v>
      </c>
      <c r="Z224" s="447">
        <v>0.2</v>
      </c>
      <c r="AA224" s="14"/>
      <c r="AB224" s="447">
        <v>0.2</v>
      </c>
      <c r="AC224" s="447">
        <v>0.2</v>
      </c>
      <c r="AD224" s="447">
        <v>0.2</v>
      </c>
      <c r="AE224" s="447">
        <v>0.2</v>
      </c>
      <c r="AF224" s="14"/>
      <c r="AG224" s="447">
        <v>0.2</v>
      </c>
      <c r="AH224" s="447">
        <v>0.2</v>
      </c>
      <c r="AI224" s="447">
        <v>0.2</v>
      </c>
      <c r="AJ224" s="447">
        <v>0.2</v>
      </c>
      <c r="AK224" s="14"/>
      <c r="AL224" s="447">
        <v>0.2</v>
      </c>
      <c r="AM224" s="447">
        <v>0.2</v>
      </c>
      <c r="AN224" s="519">
        <v>0.2</v>
      </c>
      <c r="AO224" s="519">
        <v>0.2</v>
      </c>
      <c r="AP224" s="549">
        <v>0.2</v>
      </c>
      <c r="AQ224" s="516">
        <v>0.2</v>
      </c>
      <c r="AR224" s="516">
        <v>0.2</v>
      </c>
      <c r="AS224" s="516">
        <v>0.2</v>
      </c>
      <c r="AT224" s="516">
        <v>0.2</v>
      </c>
      <c r="AU224" s="549">
        <v>0.2</v>
      </c>
      <c r="AV224" s="516">
        <v>0.2</v>
      </c>
      <c r="AW224" s="516">
        <v>0.2</v>
      </c>
      <c r="AX224" s="516">
        <v>0.2</v>
      </c>
      <c r="AY224" s="516">
        <v>0.2</v>
      </c>
      <c r="AZ224" s="549">
        <v>0.2</v>
      </c>
    </row>
    <row r="225" spans="2:54" hidden="1" outlineLevel="1">
      <c r="B225" s="565" t="s">
        <v>851</v>
      </c>
      <c r="C225" s="6"/>
      <c r="D225" s="6"/>
      <c r="E225" s="12"/>
      <c r="F225" s="18"/>
      <c r="G225" s="18"/>
      <c r="H225" s="19"/>
      <c r="I225" s="19"/>
      <c r="J225" s="19"/>
      <c r="K225" s="19"/>
      <c r="L225" s="18"/>
      <c r="M225" s="19"/>
      <c r="N225" s="19"/>
      <c r="O225" s="447">
        <v>0.6</v>
      </c>
      <c r="P225" s="447">
        <v>0.6</v>
      </c>
      <c r="Q225" s="18"/>
      <c r="R225" s="447">
        <v>0.6</v>
      </c>
      <c r="S225" s="447">
        <v>0.6</v>
      </c>
      <c r="T225" s="447">
        <v>0.6</v>
      </c>
      <c r="U225" s="447">
        <v>0.6</v>
      </c>
      <c r="V225" s="14"/>
      <c r="W225" s="447">
        <v>0.6</v>
      </c>
      <c r="X225" s="447">
        <v>0.6</v>
      </c>
      <c r="Y225" s="447">
        <v>0.6</v>
      </c>
      <c r="Z225" s="447">
        <v>0.6</v>
      </c>
      <c r="AA225" s="14"/>
      <c r="AB225" s="447">
        <v>0.6</v>
      </c>
      <c r="AC225" s="447">
        <v>0.6</v>
      </c>
      <c r="AD225" s="447">
        <v>0.6</v>
      </c>
      <c r="AE225" s="447">
        <v>0.6</v>
      </c>
      <c r="AF225" s="14"/>
      <c r="AG225" s="447">
        <v>0.6</v>
      </c>
      <c r="AH225" s="447">
        <v>0.6</v>
      </c>
      <c r="AI225" s="447">
        <v>0.6</v>
      </c>
      <c r="AJ225" s="447">
        <v>0.6</v>
      </c>
      <c r="AK225" s="14"/>
      <c r="AL225" s="447">
        <v>0.6</v>
      </c>
      <c r="AM225" s="447">
        <v>0.6</v>
      </c>
      <c r="AN225" s="519">
        <v>0.6</v>
      </c>
      <c r="AO225" s="519">
        <v>0.6</v>
      </c>
      <c r="AP225" s="549">
        <v>0.6</v>
      </c>
      <c r="AQ225" s="516">
        <v>0.6</v>
      </c>
      <c r="AR225" s="516">
        <v>0.6</v>
      </c>
      <c r="AS225" s="516">
        <v>0.6</v>
      </c>
      <c r="AT225" s="516">
        <v>0.6</v>
      </c>
      <c r="AU225" s="549">
        <v>0.6</v>
      </c>
      <c r="AV225" s="516">
        <v>0.6</v>
      </c>
      <c r="AW225" s="516">
        <v>0.6</v>
      </c>
      <c r="AX225" s="516">
        <v>0.6</v>
      </c>
      <c r="AY225" s="516">
        <v>0.6</v>
      </c>
      <c r="AZ225" s="549">
        <v>0.6</v>
      </c>
    </row>
    <row r="226" spans="2:54" hidden="1" outlineLevel="1">
      <c r="B226" s="565"/>
      <c r="C226" s="6"/>
      <c r="D226" s="6"/>
      <c r="E226" s="12"/>
      <c r="F226" s="18"/>
      <c r="G226" s="18"/>
      <c r="H226" s="19"/>
      <c r="I226" s="19"/>
      <c r="J226" s="19"/>
      <c r="K226" s="19"/>
      <c r="L226" s="18"/>
      <c r="M226" s="19"/>
      <c r="N226" s="19"/>
      <c r="O226" s="19"/>
      <c r="P226" s="19"/>
      <c r="Q226" s="18"/>
      <c r="R226" s="19"/>
      <c r="S226" s="19"/>
      <c r="T226" s="19"/>
      <c r="U226" s="19"/>
      <c r="V226" s="14"/>
      <c r="W226" s="19"/>
      <c r="X226" s="19"/>
      <c r="Y226" s="19"/>
      <c r="Z226" s="19"/>
      <c r="AA226" s="14"/>
      <c r="AB226" s="19"/>
      <c r="AC226" s="19"/>
      <c r="AD226" s="19"/>
      <c r="AE226" s="19"/>
      <c r="AF226" s="14"/>
      <c r="AG226" s="19"/>
      <c r="AH226" s="19"/>
      <c r="AI226" s="19"/>
      <c r="AJ226" s="19"/>
      <c r="AK226" s="14"/>
      <c r="AL226" s="19"/>
      <c r="AM226" s="19"/>
      <c r="AN226" s="19"/>
      <c r="AO226" s="19"/>
      <c r="AP226" s="242"/>
      <c r="AQ226" s="241"/>
      <c r="AR226" s="241"/>
      <c r="AS226" s="241"/>
      <c r="AT226" s="241"/>
      <c r="AU226" s="242"/>
      <c r="AV226" s="241"/>
      <c r="AW226" s="241"/>
      <c r="AX226" s="241"/>
      <c r="AY226" s="241"/>
      <c r="AZ226" s="242"/>
    </row>
    <row r="227" spans="2:54" hidden="1" outlineLevel="1">
      <c r="B227" s="565" t="s">
        <v>852</v>
      </c>
      <c r="C227" s="6"/>
      <c r="D227" s="6"/>
      <c r="E227" s="12"/>
      <c r="F227" s="18"/>
      <c r="G227" s="18"/>
      <c r="H227" s="19"/>
      <c r="I227" s="19"/>
      <c r="J227" s="19"/>
      <c r="K227" s="19"/>
      <c r="L227" s="18"/>
      <c r="M227" s="19"/>
      <c r="N227" s="19"/>
      <c r="O227" s="15">
        <f t="shared" ref="O227:P227" si="533">O224*O221*10000</f>
        <v>70.000000000000014</v>
      </c>
      <c r="P227" s="15">
        <f t="shared" si="533"/>
        <v>56</v>
      </c>
      <c r="Q227" s="18"/>
      <c r="R227" s="15">
        <f t="shared" ref="R227:U227" si="534">R224*R221*10000</f>
        <v>40.999999999999993</v>
      </c>
      <c r="S227" s="15">
        <f t="shared" si="534"/>
        <v>73</v>
      </c>
      <c r="T227" s="15">
        <f t="shared" si="534"/>
        <v>35.000000000000007</v>
      </c>
      <c r="U227" s="15">
        <f t="shared" si="534"/>
        <v>114</v>
      </c>
      <c r="V227" s="14"/>
      <c r="W227" s="15">
        <f t="shared" ref="W227:Z227" si="535">W224*W221*10000</f>
        <v>124.00000000000001</v>
      </c>
      <c r="X227" s="15">
        <f t="shared" si="535"/>
        <v>149</v>
      </c>
      <c r="Y227" s="15">
        <f t="shared" si="535"/>
        <v>174</v>
      </c>
      <c r="Z227" s="15">
        <f t="shared" si="535"/>
        <v>163.00000000000003</v>
      </c>
      <c r="AA227" s="14"/>
      <c r="AB227" s="15">
        <f t="shared" ref="AB227:AE227" si="536">AB224*AB221*10000</f>
        <v>432.00000000000011</v>
      </c>
      <c r="AC227" s="15">
        <f t="shared" si="536"/>
        <v>81.999999999999986</v>
      </c>
      <c r="AD227" s="15">
        <f t="shared" si="536"/>
        <v>124.00000000000001</v>
      </c>
      <c r="AE227" s="15">
        <f t="shared" si="536"/>
        <v>-6.0000000000000009</v>
      </c>
      <c r="AF227" s="14"/>
      <c r="AG227" s="15">
        <f t="shared" ref="AG227:AI227" si="537">AG224*AG221*10000</f>
        <v>-180</v>
      </c>
      <c r="AH227" s="15">
        <f t="shared" si="537"/>
        <v>48.000000000000007</v>
      </c>
      <c r="AI227" s="15">
        <f t="shared" si="537"/>
        <v>-48.000000000000007</v>
      </c>
      <c r="AJ227" s="15">
        <f>AJ224*AJ221*10000</f>
        <v>78</v>
      </c>
      <c r="AK227" s="14"/>
      <c r="AL227" s="15">
        <f t="shared" ref="AL227:AO227" si="538">AL224*AL221*10000</f>
        <v>-132.00000000000003</v>
      </c>
      <c r="AM227" s="15">
        <f t="shared" si="538"/>
        <v>-146</v>
      </c>
      <c r="AN227" s="15">
        <f t="shared" si="538"/>
        <v>-90.657920208337615</v>
      </c>
      <c r="AO227" s="15">
        <f t="shared" si="538"/>
        <v>-92.992358524436838</v>
      </c>
      <c r="AP227" s="555">
        <f>AP224*AP221*10000</f>
        <v>-90.3850352735992</v>
      </c>
      <c r="AQ227" s="554">
        <f>AQ224*AQ221*10000</f>
        <v>-32.71961417492443</v>
      </c>
      <c r="AR227" s="554">
        <f t="shared" ref="AR227:AT227" si="539">AR224*AR221*10000</f>
        <v>-36.59099017550956</v>
      </c>
      <c r="AS227" s="554">
        <f t="shared" si="539"/>
        <v>-36.032916360335825</v>
      </c>
      <c r="AT227" s="554">
        <f t="shared" si="539"/>
        <v>-39.037566260204024</v>
      </c>
      <c r="AU227" s="555">
        <f>AU224*AU221*10000</f>
        <v>-36.314920287893734</v>
      </c>
      <c r="AV227" s="554">
        <f t="shared" ref="AV227:AY227" si="540">AV224*AV221*10000</f>
        <v>-40.11866180686394</v>
      </c>
      <c r="AW227" s="554">
        <f t="shared" si="540"/>
        <v>-42.354734685969753</v>
      </c>
      <c r="AX227" s="554">
        <f t="shared" si="540"/>
        <v>-42.032405713654001</v>
      </c>
      <c r="AY227" s="554">
        <f t="shared" si="540"/>
        <v>-43.767775555109949</v>
      </c>
      <c r="AZ227" s="555">
        <f>AZ224*AZ221*10000</f>
        <v>-42.195284276854188</v>
      </c>
    </row>
    <row r="228" spans="2:54" hidden="1" outlineLevel="1">
      <c r="B228" s="565" t="s">
        <v>853</v>
      </c>
      <c r="C228" s="6"/>
      <c r="D228" s="6"/>
      <c r="E228" s="12"/>
      <c r="F228" s="18"/>
      <c r="G228" s="18"/>
      <c r="H228" s="19"/>
      <c r="I228" s="19"/>
      <c r="J228" s="19"/>
      <c r="K228" s="19"/>
      <c r="L228" s="18"/>
      <c r="M228" s="19"/>
      <c r="N228" s="19"/>
      <c r="O228" s="15">
        <f t="shared" ref="O228:P228" si="541">O225*O222*10000</f>
        <v>-39</v>
      </c>
      <c r="P228" s="15">
        <f t="shared" si="541"/>
        <v>-39</v>
      </c>
      <c r="Q228" s="18"/>
      <c r="R228" s="15">
        <f t="shared" ref="R228:U228" si="542">R225*R222*10000</f>
        <v>-5.9999999999999991</v>
      </c>
      <c r="S228" s="15">
        <f t="shared" si="542"/>
        <v>-45</v>
      </c>
      <c r="T228" s="15">
        <f t="shared" si="542"/>
        <v>23.999999999999996</v>
      </c>
      <c r="U228" s="15">
        <f t="shared" si="542"/>
        <v>-99.000000000000014</v>
      </c>
      <c r="V228" s="14"/>
      <c r="W228" s="15">
        <f t="shared" ref="W228:Z228" si="543">W225*W222*10000</f>
        <v>-87</v>
      </c>
      <c r="X228" s="15">
        <f t="shared" si="543"/>
        <v>-84</v>
      </c>
      <c r="Y228" s="15">
        <f t="shared" si="543"/>
        <v>-105</v>
      </c>
      <c r="Z228" s="15">
        <f t="shared" si="543"/>
        <v>15</v>
      </c>
      <c r="AA228" s="14"/>
      <c r="AB228" s="15">
        <f t="shared" ref="AB228:AE228" si="544">AB225*AB222*10000</f>
        <v>-174</v>
      </c>
      <c r="AC228" s="15">
        <f t="shared" si="544"/>
        <v>30</v>
      </c>
      <c r="AD228" s="15">
        <f t="shared" si="544"/>
        <v>-54</v>
      </c>
      <c r="AE228" s="15">
        <f t="shared" si="544"/>
        <v>-30</v>
      </c>
      <c r="AF228" s="14"/>
      <c r="AG228" s="15">
        <f t="shared" ref="AG228:AI228" si="545">AG225*AG222*10000</f>
        <v>216</v>
      </c>
      <c r="AH228" s="15">
        <f t="shared" si="545"/>
        <v>317.99999999999994</v>
      </c>
      <c r="AI228" s="15">
        <f t="shared" si="545"/>
        <v>402</v>
      </c>
      <c r="AJ228" s="15">
        <f>AJ225*AJ222*10000</f>
        <v>558.00000000000011</v>
      </c>
      <c r="AK228" s="14"/>
      <c r="AL228" s="15">
        <f t="shared" ref="AL228:AO228" si="546">AL225*AL222*10000</f>
        <v>317.99999999999994</v>
      </c>
      <c r="AM228" s="15">
        <f t="shared" si="546"/>
        <v>95.999999999999986</v>
      </c>
      <c r="AN228" s="15">
        <f t="shared" si="546"/>
        <v>-50.367179683727485</v>
      </c>
      <c r="AO228" s="15">
        <f t="shared" si="546"/>
        <v>-48.100229755463033</v>
      </c>
      <c r="AP228" s="555">
        <f>AP225*AP222*1000</f>
        <v>-4.8100229755463033</v>
      </c>
      <c r="AQ228" s="554">
        <f>AQ225*AQ222*10000</f>
        <v>-58.624644279423904</v>
      </c>
      <c r="AR228" s="554">
        <f t="shared" ref="AR228:AT228" si="547">AR225*AR222*10000</f>
        <v>-58.624644279423904</v>
      </c>
      <c r="AS228" s="554">
        <f t="shared" si="547"/>
        <v>-58.624644279423904</v>
      </c>
      <c r="AT228" s="554">
        <f t="shared" si="547"/>
        <v>-58.624644279423904</v>
      </c>
      <c r="AU228" s="555">
        <f>AU225*AU222*1000</f>
        <v>-5.8624644279423901</v>
      </c>
      <c r="AV228" s="554">
        <f t="shared" ref="AV228:AY228" si="548">AV225*AV222*10000</f>
        <v>-15.680893048443339</v>
      </c>
      <c r="AW228" s="554">
        <f t="shared" si="548"/>
        <v>-15.680893048443339</v>
      </c>
      <c r="AX228" s="554">
        <f t="shared" si="548"/>
        <v>-15.680893048443339</v>
      </c>
      <c r="AY228" s="554">
        <f t="shared" si="548"/>
        <v>-15.680893048443339</v>
      </c>
      <c r="AZ228" s="555">
        <f>AZ225*AZ222*1000</f>
        <v>-1.5680893048443341</v>
      </c>
    </row>
    <row r="229" spans="2:54" hidden="1" outlineLevel="1">
      <c r="B229" s="565" t="s">
        <v>841</v>
      </c>
      <c r="C229" s="6"/>
      <c r="D229" s="6"/>
      <c r="E229" s="12"/>
      <c r="F229" s="18"/>
      <c r="G229" s="18"/>
      <c r="H229" s="19"/>
      <c r="I229" s="19"/>
      <c r="J229" s="19"/>
      <c r="K229" s="19"/>
      <c r="L229" s="18"/>
      <c r="M229" s="19"/>
      <c r="N229" s="19"/>
      <c r="O229" s="15">
        <f t="shared" ref="O229:AM229" si="549">O248*10000*-1</f>
        <v>-249.83154724716906</v>
      </c>
      <c r="P229" s="15">
        <f t="shared" si="549"/>
        <v>-74.881648969889014</v>
      </c>
      <c r="Q229" s="28"/>
      <c r="R229" s="15">
        <f t="shared" si="549"/>
        <v>5.3211381718155231</v>
      </c>
      <c r="S229" s="15">
        <f t="shared" si="549"/>
        <v>17.277991031390133</v>
      </c>
      <c r="T229" s="15">
        <f t="shared" si="549"/>
        <v>20.694058321132271</v>
      </c>
      <c r="U229" s="15">
        <f t="shared" si="549"/>
        <v>-160.1766676485027</v>
      </c>
      <c r="V229" s="14"/>
      <c r="W229" s="15">
        <f t="shared" si="549"/>
        <v>-47.38118253968252</v>
      </c>
      <c r="X229" s="15">
        <f t="shared" si="549"/>
        <v>214.72228868360281</v>
      </c>
      <c r="Y229" s="15">
        <f t="shared" si="549"/>
        <v>-38.693406574394459</v>
      </c>
      <c r="Z229" s="15">
        <f t="shared" si="549"/>
        <v>-328.15617733230539</v>
      </c>
      <c r="AA229" s="14"/>
      <c r="AB229" s="15">
        <f t="shared" si="549"/>
        <v>-1118.8457843998326</v>
      </c>
      <c r="AC229" s="15">
        <f t="shared" si="549"/>
        <v>-1899.5148240879562</v>
      </c>
      <c r="AD229" s="15">
        <f t="shared" si="549"/>
        <v>-1893.3956881478143</v>
      </c>
      <c r="AE229" s="15">
        <f t="shared" si="549"/>
        <v>-1397.4339814814816</v>
      </c>
      <c r="AF229" s="14"/>
      <c r="AG229" s="15">
        <f t="shared" si="549"/>
        <v>-1464.7106902834009</v>
      </c>
      <c r="AH229" s="15">
        <f t="shared" si="549"/>
        <v>-1087.9462219956072</v>
      </c>
      <c r="AI229" s="15">
        <f t="shared" si="549"/>
        <v>-594.88015463917532</v>
      </c>
      <c r="AJ229" s="15">
        <f t="shared" si="549"/>
        <v>-206.58454024767798</v>
      </c>
      <c r="AK229" s="14"/>
      <c r="AL229" s="15">
        <f t="shared" si="549"/>
        <v>30.200563604240312</v>
      </c>
      <c r="AM229" s="15">
        <f t="shared" si="549"/>
        <v>349.97933561643839</v>
      </c>
      <c r="AN229" s="554">
        <f>AN248*10000*-1</f>
        <v>139.36837498369096</v>
      </c>
      <c r="AO229" s="554">
        <f t="shared" ref="AO229:AZ229" si="550">AO248*10000*-1</f>
        <v>-144.94786534586535</v>
      </c>
      <c r="AP229" s="555">
        <f t="shared" si="550"/>
        <v>-144.94786534586535</v>
      </c>
      <c r="AQ229" s="554">
        <f t="shared" si="550"/>
        <v>-100</v>
      </c>
      <c r="AR229" s="554">
        <f t="shared" si="550"/>
        <v>-100</v>
      </c>
      <c r="AS229" s="554">
        <f t="shared" si="550"/>
        <v>-100</v>
      </c>
      <c r="AT229" s="554">
        <f t="shared" si="550"/>
        <v>-100</v>
      </c>
      <c r="AU229" s="555">
        <f t="shared" si="550"/>
        <v>-100</v>
      </c>
      <c r="AV229" s="554">
        <f t="shared" si="550"/>
        <v>-100</v>
      </c>
      <c r="AW229" s="554">
        <f t="shared" si="550"/>
        <v>-100</v>
      </c>
      <c r="AX229" s="554">
        <f t="shared" si="550"/>
        <v>-100</v>
      </c>
      <c r="AY229" s="554">
        <f t="shared" si="550"/>
        <v>-100</v>
      </c>
      <c r="AZ229" s="555">
        <f t="shared" si="550"/>
        <v>-100</v>
      </c>
    </row>
    <row r="230" spans="2:54" hidden="1" outlineLevel="1">
      <c r="B230" s="566" t="s">
        <v>842</v>
      </c>
      <c r="C230" s="6"/>
      <c r="D230" s="6"/>
      <c r="E230" s="12"/>
      <c r="F230" s="18"/>
      <c r="G230" s="18"/>
      <c r="H230" s="19"/>
      <c r="I230" s="19"/>
      <c r="J230" s="19"/>
      <c r="K230" s="19"/>
      <c r="L230" s="18"/>
      <c r="M230" s="19"/>
      <c r="N230" s="19"/>
      <c r="O230" s="17"/>
      <c r="P230" s="17"/>
      <c r="Q230" s="18"/>
      <c r="R230" s="17"/>
      <c r="S230" s="17"/>
      <c r="T230" s="17">
        <f>T232-SUM(T227:T229)</f>
        <v>-313.45838805161929</v>
      </c>
      <c r="U230" s="17">
        <f>U232-SUM(U227:U229)</f>
        <v>834.4458964654732</v>
      </c>
      <c r="V230" s="14"/>
      <c r="W230" s="17">
        <f t="shared" ref="W230:Z230" si="551">W232-SUM(W227:W229)</f>
        <v>153.94373139770195</v>
      </c>
      <c r="X230" s="17">
        <f t="shared" si="551"/>
        <v>-86.214302073730693</v>
      </c>
      <c r="Y230" s="17">
        <f t="shared" si="551"/>
        <v>-96.138931842218724</v>
      </c>
      <c r="Z230" s="17">
        <f t="shared" si="551"/>
        <v>111.83244560245188</v>
      </c>
      <c r="AA230" s="14"/>
      <c r="AB230" s="17">
        <f t="shared" ref="AB230" si="552">AB232-SUM(AB227:AB229)</f>
        <v>810.06163241421473</v>
      </c>
      <c r="AC230" s="17">
        <f t="shared" ref="AC230" si="553">AC232-SUM(AC227:AC229)</f>
        <v>1930.9382784290667</v>
      </c>
      <c r="AD230" s="17">
        <f t="shared" ref="AD230" si="554">AD232-SUM(AD227:AD229)</f>
        <v>1955.5425696756797</v>
      </c>
      <c r="AE230" s="17">
        <f t="shared" ref="AE230" si="555">AE232-SUM(AE227:AE229)</f>
        <v>1255.1492832685001</v>
      </c>
      <c r="AF230" s="14"/>
      <c r="AG230" s="17">
        <f t="shared" ref="AG230" si="556">AG232-SUM(AG227:AG229)</f>
        <v>609.47534792467866</v>
      </c>
      <c r="AH230" s="17">
        <f t="shared" ref="AH230" si="557">AH232-SUM(AH227:AH229)</f>
        <v>47.693870266490649</v>
      </c>
      <c r="AI230" s="17">
        <f t="shared" ref="AI230" si="558">AI232-SUM(AI227:AI229)</f>
        <v>-749.44952860649892</v>
      </c>
      <c r="AJ230" s="17">
        <f t="shared" ref="AJ230" si="559">AJ232-SUM(AJ227:AJ229)</f>
        <v>-342.19484848454454</v>
      </c>
      <c r="AK230" s="14"/>
      <c r="AL230" s="17">
        <f t="shared" ref="AL230" si="560">AL232-SUM(AL227:AL229)</f>
        <v>-542.40463336262201</v>
      </c>
      <c r="AM230" s="17">
        <f t="shared" ref="AM230" si="561">AM232-SUM(AM227:AM229)</f>
        <v>-765.94714607556864</v>
      </c>
      <c r="AN230" s="548">
        <v>0</v>
      </c>
      <c r="AO230" s="548">
        <v>0</v>
      </c>
      <c r="AP230" s="557">
        <v>0</v>
      </c>
      <c r="AQ230" s="548">
        <v>0</v>
      </c>
      <c r="AR230" s="548">
        <v>0</v>
      </c>
      <c r="AS230" s="548">
        <v>0</v>
      </c>
      <c r="AT230" s="548">
        <v>0</v>
      </c>
      <c r="AU230" s="557">
        <v>0</v>
      </c>
      <c r="AV230" s="548">
        <v>0</v>
      </c>
      <c r="AW230" s="548">
        <v>0</v>
      </c>
      <c r="AX230" s="548">
        <v>0</v>
      </c>
      <c r="AY230" s="548">
        <v>0</v>
      </c>
      <c r="AZ230" s="557">
        <v>0</v>
      </c>
    </row>
    <row r="231" spans="2:54" hidden="1" outlineLevel="1">
      <c r="B231" s="565" t="s">
        <v>854</v>
      </c>
      <c r="C231" s="6"/>
      <c r="D231" s="6"/>
      <c r="E231" s="12"/>
      <c r="F231" s="18"/>
      <c r="G231" s="18"/>
      <c r="H231" s="19"/>
      <c r="I231" s="19"/>
      <c r="J231" s="19"/>
      <c r="K231" s="19"/>
      <c r="L231" s="18"/>
      <c r="M231" s="19"/>
      <c r="N231" s="19"/>
      <c r="O231" s="15">
        <f>SUM(O227:O230)</f>
        <v>-218.83154724716906</v>
      </c>
      <c r="P231" s="15">
        <f>SUM(P227:P230)</f>
        <v>-57.881648969889014</v>
      </c>
      <c r="Q231" s="18"/>
      <c r="R231" s="15">
        <f>SUM(R227:R230)</f>
        <v>40.32113817181552</v>
      </c>
      <c r="S231" s="15">
        <f>SUM(S227:S230)</f>
        <v>45.27799103139013</v>
      </c>
      <c r="T231" s="15">
        <f>SUM(T227:T230)</f>
        <v>-233.76432973048702</v>
      </c>
      <c r="U231" s="15">
        <f>SUM(U227:U230)</f>
        <v>689.26922881697055</v>
      </c>
      <c r="V231" s="14"/>
      <c r="W231" s="15">
        <f>SUM(W227:W230)</f>
        <v>143.56254885801945</v>
      </c>
      <c r="X231" s="15">
        <f>SUM(X227:X230)</f>
        <v>193.50798660987212</v>
      </c>
      <c r="Y231" s="15">
        <f>SUM(Y227:Y230)</f>
        <v>-65.832338416613183</v>
      </c>
      <c r="Z231" s="15">
        <f>SUM(Z227:Z230)</f>
        <v>-38.323731729853478</v>
      </c>
      <c r="AA231" s="14"/>
      <c r="AB231" s="15">
        <f>SUM(AB227:AB230)</f>
        <v>-50.784151985617768</v>
      </c>
      <c r="AC231" s="15">
        <f>SUM(AC227:AC230)</f>
        <v>143.42345434111053</v>
      </c>
      <c r="AD231" s="15">
        <f>SUM(AD227:AD230)</f>
        <v>132.14688152786539</v>
      </c>
      <c r="AE231" s="15">
        <f>SUM(AE227:AE230)</f>
        <v>-178.28469821298154</v>
      </c>
      <c r="AF231" s="14"/>
      <c r="AG231" s="15">
        <f>SUM(AG227:AG230)</f>
        <v>-819.23534235872228</v>
      </c>
      <c r="AH231" s="15">
        <f>SUM(AH227:AH230)</f>
        <v>-674.25235172911653</v>
      </c>
      <c r="AI231" s="15">
        <f>SUM(AI227:AI230)</f>
        <v>-990.32968324567423</v>
      </c>
      <c r="AJ231" s="15">
        <f>SUM(AJ227:AJ230)</f>
        <v>87.220611267777599</v>
      </c>
      <c r="AK231" s="14"/>
      <c r="AL231" s="15">
        <f>SUM(AL227:AL230)</f>
        <v>-326.20406975838182</v>
      </c>
      <c r="AM231" s="15">
        <f>SUM(AM227:AM230)</f>
        <v>-465.96781045913025</v>
      </c>
      <c r="AN231" s="547">
        <f>SUM(AN227:AN230)</f>
        <v>-1.6567249083741444</v>
      </c>
      <c r="AO231" s="547">
        <f>SUM(AO227:AO230)</f>
        <v>-286.04045362576522</v>
      </c>
      <c r="AP231" s="547">
        <f>SUM(AP227:AP230)</f>
        <v>-240.14292359501087</v>
      </c>
      <c r="AQ231" s="547">
        <f t="shared" ref="AQ231:AY231" si="562">SUM(AQ227:AQ230)</f>
        <v>-191.34425845434833</v>
      </c>
      <c r="AR231" s="547">
        <f t="shared" si="562"/>
        <v>-195.21563445493348</v>
      </c>
      <c r="AS231" s="547">
        <f t="shared" si="562"/>
        <v>-194.65756063975974</v>
      </c>
      <c r="AT231" s="547">
        <f t="shared" si="562"/>
        <v>-197.66221053962792</v>
      </c>
      <c r="AU231" s="547">
        <f>SUM(AU227:AU230)</f>
        <v>-142.17738471583613</v>
      </c>
      <c r="AV231" s="547">
        <f t="shared" si="562"/>
        <v>-155.79955485530729</v>
      </c>
      <c r="AW231" s="547">
        <f t="shared" si="562"/>
        <v>-158.03562773441308</v>
      </c>
      <c r="AX231" s="547">
        <f t="shared" si="562"/>
        <v>-157.71329876209734</v>
      </c>
      <c r="AY231" s="547">
        <f t="shared" si="562"/>
        <v>-159.4486686035533</v>
      </c>
      <c r="AZ231" s="547">
        <f>SUM(AZ227:AZ230)</f>
        <v>-143.76337358169852</v>
      </c>
    </row>
    <row r="232" spans="2:54" hidden="1" outlineLevel="1">
      <c r="B232" s="565" t="s">
        <v>820</v>
      </c>
      <c r="C232" s="6"/>
      <c r="D232" s="6"/>
      <c r="E232" s="12"/>
      <c r="F232" s="18"/>
      <c r="G232" s="18"/>
      <c r="H232" s="19"/>
      <c r="I232" s="19"/>
      <c r="J232" s="19"/>
      <c r="K232" s="19"/>
      <c r="L232" s="18"/>
      <c r="M232" s="19"/>
      <c r="N232" s="19"/>
      <c r="O232" s="15">
        <f>O208</f>
        <v>0</v>
      </c>
      <c r="P232" s="15">
        <f>P208</f>
        <v>0</v>
      </c>
      <c r="Q232" s="18"/>
      <c r="R232" s="15">
        <f>R208</f>
        <v>0</v>
      </c>
      <c r="S232" s="15">
        <f>S208</f>
        <v>0</v>
      </c>
      <c r="T232" s="15">
        <f>T208</f>
        <v>-233.76432973048699</v>
      </c>
      <c r="U232" s="15">
        <f>U208</f>
        <v>689.26922881697055</v>
      </c>
      <c r="V232" s="14"/>
      <c r="W232" s="15">
        <f t="shared" ref="W232:Z232" si="563">W208</f>
        <v>143.56254885801945</v>
      </c>
      <c r="X232" s="15">
        <f t="shared" si="563"/>
        <v>193.50798660987212</v>
      </c>
      <c r="Y232" s="15">
        <f t="shared" si="563"/>
        <v>-65.832338416613183</v>
      </c>
      <c r="Z232" s="15">
        <f t="shared" si="563"/>
        <v>-38.323731729853485</v>
      </c>
      <c r="AA232" s="14"/>
      <c r="AB232" s="15">
        <f t="shared" ref="AB232:AE232" si="564">AB208</f>
        <v>-50.784151985617811</v>
      </c>
      <c r="AC232" s="15">
        <f t="shared" si="564"/>
        <v>143.42345434111058</v>
      </c>
      <c r="AD232" s="15">
        <f t="shared" si="564"/>
        <v>132.14688152786536</v>
      </c>
      <c r="AE232" s="15">
        <f t="shared" si="564"/>
        <v>-178.28469821298154</v>
      </c>
      <c r="AF232" s="14"/>
      <c r="AG232" s="15">
        <f t="shared" ref="AG232:AJ232" si="565">AG208</f>
        <v>-819.23534235872228</v>
      </c>
      <c r="AH232" s="15">
        <f t="shared" si="565"/>
        <v>-674.25235172911653</v>
      </c>
      <c r="AI232" s="15">
        <f t="shared" si="565"/>
        <v>-990.32968324567423</v>
      </c>
      <c r="AJ232" s="15">
        <f t="shared" si="565"/>
        <v>87.220611267777585</v>
      </c>
      <c r="AK232" s="14"/>
      <c r="AL232" s="15">
        <f>AL208</f>
        <v>-326.20406975838176</v>
      </c>
      <c r="AM232" s="15">
        <f>AM208</f>
        <v>-465.96781045913025</v>
      </c>
      <c r="AN232" s="268"/>
      <c r="AO232" s="268"/>
      <c r="AP232" s="242"/>
      <c r="AQ232" s="539"/>
      <c r="AR232" s="539"/>
      <c r="AS232" s="539"/>
      <c r="AT232" s="539"/>
      <c r="AU232" s="242"/>
      <c r="AV232" s="539"/>
      <c r="AW232" s="539"/>
      <c r="AX232" s="539"/>
      <c r="AY232" s="539"/>
      <c r="AZ232" s="242"/>
    </row>
    <row r="233" spans="2:54" hidden="1" outlineLevel="1">
      <c r="B233" s="567" t="s">
        <v>507</v>
      </c>
      <c r="C233" s="6"/>
      <c r="D233" s="6"/>
      <c r="E233" s="12"/>
      <c r="F233" s="18"/>
      <c r="G233" s="18"/>
      <c r="H233" s="19"/>
      <c r="I233" s="19"/>
      <c r="J233" s="19"/>
      <c r="K233" s="19"/>
      <c r="L233" s="18"/>
      <c r="M233" s="19"/>
      <c r="N233" s="19"/>
      <c r="O233" s="19"/>
      <c r="P233" s="19"/>
      <c r="Q233" s="18"/>
      <c r="R233" s="19"/>
      <c r="S233" s="19"/>
      <c r="T233" s="19">
        <f>T231/T232-1</f>
        <v>0</v>
      </c>
      <c r="U233" s="19">
        <f>U231/U232-1</f>
        <v>0</v>
      </c>
      <c r="V233" s="14"/>
      <c r="W233" s="19">
        <f>W231/W232-1</f>
        <v>0</v>
      </c>
      <c r="X233" s="19">
        <f>X231/X232-1</f>
        <v>0</v>
      </c>
      <c r="Y233" s="19">
        <f>Y231/Y232-1</f>
        <v>0</v>
      </c>
      <c r="Z233" s="19">
        <f>Z231/Z232-1</f>
        <v>0</v>
      </c>
      <c r="AA233" s="14"/>
      <c r="AB233" s="19">
        <f>AB231/AB232-1</f>
        <v>-8.8817841970012523E-16</v>
      </c>
      <c r="AC233" s="19">
        <f>AC231/AC232-1</f>
        <v>0</v>
      </c>
      <c r="AD233" s="19">
        <f>AD231/AD232-1</f>
        <v>0</v>
      </c>
      <c r="AE233" s="19">
        <f>AE231/AE232-1</f>
        <v>0</v>
      </c>
      <c r="AF233" s="14"/>
      <c r="AG233" s="19">
        <f>AG231/AG232-1</f>
        <v>0</v>
      </c>
      <c r="AH233" s="19">
        <f>AH231/AH232-1</f>
        <v>0</v>
      </c>
      <c r="AI233" s="19">
        <f>AI231/AI232-1</f>
        <v>0</v>
      </c>
      <c r="AJ233" s="19">
        <f>AJ231/AJ232-1</f>
        <v>0</v>
      </c>
      <c r="AK233" s="14"/>
      <c r="AL233" s="19">
        <f>AL231/AL232-1</f>
        <v>0</v>
      </c>
      <c r="AM233" s="19">
        <f>AM231/AM232-1</f>
        <v>0</v>
      </c>
      <c r="AN233" s="19"/>
      <c r="AO233" s="19"/>
      <c r="AP233" s="242"/>
      <c r="AQ233" s="539"/>
      <c r="AR233" s="539"/>
      <c r="AS233" s="539"/>
      <c r="AT233" s="539"/>
      <c r="AU233" s="242"/>
      <c r="AV233" s="539"/>
      <c r="AW233" s="539"/>
      <c r="AX233" s="539"/>
      <c r="AY233" s="539"/>
      <c r="AZ233" s="242"/>
    </row>
    <row r="234" spans="2:54" collapsed="1">
      <c r="B234" s="521"/>
      <c r="C234" s="6"/>
      <c r="D234" s="6"/>
      <c r="E234" s="12"/>
      <c r="F234" s="18"/>
      <c r="G234" s="18"/>
      <c r="H234" s="19"/>
      <c r="I234" s="19"/>
      <c r="J234" s="19"/>
      <c r="K234" s="19"/>
      <c r="L234" s="18"/>
      <c r="M234" s="19"/>
      <c r="N234" s="19"/>
      <c r="O234" s="19"/>
      <c r="P234" s="19"/>
      <c r="Q234" s="18"/>
      <c r="R234" s="19"/>
      <c r="S234" s="19"/>
      <c r="T234" s="15"/>
      <c r="U234" s="15"/>
      <c r="V234" s="14"/>
      <c r="W234" s="15"/>
      <c r="X234" s="15"/>
      <c r="Y234" s="15"/>
      <c r="Z234" s="15"/>
      <c r="AA234" s="14"/>
      <c r="AB234" s="15"/>
      <c r="AC234" s="15"/>
      <c r="AD234" s="15"/>
      <c r="AE234" s="15"/>
      <c r="AF234" s="14"/>
      <c r="AG234" s="15"/>
      <c r="AH234" s="15"/>
      <c r="AI234" s="15"/>
      <c r="AJ234" s="15"/>
      <c r="AK234" s="14"/>
      <c r="AL234" s="29"/>
      <c r="AM234" s="29"/>
      <c r="AN234" s="241"/>
      <c r="AO234" s="241"/>
      <c r="AP234" s="242"/>
      <c r="AQ234" s="241"/>
      <c r="AR234" s="241"/>
      <c r="AS234" s="241"/>
      <c r="AT234" s="241"/>
      <c r="AU234" s="242"/>
      <c r="AV234" s="241"/>
      <c r="AW234" s="241"/>
      <c r="AX234" s="241"/>
      <c r="AY234" s="241"/>
      <c r="AZ234" s="242"/>
    </row>
    <row r="235" spans="2:54">
      <c r="B235" s="522" t="s">
        <v>857</v>
      </c>
      <c r="C235" s="6"/>
      <c r="D235" s="6"/>
      <c r="E235" s="18"/>
      <c r="F235" s="18"/>
      <c r="G235" s="18"/>
      <c r="H235" s="19"/>
      <c r="I235" s="19"/>
      <c r="J235" s="19"/>
      <c r="K235" s="19"/>
      <c r="L235" s="18"/>
      <c r="M235" s="19"/>
      <c r="N235" s="19"/>
      <c r="O235" s="19"/>
      <c r="P235" s="19"/>
      <c r="Q235" s="18"/>
      <c r="R235" s="19"/>
      <c r="S235" s="19"/>
      <c r="T235" s="15"/>
      <c r="U235" s="15"/>
      <c r="V235" s="14"/>
      <c r="W235" s="15"/>
      <c r="X235" s="15"/>
      <c r="Y235" s="15"/>
      <c r="Z235" s="15"/>
      <c r="AA235" s="14"/>
      <c r="AB235" s="15"/>
      <c r="AC235" s="15"/>
      <c r="AD235" s="15"/>
      <c r="AE235" s="15"/>
      <c r="AF235" s="14"/>
      <c r="AG235" s="15"/>
      <c r="AH235" s="15"/>
      <c r="AI235" s="15"/>
      <c r="AJ235" s="15"/>
      <c r="AK235" s="14"/>
      <c r="AL235" s="29"/>
      <c r="AM235" s="29"/>
      <c r="AN235" s="243"/>
      <c r="AO235" s="243"/>
      <c r="AP235" s="237"/>
      <c r="AQ235" s="243"/>
      <c r="AR235" s="243"/>
      <c r="AS235" s="243"/>
      <c r="AT235" s="243"/>
      <c r="AU235" s="237"/>
      <c r="AV235" s="243"/>
      <c r="AW235" s="243"/>
      <c r="AX235" s="243"/>
      <c r="AY235" s="243"/>
      <c r="AZ235" s="237"/>
    </row>
    <row r="236" spans="2:54" hidden="1" outlineLevel="1">
      <c r="B236" s="521"/>
      <c r="C236" s="6"/>
      <c r="D236" s="6"/>
      <c r="E236" s="18"/>
      <c r="F236" s="18"/>
      <c r="G236" s="18"/>
      <c r="H236" s="19"/>
      <c r="I236" s="19"/>
      <c r="J236" s="19"/>
      <c r="K236" s="19"/>
      <c r="L236" s="18"/>
      <c r="M236" s="19"/>
      <c r="N236" s="19"/>
      <c r="O236" s="19"/>
      <c r="P236" s="19"/>
      <c r="Q236" s="18"/>
      <c r="R236" s="19"/>
      <c r="S236" s="19"/>
      <c r="T236" s="15"/>
      <c r="U236" s="15"/>
      <c r="V236" s="14"/>
      <c r="W236" s="15"/>
      <c r="X236" s="15"/>
      <c r="Y236" s="15"/>
      <c r="Z236" s="15"/>
      <c r="AA236" s="14"/>
      <c r="AB236" s="15"/>
      <c r="AC236" s="15"/>
      <c r="AD236" s="15"/>
      <c r="AE236" s="15"/>
      <c r="AF236" s="14"/>
      <c r="AG236" s="15"/>
      <c r="AH236" s="15"/>
      <c r="AI236" s="15"/>
      <c r="AJ236" s="15"/>
      <c r="AK236" s="14"/>
      <c r="AL236" s="29"/>
      <c r="AM236" s="29"/>
      <c r="AN236" s="243"/>
      <c r="AO236" s="243"/>
      <c r="AP236" s="237"/>
      <c r="AQ236" s="243"/>
      <c r="AR236" s="243"/>
      <c r="AS236" s="243"/>
      <c r="AT236" s="243"/>
      <c r="AU236" s="237"/>
      <c r="AV236" s="243"/>
      <c r="AW236" s="243"/>
      <c r="AX236" s="243"/>
      <c r="AY236" s="243"/>
      <c r="AZ236" s="237"/>
    </row>
    <row r="237" spans="2:54" hidden="1" outlineLevel="1">
      <c r="B237" s="526" t="s">
        <v>825</v>
      </c>
      <c r="C237" s="6"/>
      <c r="D237" s="6"/>
      <c r="E237" s="18"/>
      <c r="F237" s="18"/>
      <c r="G237" s="18"/>
      <c r="H237" s="19"/>
      <c r="I237" s="19"/>
      <c r="J237" s="19"/>
      <c r="K237" s="19"/>
      <c r="L237" s="18"/>
      <c r="M237" s="19"/>
      <c r="N237" s="19"/>
      <c r="O237" s="19"/>
      <c r="P237" s="19"/>
      <c r="Q237" s="18"/>
      <c r="R237" s="19"/>
      <c r="S237" s="19"/>
      <c r="T237" s="15"/>
      <c r="U237" s="15"/>
      <c r="V237" s="14"/>
      <c r="W237" s="15"/>
      <c r="X237" s="15"/>
      <c r="Y237" s="15"/>
      <c r="Z237" s="15"/>
      <c r="AA237" s="14"/>
      <c r="AB237" s="15"/>
      <c r="AC237" s="15"/>
      <c r="AD237" s="15"/>
      <c r="AE237" s="15"/>
      <c r="AF237" s="14"/>
      <c r="AG237" s="15"/>
      <c r="AH237" s="15"/>
      <c r="AI237" s="15"/>
      <c r="AJ237" s="15"/>
      <c r="AK237" s="14"/>
      <c r="AL237" s="29"/>
      <c r="AM237" s="29"/>
      <c r="AN237" s="243"/>
      <c r="AO237" s="243"/>
      <c r="AP237" s="237"/>
      <c r="AQ237" s="243"/>
      <c r="AR237" s="243"/>
      <c r="AS237" s="243"/>
      <c r="AT237" s="243"/>
      <c r="AU237" s="237"/>
      <c r="AV237" s="243"/>
      <c r="AW237" s="243"/>
      <c r="AX237" s="243"/>
      <c r="AY237" s="243"/>
      <c r="AZ237" s="237"/>
    </row>
    <row r="238" spans="2:54" s="19" customFormat="1" hidden="1" outlineLevel="1">
      <c r="B238" s="527" t="s">
        <v>835</v>
      </c>
      <c r="C238" s="523" t="s">
        <v>821</v>
      </c>
      <c r="D238" s="523"/>
      <c r="E238" s="18"/>
      <c r="F238" s="18"/>
      <c r="G238" s="18"/>
      <c r="L238" s="18"/>
      <c r="M238" s="19" cm="1">
        <f t="array" ref="M238">_xll.BDP($C238,"INTERVAL_PERCENT_CHANGE", "START_DATE_OVERRIDE",TEXT(H$6,"YYYYMMDD"), "END_DATE_OVERRIDE",TEXT(M$6,"YYYYMMDD"))/100</f>
        <v>-0.15183058147882272</v>
      </c>
      <c r="N238" s="19" cm="1">
        <f t="array" ref="N238">_xll.BDP($C238,"INTERVAL_PERCENT_CHANGE", "START_DATE_OVERRIDE",TEXT(I$6,"YYYYMMDD"), "END_DATE_OVERRIDE",TEXT(N$6,"YYYYMMDD"))/100</f>
        <v>-0.10116888351471179</v>
      </c>
      <c r="O238" s="19" cm="1">
        <f t="array" ref="O238">_xll.BDP($C238,"INTERVAL_PERCENT_CHANGE", "START_DATE_OVERRIDE",TEXT(J$6,"YYYYMMDD"), "END_DATE_OVERRIDE",TEXT(O$6,"YYYYMMDD"))/100</f>
        <v>-0.19992190550566191</v>
      </c>
      <c r="P238" s="19" cm="1">
        <f t="array" ref="P238">_xll.BDP($C238,"INTERVAL_PERCENT_CHANGE", "START_DATE_OVERRIDE",TEXT(K$6,"YYYYMMDD"), "END_DATE_OVERRIDE",TEXT(P$6,"YYYYMMDD"))/100</f>
        <v>-0.19294770206022194</v>
      </c>
      <c r="Q238" s="18"/>
      <c r="R238" s="19" cm="1">
        <f t="array" ref="R238">_xll.BDP($C238,"INTERVAL_PERCENT_CHANGE", "START_DATE_OVERRIDE",TEXT(M$6,"YYYYMMDD"), "END_DATE_OVERRIDE",TEXT(R$6,"YYYYMMDD"))/100</f>
        <v>-0.20016927634363102</v>
      </c>
      <c r="S238" s="19" cm="1">
        <f t="array" ref="S238">_xll.BDP($C238,"INTERVAL_PERCENT_CHANGE", "START_DATE_OVERRIDE",TEXT(N$6,"YYYYMMDD"), "END_DATE_OVERRIDE",TEXT(S$6,"YYYYMMDD"))/100</f>
        <v>-2.914798206278027E-2</v>
      </c>
      <c r="T238" s="19" cm="1">
        <f t="array" ref="T238">_xll.BDP($C238,"INTERVAL_PERCENT_CHANGE", "START_DATE_OVERRIDE",TEXT(O$6,"YYYYMMDD"), "END_DATE_OVERRIDE",TEXT(T$6,"YYYYMMDD"))/100</f>
        <v>-1.268911664226449E-2</v>
      </c>
      <c r="U238" s="19" cm="1">
        <f t="array" ref="U238">_xll.BDP($C238,"INTERVAL_PERCENT_CHANGE", "START_DATE_OVERRIDE",TEXT(P$6,"YYYYMMDD"), "END_DATE_OVERRIDE",TEXT(U$6,"YYYYMMDD"))/100</f>
        <v>0.27344133529700537</v>
      </c>
      <c r="V238" s="18"/>
      <c r="W238" s="19" cm="1">
        <f t="array" ref="W238">_xll.BDP($C238,"INTERVAL_PERCENT_CHANGE", "START_DATE_OVERRIDE",TEXT(R$6,"YYYYMMDD"), "END_DATE_OVERRIDE",TEXT(W$6,"YYYYMMDD"))/100</f>
        <v>0.26507936507936503</v>
      </c>
      <c r="X238" s="19" cm="1">
        <f t="array" ref="X238">_xll.BDP($C238,"INTERVAL_PERCENT_CHANGE", "START_DATE_OVERRIDE",TEXT(S$6,"YYYYMMDD"), "END_DATE_OVERRIDE",TEXT(X$6,"YYYYMMDD"))/100</f>
        <v>-7.5750577367205571E-2</v>
      </c>
      <c r="Y238" s="19" cm="1">
        <f t="array" ref="Y238">_xll.BDP($C238,"INTERVAL_PERCENT_CHANGE", "START_DATE_OVERRIDE",TEXT(T$6,"YYYYMMDD"), "END_DATE_OVERRIDE",TEXT(Y$6,"YYYYMMDD"))/100</f>
        <v>9.6885813148788899E-2</v>
      </c>
      <c r="Z238" s="19" cm="1">
        <f t="array" ref="Z238">_xll.BDP($C238,"INTERVAL_PERCENT_CHANGE", "START_DATE_OVERRIDE",TEXT(U$6,"YYYYMMDD"), "END_DATE_OVERRIDE",TEXT(Z$6,"YYYYMMDD"))/100</f>
        <v>-1.1179645335389274E-2</v>
      </c>
      <c r="AA238" s="18"/>
      <c r="AB238" s="19" cm="1">
        <f t="array" ref="AB238">_xll.BDP($C238,"INTERVAL_PERCENT_CHANGE", "START_DATE_OVERRIDE",TEXT(W$6,"YYYYMMDD"), "END_DATE_OVERRIDE",TEXT(AB$6,"YYYYMMDD"))/100</f>
        <v>3.3040568799665437E-2</v>
      </c>
      <c r="AC238" s="19" cm="1">
        <f t="array" ref="AC238">_xll.BDP($C238,"INTERVAL_PERCENT_CHANGE", "START_DATE_OVERRIDE",TEXT(X$6,"YYYYMMDD"), "END_DATE_OVERRIDE",TEXT(AC$6,"YYYYMMDD"))/100</f>
        <v>0.59270364817591203</v>
      </c>
      <c r="AD238" s="19" cm="1">
        <f t="array" ref="AD238">_xll.BDP($C238,"INTERVAL_PERCENT_CHANGE", "START_DATE_OVERRIDE",TEXT(Y$6,"YYYYMMDD"), "END_DATE_OVERRIDE",TEXT(AD$6,"YYYYMMDD"))/100</f>
        <v>0.74853537629562861</v>
      </c>
      <c r="AE238" s="19" cm="1">
        <f t="array" ref="AE238">_xll.BDP($C238,"INTERVAL_PERCENT_CHANGE", "START_DATE_OVERRIDE",TEXT(Z$6,"YYYYMMDD"), "END_DATE_OVERRIDE",TEXT(AE$6,"YYYYMMDD"))/100</f>
        <v>0.76296296296296295</v>
      </c>
      <c r="AF238" s="18"/>
      <c r="AG238" s="19" cm="1">
        <f t="array" ref="AG238">_xll.BDP($C238,"INTERVAL_PERCENT_CHANGE", "START_DATE_OVERRIDE",TEXT(AB$6,"YYYYMMDD"), "END_DATE_OVERRIDE",TEXT(AG$6,"YYYYMMDD"))/100</f>
        <v>0.83319838056680173</v>
      </c>
      <c r="AH238" s="19" cm="1">
        <f t="array" ref="AH238">_xll.BDP($C238,"INTERVAL_PERCENT_CHANGE", "START_DATE_OVERRIDE",TEXT(AC$6,"YYYYMMDD"), "END_DATE_OVERRIDE",TEXT(AH$6,"YYYYMMDD"))/100</f>
        <v>0.4659554439912143</v>
      </c>
      <c r="AI238" s="19" cm="1">
        <f t="array" ref="AI238">_xll.BDP($C238,"INTERVAL_PERCENT_CHANGE", "START_DATE_OVERRIDE",TEXT(AD$6,"YYYYMMDD"), "END_DATE_OVERRIDE",TEXT(AI$6,"YYYYMMDD"))/100</f>
        <v>0.14201030927835057</v>
      </c>
      <c r="AJ238" s="19" cm="1">
        <f t="array" ref="AJ238">_xll.BDP($C238,"INTERVAL_PERCENT_CHANGE", "START_DATE_OVERRIDE",TEXT(AE$6,"YYYYMMDD"), "END_DATE_OVERRIDE",TEXT(AJ$6,"YYYYMMDD"))/100</f>
        <v>-0.26006191950464391</v>
      </c>
      <c r="AK238" s="18"/>
      <c r="AL238" s="19" cm="1">
        <f t="array" ref="AL238">_xll.BDP($C238,"INTERVAL_PERCENT_CHANGE", "START_DATE_OVERRIDE",TEXT(AG$6,"YYYYMMDD"), "END_DATE_OVERRIDE",TEXT(AL$6,"YYYYMMDD"))/100</f>
        <v>-0.24690812720848057</v>
      </c>
      <c r="AM238" s="19" cm="1">
        <f t="array" ref="AM238">_xll.BDP($C238,"INTERVAL_PERCENT_CHANGE", "START_DATE_OVERRIDE",TEXT(AH$6,"YYYYMMDD"), "END_DATE_OVERRIDE",TEXT(AM$6,"YYYYMMDD"))/100</f>
        <v>-0.31078767123287671</v>
      </c>
      <c r="AN238" s="60" cm="1">
        <f t="array" ref="AN238">_xll.BDP($C238,"INTERVAL_PERCENT_CHANGE", "START_DATE_OVERRIDE",TEXT(AI$6,"YYYYMMDD"), "END_DATE_OVERRIDE",TEXT(AN$6,"YYYYMMDD"))/100</f>
        <v>-0.30106074996738186</v>
      </c>
      <c r="AO238" s="60" cm="1">
        <f t="array" ref="AO238">_xll.BDP($C238,"INTERVAL_PERCENT_CHANGE", "START_DATE_OVERRIDE",TEXT(AJ$6,"YYYYMMDD"), "END_DATE_OVERRIDE",TEXT(AO$6,"YYYYMMDD"))/100</f>
        <v>-7.4417269308269265E-2</v>
      </c>
      <c r="AP238" s="207" cm="1">
        <f t="array" ref="AP238">_xll.BDP($C238,"INTERVAL_PERCENT_CHANGE", "START_DATE_OVERRIDE",TEXT(AK$6,"YYYYMMDD"), "END_DATE_OVERRIDE",TEXT(AP$6,"YYYYMMDD"))/100</f>
        <v>-7.4417269308269265E-2</v>
      </c>
      <c r="AQ238" s="434"/>
      <c r="AR238" s="434"/>
      <c r="AS238" s="434"/>
      <c r="AT238" s="434"/>
      <c r="AU238" s="242"/>
      <c r="AV238" s="434"/>
      <c r="AW238" s="434"/>
      <c r="AX238" s="434"/>
      <c r="AY238" s="434"/>
      <c r="AZ238" s="242"/>
      <c r="BB238" s="447"/>
    </row>
    <row r="239" spans="2:54" s="19" customFormat="1" hidden="1" outlineLevel="1">
      <c r="B239" s="527" t="s">
        <v>911</v>
      </c>
      <c r="C239" s="19" t="s">
        <v>829</v>
      </c>
      <c r="D239" s="523"/>
      <c r="E239" s="18"/>
      <c r="F239" s="18"/>
      <c r="G239" s="18"/>
      <c r="L239" s="18"/>
      <c r="M239" s="19" cm="1">
        <f t="array" ref="M239">_xll.BDP($C239,"INTERVAL_PERCENT_CHANGE", "START_DATE_OVERRIDE",TEXT(H$6,"YYYYMMDD"), "END_DATE_OVERRIDE",TEXT(M$6,"YYYYMMDD"))/100</f>
        <v>-7.1429000000000006E-2</v>
      </c>
      <c r="N239" s="19" cm="1">
        <f t="array" ref="N239">_xll.BDP($C239,"INTERVAL_PERCENT_CHANGE", "START_DATE_OVERRIDE",TEXT(I$6,"YYYYMMDD"), "END_DATE_OVERRIDE",TEXT(N$6,"YYYYMMDD"))/100</f>
        <v>0.38053100000000001</v>
      </c>
      <c r="O239" s="19" cm="1">
        <f t="array" ref="O239">_xll.BDP($C239,"INTERVAL_PERCENT_CHANGE", "START_DATE_OVERRIDE",TEXT(J$6,"YYYYMMDD"), "END_DATE_OVERRIDE",TEXT(O$6,"YYYYMMDD"))/100</f>
        <v>0.20795100000000002</v>
      </c>
      <c r="P239" s="19" cm="1">
        <f t="array" ref="P239">_xll.BDP($C239,"INTERVAL_PERCENT_CHANGE", "START_DATE_OVERRIDE",TEXT(K$6,"YYYYMMDD"), "END_DATE_OVERRIDE",TEXT(P$6,"YYYYMMDD"))/100</f>
        <v>-0.13180500000000001</v>
      </c>
      <c r="Q239" s="18"/>
      <c r="R239" s="19" cm="1">
        <f t="array" ref="R239">_xll.BDP($C239,"INTERVAL_PERCENT_CHANGE", "START_DATE_OVERRIDE",TEXT(M$6,"YYYYMMDD"), "END_DATE_OVERRIDE",TEXT(R$6,"YYYYMMDD"))/100</f>
        <v>-0.16923100000000002</v>
      </c>
      <c r="S239" s="19" cm="1">
        <f t="array" ref="S239">_xll.BDP($C239,"INTERVAL_PERCENT_CHANGE", "START_DATE_OVERRIDE",TEXT(N$6,"YYYYMMDD"), "END_DATE_OVERRIDE",TEXT(S$6,"YYYYMMDD"))/100</f>
        <v>-0.29871799999999998</v>
      </c>
      <c r="T239" s="19" cm="1">
        <f t="array" ref="T239">_xll.BDP($C239,"INTERVAL_PERCENT_CHANGE", "START_DATE_OVERRIDE",TEXT(O$6,"YYYYMMDD"), "END_DATE_OVERRIDE",TEXT(T$6,"YYYYMMDD"))/100</f>
        <v>-0.29113900000000004</v>
      </c>
      <c r="U239" s="19" cm="1">
        <f t="array" ref="U239">_xll.BDP($C239,"INTERVAL_PERCENT_CHANGE", "START_DATE_OVERRIDE",TEXT(P$6,"YYYYMMDD"), "END_DATE_OVERRIDE",TEXT(U$6,"YYYYMMDD"))/100</f>
        <v>-0.19966999999999999</v>
      </c>
      <c r="V239" s="18"/>
      <c r="W239" s="19" cm="1">
        <f t="array" ref="W239">_xll.BDP($C239,"INTERVAL_PERCENT_CHANGE", "START_DATE_OVERRIDE",TEXT(R$6,"YYYYMMDD"), "END_DATE_OVERRIDE",TEXT(W$6,"YYYYMMDD"))/100</f>
        <v>-0.23148099999999999</v>
      </c>
      <c r="X239" s="19" cm="1">
        <f t="array" ref="X239">_xll.BDP($C239,"INTERVAL_PERCENT_CHANGE", "START_DATE_OVERRIDE",TEXT(S$6,"YYYYMMDD"), "END_DATE_OVERRIDE",TEXT(X$6,"YYYYMMDD"))/100</f>
        <v>-0.23217600000000002</v>
      </c>
      <c r="Y239" s="19" cm="1">
        <f t="array" ref="Y239">_xll.BDP($C239,"INTERVAL_PERCENT_CHANGE", "START_DATE_OVERRIDE",TEXT(T$6,"YYYYMMDD"), "END_DATE_OVERRIDE",TEXT(Y$6,"YYYYMMDD"))/100</f>
        <v>-8.0356999999999998E-2</v>
      </c>
      <c r="Z239" s="19" cm="1">
        <f t="array" ref="Z239">_xll.BDP($C239,"INTERVAL_PERCENT_CHANGE", "START_DATE_OVERRIDE",TEXT(U$6,"YYYYMMDD"), "END_DATE_OVERRIDE",TEXT(Z$6,"YYYYMMDD"))/100</f>
        <v>0.51546400000000003</v>
      </c>
      <c r="AA239" s="18"/>
      <c r="AB239" s="19" cm="1">
        <f t="array" ref="AB239">_xll.BDP($C239,"INTERVAL_PERCENT_CHANGE", "START_DATE_OVERRIDE",TEXT(W$6,"YYYYMMDD"), "END_DATE_OVERRIDE",TEXT(AB$6,"YYYYMMDD"))/100</f>
        <v>1.4578309999999999</v>
      </c>
      <c r="AC239" s="19" cm="1">
        <f t="array" ref="AC239">_xll.BDP($C239,"INTERVAL_PERCENT_CHANGE", "START_DATE_OVERRIDE",TEXT(X$6,"YYYYMMDD"), "END_DATE_OVERRIDE",TEXT(AC$6,"YYYYMMDD"))/100</f>
        <v>1.8452379999999999</v>
      </c>
      <c r="AD239" s="19" cm="1">
        <f t="array" ref="AD239">_xll.BDP($C239,"INTERVAL_PERCENT_CHANGE", "START_DATE_OVERRIDE",TEXT(Y$6,"YYYYMMDD"), "END_DATE_OVERRIDE",TEXT(AD$6,"YYYYMMDD"))/100</f>
        <v>1.4587379999999999</v>
      </c>
      <c r="AE239" s="19" cm="1">
        <f t="array" ref="AE239">_xll.BDP($C239,"INTERVAL_PERCENT_CHANGE", "START_DATE_OVERRIDE",TEXT(Z$6,"YYYYMMDD"), "END_DATE_OVERRIDE",TEXT(AE$6,"YYYYMMDD"))/100</f>
        <v>0.231293</v>
      </c>
      <c r="AF239" s="18"/>
      <c r="AG239" s="19" cm="1">
        <f t="array" ref="AG239">_xll.BDP($C239,"INTERVAL_PERCENT_CHANGE", "START_DATE_OVERRIDE",TEXT(AB$6,"YYYYMMDD"), "END_DATE_OVERRIDE",TEXT(AG$6,"YYYYMMDD"))/100</f>
        <v>-2.4510000000000001E-3</v>
      </c>
      <c r="AH239" s="19" cm="1">
        <f t="array" ref="AH239">_xll.BDP($C239,"INTERVAL_PERCENT_CHANGE", "START_DATE_OVERRIDE",TEXT(AC$6,"YYYYMMDD"), "END_DATE_OVERRIDE",TEXT(AH$6,"YYYYMMDD"))/100</f>
        <v>-0.31171500000000002</v>
      </c>
      <c r="AI239" s="19" cm="1">
        <f t="array" ref="AI239">_xll.BDP($C239,"INTERVAL_PERCENT_CHANGE", "START_DATE_OVERRIDE",TEXT(AD$6,"YYYYMMDD"), "END_DATE_OVERRIDE",TEXT(AI$6,"YYYYMMDD"))/100</f>
        <v>-0.47877600000000003</v>
      </c>
      <c r="AJ239" s="19" cm="1">
        <f t="array" ref="AJ239">_xll.BDP($C239,"INTERVAL_PERCENT_CHANGE", "START_DATE_OVERRIDE",TEXT(AE$6,"YYYYMMDD"), "END_DATE_OVERRIDE",TEXT(AJ$6,"YYYYMMDD"))/100</f>
        <v>-0.482873</v>
      </c>
      <c r="AK239" s="18"/>
      <c r="AL239" s="19" cm="1">
        <f t="array" ref="AL239">_xll.BDP($C239,"INTERVAL_PERCENT_CHANGE", "START_DATE_OVERRIDE",TEXT(AG$6,"YYYYMMDD"), "END_DATE_OVERRIDE",TEXT(AL$6,"YYYYMMDD"))/100</f>
        <v>-0.292383</v>
      </c>
      <c r="AM239" s="19" cm="1">
        <f t="array" ref="AM239">_xll.BDP($C239,"INTERVAL_PERCENT_CHANGE", "START_DATE_OVERRIDE",TEXT(AH$6,"YYYYMMDD"), "END_DATE_OVERRIDE",TEXT(AM$6,"YYYYMMDD"))/100</f>
        <v>-0.40425499999999998</v>
      </c>
      <c r="AN239" s="60" cm="1">
        <f t="array" ref="AN239">_xll.BDP($C239,"INTERVAL_PERCENT_CHANGE", "START_DATE_OVERRIDE",TEXT(AI$6,"YYYYMMDD"), "END_DATE_OVERRIDE",TEXT(AN$6,"YYYYMMDD"))/100</f>
        <v>-0.25757600000000003</v>
      </c>
      <c r="AO239" s="60" cm="1">
        <f t="array" ref="AO239">_xll.BDP($C239,"INTERVAL_PERCENT_CHANGE", "START_DATE_OVERRIDE",TEXT(AJ$6,"YYYYMMDD"), "END_DATE_OVERRIDE",TEXT(AO$6,"YYYYMMDD"))/100</f>
        <v>4.7008999999999995E-2</v>
      </c>
      <c r="AP239" s="207" cm="1">
        <f t="array" ref="AP239">_xll.BDP($C239,"INTERVAL_PERCENT_CHANGE", "START_DATE_OVERRIDE",TEXT(AK$6,"YYYYMMDD"), "END_DATE_OVERRIDE",TEXT(AP$6,"YYYYMMDD"))/100</f>
        <v>4.7008999999999995E-2</v>
      </c>
      <c r="AQ239" s="434"/>
      <c r="AR239" s="434"/>
      <c r="AS239" s="434"/>
      <c r="AT239" s="434"/>
      <c r="AU239" s="242"/>
      <c r="AV239" s="434"/>
      <c r="AW239" s="434"/>
      <c r="AX239" s="434"/>
      <c r="AY239" s="434"/>
      <c r="AZ239" s="242"/>
      <c r="BB239" s="447"/>
    </row>
    <row r="240" spans="2:54" s="19" customFormat="1" hidden="1" outlineLevel="1">
      <c r="B240" s="527" t="s">
        <v>836</v>
      </c>
      <c r="C240" s="19" t="s">
        <v>828</v>
      </c>
      <c r="D240" s="523"/>
      <c r="E240" s="18"/>
      <c r="F240" s="18"/>
      <c r="G240" s="18"/>
      <c r="L240" s="18"/>
      <c r="M240" s="19" cm="1">
        <f t="array" ref="M240">_xll.BDP($C240,"INTERVAL_PERCENT_CHANGE", "START_DATE_OVERRIDE",TEXT(H$6,"YYYYMMDD"), "END_DATE_OVERRIDE",TEXT(M$6,"YYYYMMDD"))/100</f>
        <v>2.9437999999999999E-2</v>
      </c>
      <c r="N240" s="19" cm="1">
        <f t="array" ref="N240">_xll.BDP($C240,"INTERVAL_PERCENT_CHANGE", "START_DATE_OVERRIDE",TEXT(I$6,"YYYYMMDD"), "END_DATE_OVERRIDE",TEXT(N$6,"YYYYMMDD"))/100</f>
        <v>3.2772000000000003E-2</v>
      </c>
      <c r="O240" s="19" cm="1">
        <f t="array" ref="O240">_xll.BDP($C240,"INTERVAL_PERCENT_CHANGE", "START_DATE_OVERRIDE",TEXT(J$6,"YYYYMMDD"), "END_DATE_OVERRIDE",TEXT(O$6,"YYYYMMDD"))/100</f>
        <v>2.7313E-2</v>
      </c>
      <c r="P240" s="19" cm="1">
        <f t="array" ref="P240">_xll.BDP($C240,"INTERVAL_PERCENT_CHANGE", "START_DATE_OVERRIDE",TEXT(K$6,"YYYYMMDD"), "END_DATE_OVERRIDE",TEXT(P$6,"YYYYMMDD"))/100</f>
        <v>2.6362E-2</v>
      </c>
      <c r="Q240" s="18"/>
      <c r="R240" s="19" cm="1">
        <f t="array" ref="R240">_xll.BDP($C240,"INTERVAL_PERCENT_CHANGE", "START_DATE_OVERRIDE",TEXT(M$6,"YYYYMMDD"), "END_DATE_OVERRIDE",TEXT(R$6,"YYYYMMDD"))/100</f>
        <v>1.9931000000000001E-2</v>
      </c>
      <c r="S240" s="19" cm="1">
        <f t="array" ref="S240">_xll.BDP($C240,"INTERVAL_PERCENT_CHANGE", "START_DATE_OVERRIDE",TEXT(N$6,"YYYYMMDD"), "END_DATE_OVERRIDE",TEXT(S$6,"YYYYMMDD"))/100</f>
        <v>1.6295E-2</v>
      </c>
      <c r="T240" s="19" cm="1">
        <f t="array" ref="T240">_xll.BDP($C240,"INTERVAL_PERCENT_CHANGE", "START_DATE_OVERRIDE",TEXT(O$6,"YYYYMMDD"), "END_DATE_OVERRIDE",TEXT(T$6,"YYYYMMDD"))/100</f>
        <v>1.4579999999999999E-2</v>
      </c>
      <c r="U240" s="19" cm="1">
        <f t="array" ref="U240">_xll.BDP($C240,"INTERVAL_PERCENT_CHANGE", "START_DATE_OVERRIDE",TEXT(P$6,"YYYYMMDD"), "END_DATE_OVERRIDE",TEXT(U$6,"YYYYMMDD"))/100</f>
        <v>1.3698999999999999E-2</v>
      </c>
      <c r="V240" s="18"/>
      <c r="W240" s="19" cm="1">
        <f t="array" ref="W240">_xll.BDP($C240,"INTERVAL_PERCENT_CHANGE", "START_DATE_OVERRIDE",TEXT(R$6,"YYYYMMDD"), "END_DATE_OVERRIDE",TEXT(W$6,"YYYYMMDD"))/100</f>
        <v>3.398E-3</v>
      </c>
      <c r="X240" s="19" cm="1">
        <f t="array" ref="X240">_xll.BDP($C240,"INTERVAL_PERCENT_CHANGE", "START_DATE_OVERRIDE",TEXT(S$6,"YYYYMMDD"), "END_DATE_OVERRIDE",TEXT(X$6,"YYYYMMDD"))/100</f>
        <v>-6.7510000000000001E-3</v>
      </c>
      <c r="Y240" s="19" cm="1">
        <f t="array" ref="Y240">_xll.BDP($C240,"INTERVAL_PERCENT_CHANGE", "START_DATE_OVERRIDE",TEXT(T$6,"YYYYMMDD"), "END_DATE_OVERRIDE",TEXT(Y$6,"YYYYMMDD"))/100</f>
        <v>3.3810000000000003E-3</v>
      </c>
      <c r="Z240" s="19" cm="1">
        <f t="array" ref="Z240">_xll.BDP($C240,"INTERVAL_PERCENT_CHANGE", "START_DATE_OVERRIDE",TEXT(U$6,"YYYYMMDD"), "END_DATE_OVERRIDE",TEXT(Z$6,"YYYYMMDD"))/100</f>
        <v>8.4460000000000004E-3</v>
      </c>
      <c r="AA240" s="18"/>
      <c r="AB240" s="19" cm="1">
        <f t="array" ref="AB240">_xll.BDP($C240,"INTERVAL_PERCENT_CHANGE", "START_DATE_OVERRIDE",TEXT(W$6,"YYYYMMDD"), "END_DATE_OVERRIDE",TEXT(AB$6,"YYYYMMDD"))/100</f>
        <v>4.1489999999999999E-2</v>
      </c>
      <c r="AC240" s="19" cm="1">
        <f t="array" ref="AC240">_xll.BDP($C240,"INTERVAL_PERCENT_CHANGE", "START_DATE_OVERRIDE",TEXT(X$6,"YYYYMMDD"), "END_DATE_OVERRIDE",TEXT(AC$6,"YYYYMMDD"))/100</f>
        <v>7.5616000000000003E-2</v>
      </c>
      <c r="AD240" s="19" cm="1">
        <f t="array" ref="AD240">_xll.BDP($C240,"INTERVAL_PERCENT_CHANGE", "START_DATE_OVERRIDE",TEXT(Y$6,"YYYYMMDD"), "END_DATE_OVERRIDE",TEXT(AD$6,"YYYYMMDD"))/100</f>
        <v>8.7750999999999996E-2</v>
      </c>
      <c r="AE240" s="19" cm="1">
        <f t="array" ref="AE240">_xll.BDP($C240,"INTERVAL_PERCENT_CHANGE", "START_DATE_OVERRIDE",TEXT(Z$6,"YYYYMMDD"), "END_DATE_OVERRIDE",TEXT(AE$6,"YYYYMMDD"))/100</f>
        <v>0.100034</v>
      </c>
      <c r="AF240" s="18"/>
      <c r="AG240" s="19" cm="1">
        <f t="array" ref="AG240">_xll.BDP($C240,"INTERVAL_PERCENT_CHANGE", "START_DATE_OVERRIDE",TEXT(AB$6,"YYYYMMDD"), "END_DATE_OVERRIDE",TEXT(AG$6,"YYYYMMDD"))/100</f>
        <v>0.116593</v>
      </c>
      <c r="AH240" s="19" cm="1">
        <f t="array" ref="AH240">_xll.BDP($C240,"INTERVAL_PERCENT_CHANGE", "START_DATE_OVERRIDE",TEXT(AC$6,"YYYYMMDD"), "END_DATE_OVERRIDE",TEXT(AH$6,"YYYYMMDD"))/100</f>
        <v>0.11231400000000001</v>
      </c>
      <c r="AI240" s="19" cm="1">
        <f t="array" ref="AI240">_xll.BDP($C240,"INTERVAL_PERCENT_CHANGE", "START_DATE_OVERRIDE",TEXT(AD$6,"YYYYMMDD"), "END_DATE_OVERRIDE",TEXT(AI$6,"YYYYMMDD"))/100</f>
        <v>8.4807000000000007E-2</v>
      </c>
      <c r="AJ240" s="19" cm="1">
        <f t="array" ref="AJ240">_xll.BDP($C240,"INTERVAL_PERCENT_CHANGE", "START_DATE_OVERRIDE",TEXT(AE$6,"YYYYMMDD"), "END_DATE_OVERRIDE",TEXT(AJ$6,"YYYYMMDD"))/100</f>
        <v>6.4227999999999993E-2</v>
      </c>
      <c r="AK240" s="18"/>
      <c r="AL240" s="19" cm="1">
        <f t="array" ref="AL240">_xll.BDP($C240,"INTERVAL_PERCENT_CHANGE", "START_DATE_OVERRIDE",TEXT(AG$6,"YYYYMMDD"), "END_DATE_OVERRIDE",TEXT(AL$6,"YYYYMMDD"))/100</f>
        <v>2.6605E-2</v>
      </c>
      <c r="AM240" s="19" cm="1">
        <f t="array" ref="AM240">_xll.BDP($C240,"INTERVAL_PERCENT_CHANGE", "START_DATE_OVERRIDE",TEXT(AH$6,"YYYYMMDD"), "END_DATE_OVERRIDE",TEXT(AM$6,"YYYYMMDD"))/100</f>
        <v>8.3799999999999999E-4</v>
      </c>
      <c r="AN240" s="60" cm="1">
        <f t="array" ref="AN240">_xll.BDP($C240,"INTERVAL_PERCENT_CHANGE", "START_DATE_OVERRIDE",TEXT(AI$6,"YYYYMMDD"), "END_DATE_OVERRIDE",TEXT(AN$6,"YYYYMMDD"))/100</f>
        <v>1.5550000000000001E-2</v>
      </c>
      <c r="AO240" s="60" cm="1">
        <f t="array" ref="AO240">_xll.BDP($C240,"INTERVAL_PERCENT_CHANGE", "START_DATE_OVERRIDE",TEXT(AJ$6,"YYYYMMDD"), "END_DATE_OVERRIDE",TEXT(AO$6,"YYYYMMDD"))/100</f>
        <v>1.7627999999999998E-2</v>
      </c>
      <c r="AP240" s="207" cm="1">
        <f t="array" ref="AP240">_xll.BDP($C240,"INTERVAL_PERCENT_CHANGE", "START_DATE_OVERRIDE",TEXT(AK$6,"YYYYMMDD"), "END_DATE_OVERRIDE",TEXT(AP$6,"YYYYMMDD"))/100</f>
        <v>1.7627999999999998E-2</v>
      </c>
      <c r="AQ240" s="434"/>
      <c r="AR240" s="434"/>
      <c r="AS240" s="434"/>
      <c r="AT240" s="434"/>
      <c r="AU240" s="242"/>
      <c r="AV240" s="434"/>
      <c r="AW240" s="434"/>
      <c r="AX240" s="434"/>
      <c r="AY240" s="434"/>
      <c r="AZ240" s="242"/>
      <c r="BB240" s="447"/>
    </row>
    <row r="241" spans="2:54" hidden="1" outlineLevel="1">
      <c r="B241" s="408"/>
      <c r="C241" s="6"/>
      <c r="D241" s="6"/>
      <c r="E241" s="18"/>
      <c r="F241" s="18"/>
      <c r="G241" s="18"/>
      <c r="H241" s="19"/>
      <c r="J241" s="19"/>
      <c r="K241" s="19"/>
      <c r="L241" s="18"/>
      <c r="M241" s="19"/>
      <c r="N241" s="19"/>
      <c r="O241" s="19"/>
      <c r="P241" s="19"/>
      <c r="Q241" s="18"/>
      <c r="R241" s="19"/>
      <c r="S241" s="19"/>
      <c r="T241" s="19"/>
      <c r="U241" s="19"/>
      <c r="V241" s="18"/>
      <c r="W241" s="19"/>
      <c r="X241" s="19"/>
      <c r="Y241" s="19"/>
      <c r="Z241" s="19"/>
      <c r="AA241" s="18"/>
      <c r="AB241" s="19"/>
      <c r="AC241" s="19"/>
      <c r="AD241" s="19"/>
      <c r="AE241" s="19"/>
      <c r="AF241" s="18"/>
      <c r="AG241" s="19"/>
      <c r="AH241" s="19"/>
      <c r="AI241" s="19"/>
      <c r="AJ241" s="19"/>
      <c r="AK241" s="18"/>
      <c r="AL241" s="19"/>
      <c r="AM241" s="19"/>
      <c r="AN241" s="312"/>
      <c r="AO241" s="312"/>
      <c r="AP241" s="219"/>
      <c r="AQ241" s="243"/>
      <c r="AR241" s="243"/>
      <c r="AS241" s="243"/>
      <c r="AT241" s="243"/>
      <c r="AU241" s="237"/>
      <c r="AV241" s="243"/>
      <c r="AW241" s="243"/>
      <c r="AX241" s="243"/>
      <c r="AY241" s="243"/>
      <c r="AZ241" s="237"/>
    </row>
    <row r="242" spans="2:54" hidden="1" outlineLevel="1">
      <c r="B242" s="4" t="s">
        <v>831</v>
      </c>
      <c r="C242" s="6"/>
      <c r="D242" s="6"/>
      <c r="E242" s="18"/>
      <c r="F242" s="18"/>
      <c r="G242" s="18"/>
      <c r="H242" s="19"/>
      <c r="J242" s="19"/>
      <c r="K242" s="19"/>
      <c r="L242" s="18"/>
      <c r="M242" s="19"/>
      <c r="N242" s="19"/>
      <c r="O242" s="19"/>
      <c r="P242" s="19"/>
      <c r="Q242" s="18"/>
      <c r="R242" s="19"/>
      <c r="S242" s="19"/>
      <c r="T242" s="19"/>
      <c r="U242" s="19"/>
      <c r="V242" s="18"/>
      <c r="W242" s="19"/>
      <c r="X242" s="19"/>
      <c r="Y242" s="19"/>
      <c r="Z242" s="19"/>
      <c r="AA242" s="18"/>
      <c r="AB242" s="19"/>
      <c r="AC242" s="19"/>
      <c r="AD242" s="19"/>
      <c r="AE242" s="19"/>
      <c r="AF242" s="18"/>
      <c r="AG242" s="19"/>
      <c r="AH242" s="19"/>
      <c r="AI242" s="19"/>
      <c r="AJ242" s="19"/>
      <c r="AK242" s="18"/>
      <c r="AL242" s="19"/>
      <c r="AM242" s="19"/>
      <c r="AN242" s="312"/>
      <c r="AO242" s="312"/>
      <c r="AP242" s="219"/>
      <c r="AQ242" s="243"/>
      <c r="AR242" s="243"/>
      <c r="AS242" s="243"/>
      <c r="AT242" s="243"/>
      <c r="AU242" s="237"/>
      <c r="AV242" s="243"/>
      <c r="AW242" s="243"/>
      <c r="AX242" s="243"/>
      <c r="AY242" s="243"/>
      <c r="AZ242" s="237"/>
    </row>
    <row r="243" spans="2:54" s="165" customFormat="1" hidden="1" outlineLevel="1">
      <c r="B243" s="528" t="s">
        <v>835</v>
      </c>
      <c r="C243" s="525"/>
      <c r="D243" s="525"/>
      <c r="E243" s="18"/>
      <c r="F243" s="18"/>
      <c r="G243" s="18"/>
      <c r="H243" s="19"/>
      <c r="I243" s="241"/>
      <c r="J243" s="241"/>
      <c r="K243" s="241"/>
      <c r="L243" s="18"/>
      <c r="M243" s="241">
        <v>0.05</v>
      </c>
      <c r="N243" s="241">
        <v>0.05</v>
      </c>
      <c r="O243" s="241">
        <v>0.05</v>
      </c>
      <c r="P243" s="241">
        <v>0.05</v>
      </c>
      <c r="Q243" s="18"/>
      <c r="R243" s="241">
        <v>0.05</v>
      </c>
      <c r="S243" s="241">
        <v>0.05</v>
      </c>
      <c r="T243" s="241">
        <v>0.05</v>
      </c>
      <c r="U243" s="241">
        <v>0.05</v>
      </c>
      <c r="V243" s="18"/>
      <c r="W243" s="241">
        <v>0.05</v>
      </c>
      <c r="X243" s="241">
        <v>0.05</v>
      </c>
      <c r="Y243" s="241">
        <v>0.05</v>
      </c>
      <c r="Z243" s="241">
        <v>0.05</v>
      </c>
      <c r="AA243" s="18"/>
      <c r="AB243" s="241">
        <v>0.05</v>
      </c>
      <c r="AC243" s="241">
        <v>0.05</v>
      </c>
      <c r="AD243" s="241">
        <v>0.05</v>
      </c>
      <c r="AE243" s="241">
        <v>0.05</v>
      </c>
      <c r="AF243" s="18"/>
      <c r="AG243" s="241">
        <v>0.05</v>
      </c>
      <c r="AH243" s="241">
        <v>0.05</v>
      </c>
      <c r="AI243" s="241">
        <v>0.05</v>
      </c>
      <c r="AJ243" s="241">
        <v>0.05</v>
      </c>
      <c r="AK243" s="18"/>
      <c r="AL243" s="241">
        <v>0.05</v>
      </c>
      <c r="AM243" s="241">
        <v>0.05</v>
      </c>
      <c r="AN243" s="516">
        <v>0.05</v>
      </c>
      <c r="AO243" s="516">
        <v>0.05</v>
      </c>
      <c r="AP243" s="545">
        <f t="shared" ref="AP243:AP246" si="566">AO243</f>
        <v>0.05</v>
      </c>
      <c r="AQ243" s="243"/>
      <c r="AR243" s="243"/>
      <c r="AS243" s="243"/>
      <c r="AT243" s="243"/>
      <c r="AU243" s="237"/>
      <c r="AV243" s="243"/>
      <c r="AW243" s="243"/>
      <c r="AX243" s="243"/>
      <c r="AY243" s="243"/>
      <c r="AZ243" s="237"/>
      <c r="BB243" s="241"/>
    </row>
    <row r="244" spans="2:54" s="165" customFormat="1" hidden="1" outlineLevel="1">
      <c r="B244" s="528" t="s">
        <v>911</v>
      </c>
      <c r="C244" s="525"/>
      <c r="D244" s="525"/>
      <c r="E244" s="18"/>
      <c r="F244" s="18"/>
      <c r="G244" s="18"/>
      <c r="H244" s="19"/>
      <c r="I244" s="241"/>
      <c r="J244" s="241"/>
      <c r="K244" s="241"/>
      <c r="L244" s="18"/>
      <c r="M244" s="241">
        <v>0.05</v>
      </c>
      <c r="N244" s="241">
        <v>0.05</v>
      </c>
      <c r="O244" s="241">
        <v>0.05</v>
      </c>
      <c r="P244" s="241">
        <v>0.05</v>
      </c>
      <c r="Q244" s="18"/>
      <c r="R244" s="241">
        <v>0.05</v>
      </c>
      <c r="S244" s="241">
        <v>0.05</v>
      </c>
      <c r="T244" s="241">
        <v>0.05</v>
      </c>
      <c r="U244" s="241">
        <v>0.05</v>
      </c>
      <c r="V244" s="18"/>
      <c r="W244" s="241">
        <v>0.05</v>
      </c>
      <c r="X244" s="241">
        <v>0.05</v>
      </c>
      <c r="Y244" s="241">
        <v>0.05</v>
      </c>
      <c r="Z244" s="241">
        <v>0.05</v>
      </c>
      <c r="AA244" s="18"/>
      <c r="AB244" s="241">
        <v>0.05</v>
      </c>
      <c r="AC244" s="241">
        <v>0.05</v>
      </c>
      <c r="AD244" s="241">
        <v>0.05</v>
      </c>
      <c r="AE244" s="241">
        <v>0.05</v>
      </c>
      <c r="AF244" s="18"/>
      <c r="AG244" s="241">
        <v>0.05</v>
      </c>
      <c r="AH244" s="241">
        <v>0.05</v>
      </c>
      <c r="AI244" s="241">
        <v>0.05</v>
      </c>
      <c r="AJ244" s="241">
        <v>0.05</v>
      </c>
      <c r="AK244" s="18"/>
      <c r="AL244" s="241">
        <v>0.05</v>
      </c>
      <c r="AM244" s="241">
        <v>0.05</v>
      </c>
      <c r="AN244" s="516">
        <v>0.05</v>
      </c>
      <c r="AO244" s="516">
        <v>0.05</v>
      </c>
      <c r="AP244" s="545">
        <f t="shared" si="566"/>
        <v>0.05</v>
      </c>
      <c r="AQ244" s="243"/>
      <c r="AR244" s="243"/>
      <c r="AS244" s="243"/>
      <c r="AT244" s="243"/>
      <c r="AU244" s="237"/>
      <c r="AV244" s="243"/>
      <c r="AW244" s="243"/>
      <c r="AX244" s="243"/>
      <c r="AY244" s="243"/>
      <c r="AZ244" s="237"/>
      <c r="BB244" s="241"/>
    </row>
    <row r="245" spans="2:54" s="165" customFormat="1" hidden="1" outlineLevel="1">
      <c r="B245" s="528" t="s">
        <v>836</v>
      </c>
      <c r="C245" s="525"/>
      <c r="D245" s="525"/>
      <c r="E245" s="18"/>
      <c r="F245" s="18"/>
      <c r="G245" s="18"/>
      <c r="H245" s="19"/>
      <c r="I245" s="241"/>
      <c r="J245" s="241"/>
      <c r="K245" s="241"/>
      <c r="L245" s="18"/>
      <c r="M245" s="241">
        <v>0.9</v>
      </c>
      <c r="N245" s="241">
        <v>0.9</v>
      </c>
      <c r="O245" s="241">
        <v>0.9</v>
      </c>
      <c r="P245" s="241">
        <v>0.9</v>
      </c>
      <c r="Q245" s="18"/>
      <c r="R245" s="241">
        <v>0.9</v>
      </c>
      <c r="S245" s="241">
        <v>0.9</v>
      </c>
      <c r="T245" s="241">
        <v>0.9</v>
      </c>
      <c r="U245" s="241">
        <v>0.9</v>
      </c>
      <c r="V245" s="18"/>
      <c r="W245" s="241">
        <v>0.9</v>
      </c>
      <c r="X245" s="241">
        <v>0.9</v>
      </c>
      <c r="Y245" s="241">
        <v>0.9</v>
      </c>
      <c r="Z245" s="241">
        <v>0.9</v>
      </c>
      <c r="AA245" s="18"/>
      <c r="AB245" s="241">
        <v>0.9</v>
      </c>
      <c r="AC245" s="241">
        <v>0.9</v>
      </c>
      <c r="AD245" s="241">
        <v>0.9</v>
      </c>
      <c r="AE245" s="241">
        <v>0.9</v>
      </c>
      <c r="AF245" s="18"/>
      <c r="AG245" s="241">
        <v>0.9</v>
      </c>
      <c r="AH245" s="241">
        <v>0.9</v>
      </c>
      <c r="AI245" s="241">
        <v>0.9</v>
      </c>
      <c r="AJ245" s="241">
        <v>0.9</v>
      </c>
      <c r="AK245" s="18"/>
      <c r="AL245" s="241">
        <v>0.9</v>
      </c>
      <c r="AM245" s="241">
        <v>0.9</v>
      </c>
      <c r="AN245" s="516">
        <v>0.9</v>
      </c>
      <c r="AO245" s="516">
        <v>0.9</v>
      </c>
      <c r="AP245" s="545">
        <f t="shared" si="566"/>
        <v>0.9</v>
      </c>
      <c r="AQ245" s="243"/>
      <c r="AR245" s="243"/>
      <c r="AS245" s="243"/>
      <c r="AT245" s="243"/>
      <c r="AU245" s="237"/>
      <c r="AV245" s="243"/>
      <c r="AW245" s="243"/>
      <c r="AX245" s="243"/>
      <c r="AY245" s="243"/>
      <c r="AZ245" s="237"/>
      <c r="BB245" s="241"/>
    </row>
    <row r="246" spans="2:54" s="165" customFormat="1" hidden="1" outlineLevel="1">
      <c r="B246" s="528"/>
      <c r="C246" s="525"/>
      <c r="D246" s="525"/>
      <c r="E246" s="18"/>
      <c r="F246" s="18"/>
      <c r="G246" s="18"/>
      <c r="H246" s="19"/>
      <c r="I246" s="241"/>
      <c r="J246" s="241"/>
      <c r="K246" s="241"/>
      <c r="L246" s="18"/>
      <c r="M246" s="241">
        <f t="shared" ref="M246" si="567">SUM(M243:M245)</f>
        <v>1</v>
      </c>
      <c r="N246" s="241">
        <f t="shared" ref="N246" si="568">SUM(N243:N245)</f>
        <v>1</v>
      </c>
      <c r="O246" s="241">
        <f t="shared" ref="O246" si="569">SUM(O243:O245)</f>
        <v>1</v>
      </c>
      <c r="P246" s="241">
        <f t="shared" ref="P246" si="570">SUM(P243:P245)</f>
        <v>1</v>
      </c>
      <c r="Q246" s="18"/>
      <c r="R246" s="241">
        <f t="shared" ref="R246" si="571">SUM(R243:R245)</f>
        <v>1</v>
      </c>
      <c r="S246" s="241">
        <f t="shared" ref="S246" si="572">SUM(S243:S245)</f>
        <v>1</v>
      </c>
      <c r="T246" s="241">
        <f t="shared" ref="T246" si="573">SUM(T243:T245)</f>
        <v>1</v>
      </c>
      <c r="U246" s="241">
        <f t="shared" ref="U246" si="574">SUM(U243:U245)</f>
        <v>1</v>
      </c>
      <c r="V246" s="18"/>
      <c r="W246" s="241">
        <f t="shared" ref="W246" si="575">SUM(W243:W245)</f>
        <v>1</v>
      </c>
      <c r="X246" s="241">
        <f t="shared" ref="X246" si="576">SUM(X243:X245)</f>
        <v>1</v>
      </c>
      <c r="Y246" s="241">
        <f t="shared" ref="Y246" si="577">SUM(Y243:Y245)</f>
        <v>1</v>
      </c>
      <c r="Z246" s="241">
        <f t="shared" ref="Z246" si="578">SUM(Z243:Z245)</f>
        <v>1</v>
      </c>
      <c r="AA246" s="18"/>
      <c r="AB246" s="241">
        <f t="shared" ref="AB246:AE246" si="579">SUM(AB243:AB245)</f>
        <v>1</v>
      </c>
      <c r="AC246" s="241">
        <f t="shared" si="579"/>
        <v>1</v>
      </c>
      <c r="AD246" s="241">
        <f t="shared" si="579"/>
        <v>1</v>
      </c>
      <c r="AE246" s="241">
        <f t="shared" si="579"/>
        <v>1</v>
      </c>
      <c r="AF246" s="18"/>
      <c r="AG246" s="241">
        <f t="shared" ref="AG246" si="580">SUM(AG243:AG245)</f>
        <v>1</v>
      </c>
      <c r="AH246" s="241">
        <f t="shared" ref="AH246" si="581">SUM(AH243:AH245)</f>
        <v>1</v>
      </c>
      <c r="AI246" s="241">
        <f t="shared" ref="AI246" si="582">SUM(AI243:AI245)</f>
        <v>1</v>
      </c>
      <c r="AJ246" s="241">
        <f t="shared" ref="AJ246" si="583">SUM(AJ243:AJ245)</f>
        <v>1</v>
      </c>
      <c r="AK246" s="18"/>
      <c r="AL246" s="241">
        <f t="shared" ref="AL246" si="584">SUM(AL243:AL245)</f>
        <v>1</v>
      </c>
      <c r="AM246" s="241">
        <f t="shared" ref="AM246:AO246" si="585">SUM(AM243:AM245)</f>
        <v>1</v>
      </c>
      <c r="AN246" s="516">
        <f t="shared" si="585"/>
        <v>1</v>
      </c>
      <c r="AO246" s="516">
        <f t="shared" si="585"/>
        <v>1</v>
      </c>
      <c r="AP246" s="545">
        <f t="shared" si="566"/>
        <v>1</v>
      </c>
      <c r="AQ246" s="243"/>
      <c r="AR246" s="243"/>
      <c r="AS246" s="243"/>
      <c r="AT246" s="243"/>
      <c r="AU246" s="237"/>
      <c r="AV246" s="243"/>
      <c r="AW246" s="243"/>
      <c r="AX246" s="243"/>
      <c r="AY246" s="243"/>
      <c r="AZ246" s="237"/>
      <c r="BB246" s="241"/>
    </row>
    <row r="247" spans="2:54" hidden="1" outlineLevel="1">
      <c r="B247" s="408"/>
      <c r="C247" s="6"/>
      <c r="D247" s="6"/>
      <c r="E247" s="18"/>
      <c r="F247" s="18"/>
      <c r="G247" s="18"/>
      <c r="H247" s="19"/>
      <c r="I247" s="238"/>
      <c r="J247" s="238"/>
      <c r="K247" s="238"/>
      <c r="L247" s="18"/>
      <c r="M247" s="238"/>
      <c r="N247" s="238"/>
      <c r="O247" s="238"/>
      <c r="P247" s="238"/>
      <c r="Q247" s="18"/>
      <c r="R247" s="238"/>
      <c r="S247" s="238"/>
      <c r="T247" s="238"/>
      <c r="U247" s="238"/>
      <c r="V247" s="18"/>
      <c r="W247" s="238"/>
      <c r="X247" s="238"/>
      <c r="Y247" s="238"/>
      <c r="Z247" s="238"/>
      <c r="AA247" s="18"/>
      <c r="AB247" s="238"/>
      <c r="AC247" s="238"/>
      <c r="AD247" s="238"/>
      <c r="AE247" s="238"/>
      <c r="AF247" s="18"/>
      <c r="AG247" s="238"/>
      <c r="AH247" s="238"/>
      <c r="AI247" s="238"/>
      <c r="AJ247" s="238"/>
      <c r="AK247" s="18"/>
      <c r="AL247" s="238"/>
      <c r="AM247" s="238"/>
      <c r="AN247" s="541"/>
      <c r="AO247" s="541"/>
      <c r="AP247" s="543"/>
      <c r="AQ247" s="243"/>
      <c r="AR247" s="243"/>
      <c r="AS247" s="243"/>
      <c r="AT247" s="243"/>
      <c r="AU247" s="237"/>
      <c r="AV247" s="243"/>
      <c r="AW247" s="243"/>
      <c r="AX247" s="243"/>
      <c r="AY247" s="243"/>
      <c r="AZ247" s="237"/>
    </row>
    <row r="248" spans="2:54" s="532" customFormat="1" hidden="1" outlineLevel="1">
      <c r="B248" s="533" t="s">
        <v>832</v>
      </c>
      <c r="C248" s="534"/>
      <c r="D248" s="534"/>
      <c r="E248" s="535"/>
      <c r="F248" s="535"/>
      <c r="G248" s="535"/>
      <c r="H248" s="536"/>
      <c r="L248" s="535"/>
      <c r="M248" s="532">
        <f t="shared" ref="M248:P248" si="586">SUMPRODUCT(M243:M245,M238:M240)</f>
        <v>1.5331220926058861E-2</v>
      </c>
      <c r="N248" s="532">
        <f t="shared" si="586"/>
        <v>4.3462905824264417E-2</v>
      </c>
      <c r="O248" s="532">
        <f t="shared" si="586"/>
        <v>2.4983154724716905E-2</v>
      </c>
      <c r="P248" s="532">
        <f t="shared" si="586"/>
        <v>7.4881648969889018E-3</v>
      </c>
      <c r="Q248" s="535"/>
      <c r="R248" s="532">
        <f t="shared" ref="R248:U248" si="587">SUMPRODUCT(R243:R245,R238:R240)</f>
        <v>-5.3211381718155232E-4</v>
      </c>
      <c r="S248" s="532">
        <f t="shared" si="587"/>
        <v>-1.7277991031390133E-3</v>
      </c>
      <c r="T248" s="532">
        <f t="shared" si="587"/>
        <v>-2.0694058321132271E-3</v>
      </c>
      <c r="U248" s="532">
        <f t="shared" si="587"/>
        <v>1.601766676485027E-2</v>
      </c>
      <c r="V248" s="535"/>
      <c r="W248" s="532">
        <f>SUMPRODUCT(W243:W245,W238:W240)</f>
        <v>4.7381182539682522E-3</v>
      </c>
      <c r="X248" s="532">
        <f>SUMPRODUCT(X243:X245,X238:X240)</f>
        <v>-2.1472228868360282E-2</v>
      </c>
      <c r="Y248" s="532">
        <f>SUMPRODUCT(Y243:Y245,Y238:Y240)</f>
        <v>3.8693406574394455E-3</v>
      </c>
      <c r="Z248" s="532">
        <f>SUMPRODUCT(Z243:Z245,Z238:Z240)</f>
        <v>3.2815617733230537E-2</v>
      </c>
      <c r="AA248" s="535"/>
      <c r="AB248" s="532">
        <f t="shared" ref="AB248:AE248" si="588">SUMPRODUCT(AB243:AB245,AB238:AB240)</f>
        <v>0.11188457843998327</v>
      </c>
      <c r="AC248" s="532">
        <f t="shared" si="588"/>
        <v>0.18995148240879561</v>
      </c>
      <c r="AD248" s="532">
        <f t="shared" si="588"/>
        <v>0.18933956881478142</v>
      </c>
      <c r="AE248" s="532">
        <f t="shared" si="588"/>
        <v>0.13974339814814815</v>
      </c>
      <c r="AF248" s="535"/>
      <c r="AG248" s="532">
        <f t="shared" ref="AG248:AJ248" si="589">SUMPRODUCT(AG243:AG245,AG238:AG240)</f>
        <v>0.14647106902834009</v>
      </c>
      <c r="AH248" s="532">
        <f t="shared" si="589"/>
        <v>0.10879462219956072</v>
      </c>
      <c r="AI248" s="532">
        <f t="shared" si="589"/>
        <v>5.9488015463917535E-2</v>
      </c>
      <c r="AJ248" s="532">
        <f t="shared" si="589"/>
        <v>2.0658454024767799E-2</v>
      </c>
      <c r="AK248" s="535"/>
      <c r="AL248" s="532">
        <f t="shared" ref="AL248:AM248" si="590">SUMPRODUCT(AL243:AL245,AL238:AL240)</f>
        <v>-3.020056360424031E-3</v>
      </c>
      <c r="AM248" s="532">
        <f t="shared" si="590"/>
        <v>-3.4997933561643838E-2</v>
      </c>
      <c r="AN248" s="542">
        <f t="shared" ref="AN248:AO248" si="591">SUMPRODUCT(AN243:AN245,AN238:AN240)</f>
        <v>-1.3936837498369095E-2</v>
      </c>
      <c r="AO248" s="542">
        <f t="shared" si="591"/>
        <v>1.4494786534586536E-2</v>
      </c>
      <c r="AP248" s="502">
        <f t="shared" ref="AP248" si="592">SUMPRODUCT(AP243:AP245,AP238:AP240)</f>
        <v>1.4494786534586536E-2</v>
      </c>
      <c r="AQ248" s="552">
        <v>0.01</v>
      </c>
      <c r="AR248" s="552">
        <v>0.01</v>
      </c>
      <c r="AS248" s="552">
        <v>0.01</v>
      </c>
      <c r="AT248" s="552">
        <v>0.01</v>
      </c>
      <c r="AU248" s="553">
        <v>0.01</v>
      </c>
      <c r="AV248" s="552">
        <v>0.01</v>
      </c>
      <c r="AW248" s="552">
        <v>0.01</v>
      </c>
      <c r="AX248" s="552">
        <v>0.01</v>
      </c>
      <c r="AY248" s="552">
        <v>0.01</v>
      </c>
      <c r="AZ248" s="553">
        <v>0.01</v>
      </c>
      <c r="BB248" s="257" t="s">
        <v>848</v>
      </c>
    </row>
    <row r="249" spans="2:54" hidden="1" outlineLevel="1">
      <c r="B249" s="408"/>
      <c r="C249" s="6"/>
      <c r="D249" s="6"/>
      <c r="E249" s="18"/>
      <c r="F249" s="18"/>
      <c r="G249" s="18"/>
      <c r="H249" s="19"/>
      <c r="J249" s="19"/>
      <c r="K249" s="19"/>
      <c r="L249" s="18"/>
      <c r="M249" s="19"/>
      <c r="N249" s="19"/>
      <c r="O249" s="19"/>
      <c r="P249" s="19"/>
      <c r="Q249" s="18"/>
      <c r="R249" s="19"/>
      <c r="S249" s="19"/>
      <c r="T249" s="19"/>
      <c r="U249" s="19"/>
      <c r="V249" s="18"/>
      <c r="W249" s="19"/>
      <c r="X249" s="19"/>
      <c r="Y249" s="19"/>
      <c r="Z249" s="19"/>
      <c r="AA249" s="18"/>
      <c r="AB249" s="19"/>
      <c r="AC249" s="19"/>
      <c r="AD249" s="19"/>
      <c r="AE249" s="19"/>
      <c r="AF249" s="18"/>
      <c r="AG249" s="19"/>
      <c r="AH249" s="19"/>
      <c r="AI249" s="19"/>
      <c r="AJ249" s="19"/>
      <c r="AK249" s="18"/>
      <c r="AL249" s="19"/>
      <c r="AM249" s="19"/>
      <c r="AN249" s="60"/>
      <c r="AO249" s="60"/>
      <c r="AP249" s="219"/>
      <c r="AQ249" s="243"/>
      <c r="AR249" s="243"/>
      <c r="AS249" s="243"/>
      <c r="AT249" s="243"/>
      <c r="AU249" s="237"/>
      <c r="AV249" s="243"/>
      <c r="AW249" s="243"/>
      <c r="AX249" s="243"/>
      <c r="AY249" s="243"/>
      <c r="AZ249" s="237"/>
    </row>
    <row r="250" spans="2:54" hidden="1" outlineLevel="1">
      <c r="B250" s="4" t="s">
        <v>826</v>
      </c>
      <c r="C250" s="6"/>
      <c r="D250" s="6"/>
      <c r="E250" s="18"/>
      <c r="F250" s="18"/>
      <c r="G250" s="18"/>
      <c r="H250" s="19"/>
      <c r="J250" s="19"/>
      <c r="K250" s="19"/>
      <c r="L250" s="18"/>
      <c r="M250" s="19"/>
      <c r="N250" s="19"/>
      <c r="O250" s="19"/>
      <c r="P250" s="19"/>
      <c r="Q250" s="18"/>
      <c r="R250" s="19"/>
      <c r="S250" s="19"/>
      <c r="T250" s="19"/>
      <c r="U250" s="19"/>
      <c r="V250" s="18"/>
      <c r="W250" s="19"/>
      <c r="X250" s="19"/>
      <c r="Y250" s="19"/>
      <c r="Z250" s="19"/>
      <c r="AA250" s="18"/>
      <c r="AB250" s="19"/>
      <c r="AC250" s="19"/>
      <c r="AD250" s="19"/>
      <c r="AE250" s="19"/>
      <c r="AF250" s="18"/>
      <c r="AG250" s="19"/>
      <c r="AH250" s="19"/>
      <c r="AI250" s="19"/>
      <c r="AJ250" s="19"/>
      <c r="AK250" s="18"/>
      <c r="AL250" s="19"/>
      <c r="AM250" s="19"/>
      <c r="AN250" s="60"/>
      <c r="AO250" s="60"/>
      <c r="AP250" s="219"/>
      <c r="AQ250" s="243"/>
      <c r="AR250" s="243"/>
      <c r="AS250" s="243"/>
      <c r="AT250" s="243"/>
      <c r="AU250" s="237"/>
      <c r="AV250" s="243"/>
      <c r="AW250" s="243"/>
      <c r="AX250" s="243"/>
      <c r="AY250" s="243"/>
      <c r="AZ250" s="237"/>
    </row>
    <row r="251" spans="2:54" s="19" customFormat="1" hidden="1" outlineLevel="1">
      <c r="B251" s="527" t="s">
        <v>822</v>
      </c>
      <c r="C251" s="523" t="s">
        <v>827</v>
      </c>
      <c r="D251" s="523"/>
      <c r="E251" s="18"/>
      <c r="F251" s="18"/>
      <c r="G251" s="18"/>
      <c r="L251" s="18"/>
      <c r="M251" s="19" cm="1">
        <f t="array" ref="M251">_xll.BDP($C251,"INTERVAL_PERCENT_CHANGE", "START_DATE_OVERRIDE",TEXT(H$6,"YYYYMMDD"), "END_DATE_OVERRIDE",TEXT(M$6,"YYYYMMDD"))/100</f>
        <v>3.422E-2</v>
      </c>
      <c r="N251" s="19" cm="1">
        <f t="array" ref="N251">_xll.BDP($C251,"INTERVAL_PERCENT_CHANGE", "START_DATE_OVERRIDE",TEXT(I$6,"YYYYMMDD"), "END_DATE_OVERRIDE",TEXT(N$6,"YYYYMMDD"))/100</f>
        <v>3.422E-2</v>
      </c>
      <c r="O251" s="19" cm="1">
        <f t="array" ref="O251">_xll.BDP($C251,"INTERVAL_PERCENT_CHANGE", "START_DATE_OVERRIDE",TEXT(J$6,"YYYYMMDD"), "END_DATE_OVERRIDE",TEXT(O$6,"YYYYMMDD"))/100</f>
        <v>3.422E-2</v>
      </c>
      <c r="P251" s="19" cm="1">
        <f t="array" ref="P251">_xll.BDP($C251,"INTERVAL_PERCENT_CHANGE", "START_DATE_OVERRIDE",TEXT(K$6,"YYYYMMDD"), "END_DATE_OVERRIDE",TEXT(P$6,"YYYYMMDD"))/100</f>
        <v>3.422E-2</v>
      </c>
      <c r="Q251" s="18"/>
      <c r="R251" s="19" cm="1">
        <f t="array" ref="R251">_xll.BDP($C251,"INTERVAL_PERCENT_CHANGE", "START_DATE_OVERRIDE",TEXT(M$6,"YYYYMMDD"), "END_DATE_OVERRIDE",TEXT(R$6,"YYYYMMDD"))/100</f>
        <v>4.9375999999999996E-2</v>
      </c>
      <c r="S251" s="19" cm="1">
        <f t="array" ref="S251">_xll.BDP($C251,"INTERVAL_PERCENT_CHANGE", "START_DATE_OVERRIDE",TEXT(N$6,"YYYYMMDD"), "END_DATE_OVERRIDE",TEXT(S$6,"YYYYMMDD"))/100</f>
        <v>4.9375999999999996E-2</v>
      </c>
      <c r="T251" s="19" cm="1">
        <f t="array" ref="T251">_xll.BDP($C251,"INTERVAL_PERCENT_CHANGE", "START_DATE_OVERRIDE",TEXT(O$6,"YYYYMMDD"), "END_DATE_OVERRIDE",TEXT(T$6,"YYYYMMDD"))/100</f>
        <v>4.9375999999999996E-2</v>
      </c>
      <c r="U251" s="19" cm="1">
        <f t="array" ref="U251">_xll.BDP($C251,"INTERVAL_PERCENT_CHANGE", "START_DATE_OVERRIDE",TEXT(P$6,"YYYYMMDD"), "END_DATE_OVERRIDE",TEXT(U$6,"YYYYMMDD"))/100</f>
        <v>4.9375999999999996E-2</v>
      </c>
      <c r="V251" s="18"/>
      <c r="W251" s="19" cm="1">
        <f t="array" ref="W251">_xll.BDP($C251,"INTERVAL_PERCENT_CHANGE", "START_DATE_OVERRIDE",TEXT(R$6,"YYYYMMDD"), "END_DATE_OVERRIDE",TEXT(W$6,"YYYYMMDD"))/100</f>
        <v>3.1530000000000002E-2</v>
      </c>
      <c r="X251" s="19" cm="1">
        <f t="array" ref="X251">_xll.BDP($C251,"INTERVAL_PERCENT_CHANGE", "START_DATE_OVERRIDE",TEXT(S$6,"YYYYMMDD"), "END_DATE_OVERRIDE",TEXT(X$6,"YYYYMMDD"))/100</f>
        <v>3.1530000000000002E-2</v>
      </c>
      <c r="Y251" s="19" cm="1">
        <f t="array" ref="Y251">_xll.BDP($C251,"INTERVAL_PERCENT_CHANGE", "START_DATE_OVERRIDE",TEXT(T$6,"YYYYMMDD"), "END_DATE_OVERRIDE",TEXT(Y$6,"YYYYMMDD"))/100</f>
        <v>3.1530000000000002E-2</v>
      </c>
      <c r="Z251" s="19" cm="1">
        <f t="array" ref="Z251">_xll.BDP($C251,"INTERVAL_PERCENT_CHANGE", "START_DATE_OVERRIDE",TEXT(U$6,"YYYYMMDD"), "END_DATE_OVERRIDE",TEXT(Z$6,"YYYYMMDD"))/100</f>
        <v>3.1530000000000002E-2</v>
      </c>
      <c r="AA251" s="18"/>
      <c r="AB251" s="19" cm="1">
        <f t="array" ref="AB251">_xll.BDP($C251,"INTERVAL_PERCENT_CHANGE", "START_DATE_OVERRIDE",TEXT(W$6,"YYYYMMDD"), "END_DATE_OVERRIDE",TEXT(AB$6,"YYYYMMDD"))/100</f>
        <v>0</v>
      </c>
      <c r="AC251" s="19" cm="1">
        <f t="array" ref="AC251">_xll.BDP($C251,"INTERVAL_PERCENT_CHANGE", "START_DATE_OVERRIDE",TEXT(X$6,"YYYYMMDD"), "END_DATE_OVERRIDE",TEXT(AC$6,"YYYYMMDD"))/100</f>
        <v>0</v>
      </c>
      <c r="AD251" s="19" cm="1">
        <f t="array" ref="AD251">_xll.BDP($C251,"INTERVAL_PERCENT_CHANGE", "START_DATE_OVERRIDE",TEXT(Y$6,"YYYYMMDD"), "END_DATE_OVERRIDE",TEXT(AD$6,"YYYYMMDD"))/100</f>
        <v>0</v>
      </c>
      <c r="AE251" s="19" cm="1">
        <f t="array" ref="AE251">_xll.BDP($C251,"INTERVAL_PERCENT_CHANGE", "START_DATE_OVERRIDE",TEXT(Z$6,"YYYYMMDD"), "END_DATE_OVERRIDE",TEXT(AE$6,"YYYYMMDD"))/100</f>
        <v>5.7999999999999994E-5</v>
      </c>
      <c r="AF251" s="18"/>
      <c r="AG251" s="19" cm="1">
        <f t="array" ref="AG251">_xll.BDP($C251,"INTERVAL_PERCENT_CHANGE", "START_DATE_OVERRIDE",TEXT(AB$6,"YYYYMMDD"), "END_DATE_OVERRIDE",TEXT(AG$6,"YYYYMMDD"))/100</f>
        <v>5.7999999999999994E-5</v>
      </c>
      <c r="AH251" s="19" cm="1">
        <f t="array" ref="AH251">_xll.BDP($C251,"INTERVAL_PERCENT_CHANGE", "START_DATE_OVERRIDE",TEXT(AC$6,"YYYYMMDD"), "END_DATE_OVERRIDE",TEXT(AH$6,"YYYYMMDD"))/100</f>
        <v>5.7999999999999994E-5</v>
      </c>
      <c r="AI251" s="19" cm="1">
        <f t="array" ref="AI251">_xll.BDP($C251,"INTERVAL_PERCENT_CHANGE", "START_DATE_OVERRIDE",TEXT(AD$6,"YYYYMMDD"), "END_DATE_OVERRIDE",TEXT(AI$6,"YYYYMMDD"))/100</f>
        <v>5.7999999999999994E-5</v>
      </c>
      <c r="AJ251" s="19" cm="1">
        <f t="array" ref="AJ251">_xll.BDP($C251,"INTERVAL_PERCENT_CHANGE", "START_DATE_OVERRIDE",TEXT(AE$6,"YYYYMMDD"), "END_DATE_OVERRIDE",TEXT(AJ$6,"YYYYMMDD"))/100</f>
        <v>0.16028999999999999</v>
      </c>
      <c r="AK251" s="18"/>
      <c r="AL251" s="19" cm="1">
        <f t="array" ref="AL251">_xll.BDP($C251,"INTERVAL_PERCENT_CHANGE", "START_DATE_OVERRIDE",TEXT(AG$6,"YYYYMMDD"), "END_DATE_OVERRIDE",TEXT(AL$6,"YYYYMMDD"))/100</f>
        <v>0.160305</v>
      </c>
      <c r="AM251" s="19" cm="1">
        <f t="array" ref="AM251">_xll.BDP($C251,"INTERVAL_PERCENT_CHANGE", "START_DATE_OVERRIDE",TEXT(AH$6,"YYYYMMDD"), "END_DATE_OVERRIDE",TEXT(AM$6,"YYYYMMDD"))/100</f>
        <v>0.160305</v>
      </c>
      <c r="AN251" s="60" cm="1">
        <f t="array" ref="AN251">_xll.BDP($C251,"INTERVAL_PERCENT_CHANGE", "START_DATE_OVERRIDE",TEXT(AI$6,"YYYYMMDD"), "END_DATE_OVERRIDE",TEXT(AN$6,"YYYYMMDD"))/100</f>
        <v>0.160305</v>
      </c>
      <c r="AO251" s="60" cm="1">
        <f t="array" ref="AO251">_xll.BDP($C251,"INTERVAL_PERCENT_CHANGE", "START_DATE_OVERRIDE",TEXT(AJ$6,"YYYYMMDD"), "END_DATE_OVERRIDE",TEXT(AO$6,"YYYYMMDD"))/100</f>
        <v>1.2999999999999999E-5</v>
      </c>
      <c r="AP251" s="207" cm="1">
        <f t="array" ref="AP251">_xll.BDP($C251,"INTERVAL_PERCENT_CHANGE", "START_DATE_OVERRIDE",TEXT(AK$6,"YYYYMMDD"), "END_DATE_OVERRIDE",TEXT(AP$6,"YYYYMMDD"))/100</f>
        <v>1.2999999999999999E-5</v>
      </c>
      <c r="AQ251" s="434"/>
      <c r="AR251" s="434"/>
      <c r="AS251" s="434"/>
      <c r="AT251" s="434"/>
      <c r="AU251" s="242"/>
      <c r="AV251" s="434"/>
      <c r="AW251" s="434"/>
      <c r="AX251" s="434"/>
      <c r="AY251" s="434"/>
      <c r="AZ251" s="242"/>
      <c r="BB251" s="447"/>
    </row>
    <row r="252" spans="2:54" s="19" customFormat="1" hidden="1" outlineLevel="1">
      <c r="B252" s="527" t="s">
        <v>912</v>
      </c>
      <c r="C252" s="19" t="s">
        <v>829</v>
      </c>
      <c r="D252" s="523"/>
      <c r="E252" s="18"/>
      <c r="F252" s="18"/>
      <c r="G252" s="18"/>
      <c r="L252" s="18"/>
      <c r="M252" s="19" cm="1">
        <f t="array" ref="M252">_xll.BDP($C252,"INTERVAL_PERCENT_CHANGE", "START_DATE_OVERRIDE",TEXT(H$6,"YYYYMMDD"), "END_DATE_OVERRIDE",TEXT(M$6,"YYYYMMDD"))/100</f>
        <v>-7.1429000000000006E-2</v>
      </c>
      <c r="N252" s="19" cm="1">
        <f t="array" ref="N252">_xll.BDP($C252,"INTERVAL_PERCENT_CHANGE", "START_DATE_OVERRIDE",TEXT(I$6,"YYYYMMDD"), "END_DATE_OVERRIDE",TEXT(N$6,"YYYYMMDD"))/100</f>
        <v>0.38053100000000001</v>
      </c>
      <c r="O252" s="19" cm="1">
        <f t="array" ref="O252">_xll.BDP($C252,"INTERVAL_PERCENT_CHANGE", "START_DATE_OVERRIDE",TEXT(J$6,"YYYYMMDD"), "END_DATE_OVERRIDE",TEXT(O$6,"YYYYMMDD"))/100</f>
        <v>0.20795100000000002</v>
      </c>
      <c r="P252" s="19" cm="1">
        <f t="array" ref="P252">_xll.BDP($C252,"INTERVAL_PERCENT_CHANGE", "START_DATE_OVERRIDE",TEXT(K$6,"YYYYMMDD"), "END_DATE_OVERRIDE",TEXT(P$6,"YYYYMMDD"))/100</f>
        <v>-0.13180500000000001</v>
      </c>
      <c r="Q252" s="18"/>
      <c r="R252" s="19" cm="1">
        <f t="array" ref="R252">_xll.BDP($C252,"INTERVAL_PERCENT_CHANGE", "START_DATE_OVERRIDE",TEXT(M$6,"YYYYMMDD"), "END_DATE_OVERRIDE",TEXT(R$6,"YYYYMMDD"))/100</f>
        <v>-0.16923100000000002</v>
      </c>
      <c r="S252" s="19" cm="1">
        <f t="array" ref="S252">_xll.BDP($C252,"INTERVAL_PERCENT_CHANGE", "START_DATE_OVERRIDE",TEXT(N$6,"YYYYMMDD"), "END_DATE_OVERRIDE",TEXT(S$6,"YYYYMMDD"))/100</f>
        <v>-0.29871799999999998</v>
      </c>
      <c r="T252" s="19" cm="1">
        <f t="array" ref="T252">_xll.BDP($C252,"INTERVAL_PERCENT_CHANGE", "START_DATE_OVERRIDE",TEXT(O$6,"YYYYMMDD"), "END_DATE_OVERRIDE",TEXT(T$6,"YYYYMMDD"))/100</f>
        <v>-0.29113900000000004</v>
      </c>
      <c r="U252" s="19" cm="1">
        <f t="array" ref="U252">_xll.BDP($C252,"INTERVAL_PERCENT_CHANGE", "START_DATE_OVERRIDE",TEXT(P$6,"YYYYMMDD"), "END_DATE_OVERRIDE",TEXT(U$6,"YYYYMMDD"))/100</f>
        <v>-0.19966999999999999</v>
      </c>
      <c r="V252" s="18"/>
      <c r="W252" s="19" cm="1">
        <f t="array" ref="W252">_xll.BDP($C252,"INTERVAL_PERCENT_CHANGE", "START_DATE_OVERRIDE",TEXT(R$6,"YYYYMMDD"), "END_DATE_OVERRIDE",TEXT(W$6,"YYYYMMDD"))/100</f>
        <v>-0.23148099999999999</v>
      </c>
      <c r="X252" s="19" cm="1">
        <f t="array" ref="X252">_xll.BDP($C252,"INTERVAL_PERCENT_CHANGE", "START_DATE_OVERRIDE",TEXT(S$6,"YYYYMMDD"), "END_DATE_OVERRIDE",TEXT(X$6,"YYYYMMDD"))/100</f>
        <v>-0.23217600000000002</v>
      </c>
      <c r="Y252" s="19" cm="1">
        <f t="array" ref="Y252">_xll.BDP($C252,"INTERVAL_PERCENT_CHANGE", "START_DATE_OVERRIDE",TEXT(T$6,"YYYYMMDD"), "END_DATE_OVERRIDE",TEXT(Y$6,"YYYYMMDD"))/100</f>
        <v>-8.0356999999999998E-2</v>
      </c>
      <c r="Z252" s="19" cm="1">
        <f t="array" ref="Z252">_xll.BDP($C252,"INTERVAL_PERCENT_CHANGE", "START_DATE_OVERRIDE",TEXT(U$6,"YYYYMMDD"), "END_DATE_OVERRIDE",TEXT(Z$6,"YYYYMMDD"))/100</f>
        <v>0.51546400000000003</v>
      </c>
      <c r="AA252" s="18"/>
      <c r="AB252" s="19" cm="1">
        <f t="array" ref="AB252">_xll.BDP($C252,"INTERVAL_PERCENT_CHANGE", "START_DATE_OVERRIDE",TEXT(W$6,"YYYYMMDD"), "END_DATE_OVERRIDE",TEXT(AB$6,"YYYYMMDD"))/100</f>
        <v>1.4578309999999999</v>
      </c>
      <c r="AC252" s="19" cm="1">
        <f t="array" ref="AC252">_xll.BDP($C252,"INTERVAL_PERCENT_CHANGE", "START_DATE_OVERRIDE",TEXT(X$6,"YYYYMMDD"), "END_DATE_OVERRIDE",TEXT(AC$6,"YYYYMMDD"))/100</f>
        <v>1.8452379999999999</v>
      </c>
      <c r="AD252" s="19" cm="1">
        <f t="array" ref="AD252">_xll.BDP($C252,"INTERVAL_PERCENT_CHANGE", "START_DATE_OVERRIDE",TEXT(Y$6,"YYYYMMDD"), "END_DATE_OVERRIDE",TEXT(AD$6,"YYYYMMDD"))/100</f>
        <v>1.4587379999999999</v>
      </c>
      <c r="AE252" s="19" cm="1">
        <f t="array" ref="AE252">_xll.BDP($C252,"INTERVAL_PERCENT_CHANGE", "START_DATE_OVERRIDE",TEXT(Z$6,"YYYYMMDD"), "END_DATE_OVERRIDE",TEXT(AE$6,"YYYYMMDD"))/100</f>
        <v>0.231293</v>
      </c>
      <c r="AF252" s="18"/>
      <c r="AG252" s="19" cm="1">
        <f t="array" ref="AG252">_xll.BDP($C252,"INTERVAL_PERCENT_CHANGE", "START_DATE_OVERRIDE",TEXT(AB$6,"YYYYMMDD"), "END_DATE_OVERRIDE",TEXT(AG$6,"YYYYMMDD"))/100</f>
        <v>-2.4510000000000001E-3</v>
      </c>
      <c r="AH252" s="19" cm="1">
        <f t="array" ref="AH252">_xll.BDP($C252,"INTERVAL_PERCENT_CHANGE", "START_DATE_OVERRIDE",TEXT(AC$6,"YYYYMMDD"), "END_DATE_OVERRIDE",TEXT(AH$6,"YYYYMMDD"))/100</f>
        <v>-0.31171500000000002</v>
      </c>
      <c r="AI252" s="19" cm="1">
        <f t="array" ref="AI252">_xll.BDP($C252,"INTERVAL_PERCENT_CHANGE", "START_DATE_OVERRIDE",TEXT(AD$6,"YYYYMMDD"), "END_DATE_OVERRIDE",TEXT(AI$6,"YYYYMMDD"))/100</f>
        <v>-0.47877600000000003</v>
      </c>
      <c r="AJ252" s="19" cm="1">
        <f t="array" ref="AJ252">_xll.BDP($C252,"INTERVAL_PERCENT_CHANGE", "START_DATE_OVERRIDE",TEXT(AE$6,"YYYYMMDD"), "END_DATE_OVERRIDE",TEXT(AJ$6,"YYYYMMDD"))/100</f>
        <v>-0.482873</v>
      </c>
      <c r="AK252" s="18"/>
      <c r="AL252" s="19" cm="1">
        <f t="array" ref="AL252">_xll.BDP($C252,"INTERVAL_PERCENT_CHANGE", "START_DATE_OVERRIDE",TEXT(AG$6,"YYYYMMDD"), "END_DATE_OVERRIDE",TEXT(AL$6,"YYYYMMDD"))/100</f>
        <v>-0.292383</v>
      </c>
      <c r="AM252" s="19" cm="1">
        <f t="array" ref="AM252">_xll.BDP($C252,"INTERVAL_PERCENT_CHANGE", "START_DATE_OVERRIDE",TEXT(AH$6,"YYYYMMDD"), "END_DATE_OVERRIDE",TEXT(AM$6,"YYYYMMDD"))/100</f>
        <v>-0.40425499999999998</v>
      </c>
      <c r="AN252" s="60" cm="1">
        <f t="array" ref="AN252">_xll.BDP($C252,"INTERVAL_PERCENT_CHANGE", "START_DATE_OVERRIDE",TEXT(AI$6,"YYYYMMDD"), "END_DATE_OVERRIDE",TEXT(AN$6,"YYYYMMDD"))/100</f>
        <v>-0.25757600000000003</v>
      </c>
      <c r="AO252" s="60" cm="1">
        <f t="array" ref="AO252">_xll.BDP($C252,"INTERVAL_PERCENT_CHANGE", "START_DATE_OVERRIDE",TEXT(AJ$6,"YYYYMMDD"), "END_DATE_OVERRIDE",TEXT(AO$6,"YYYYMMDD"))/100</f>
        <v>4.7008999999999995E-2</v>
      </c>
      <c r="AP252" s="207" cm="1">
        <f t="array" ref="AP252">_xll.BDP($C252,"INTERVAL_PERCENT_CHANGE", "START_DATE_OVERRIDE",TEXT(AK$6,"YYYYMMDD"), "END_DATE_OVERRIDE",TEXT(AP$6,"YYYYMMDD"))/100</f>
        <v>4.7008999999999995E-2</v>
      </c>
      <c r="AQ252" s="434"/>
      <c r="AR252" s="434"/>
      <c r="AS252" s="434"/>
      <c r="AT252" s="434"/>
      <c r="AU252" s="242"/>
      <c r="AV252" s="434"/>
      <c r="AW252" s="434"/>
      <c r="AX252" s="434"/>
      <c r="AY252" s="434"/>
      <c r="AZ252" s="242"/>
      <c r="BB252" s="447"/>
    </row>
    <row r="253" spans="2:54" s="19" customFormat="1" hidden="1" outlineLevel="1">
      <c r="B253" s="527" t="s">
        <v>823</v>
      </c>
      <c r="C253" s="523" t="s">
        <v>830</v>
      </c>
      <c r="D253" s="523"/>
      <c r="E253" s="18"/>
      <c r="F253" s="18"/>
      <c r="G253" s="18"/>
      <c r="L253" s="18"/>
      <c r="M253" s="19" cm="1">
        <f t="array" ref="M253">_xll.BDP($C253,"INTERVAL_PERCENT_CHANGE", "START_DATE_OVERRIDE",TEXT(H$6,"YYYYMMDD"), "END_DATE_OVERRIDE",TEXT(M$6,"YYYYMMDD"))/100</f>
        <v>6.0560999999999997E-2</v>
      </c>
      <c r="N253" s="19" cm="1">
        <f t="array" ref="N253">_xll.BDP($C253,"INTERVAL_PERCENT_CHANGE", "START_DATE_OVERRIDE",TEXT(I$6,"YYYYMMDD"), "END_DATE_OVERRIDE",TEXT(N$6,"YYYYMMDD"))/100</f>
        <v>9.2047000000000004E-2</v>
      </c>
      <c r="O253" s="19" cm="1">
        <f t="array" ref="O253">_xll.BDP($C253,"INTERVAL_PERCENT_CHANGE", "START_DATE_OVERRIDE",TEXT(J$6,"YYYYMMDD"), "END_DATE_OVERRIDE",TEXT(O$6,"YYYYMMDD"))/100</f>
        <v>8.4953000000000001E-2</v>
      </c>
      <c r="P253" s="19" cm="1">
        <f t="array" ref="P253">_xll.BDP($C253,"INTERVAL_PERCENT_CHANGE", "START_DATE_OVERRIDE",TEXT(K$6,"YYYYMMDD"), "END_DATE_OVERRIDE",TEXT(P$6,"YYYYMMDD"))/100</f>
        <v>7.4805999999999997E-2</v>
      </c>
      <c r="Q253" s="18"/>
      <c r="R253" s="19" cm="1">
        <f t="array" ref="R253">_xll.BDP($C253,"INTERVAL_PERCENT_CHANGE", "START_DATE_OVERRIDE",TEXT(M$6,"YYYYMMDD"), "END_DATE_OVERRIDE",TEXT(R$6,"YYYYMMDD"))/100</f>
        <v>5.5709999999999996E-2</v>
      </c>
      <c r="S253" s="19" cm="1">
        <f t="array" ref="S253">_xll.BDP($C253,"INTERVAL_PERCENT_CHANGE", "START_DATE_OVERRIDE",TEXT(N$6,"YYYYMMDD"), "END_DATE_OVERRIDE",TEXT(S$6,"YYYYMMDD"))/100</f>
        <v>2.5624000000000001E-2</v>
      </c>
      <c r="T253" s="19" cm="1">
        <f t="array" ref="T253">_xll.BDP($C253,"INTERVAL_PERCENT_CHANGE", "START_DATE_OVERRIDE",TEXT(O$6,"YYYYMMDD"), "END_DATE_OVERRIDE",TEXT(T$6,"YYYYMMDD"))/100</f>
        <v>6.6399999999999999E-4</v>
      </c>
      <c r="U253" s="19" cm="1">
        <f t="array" ref="U253">_xll.BDP($C253,"INTERVAL_PERCENT_CHANGE", "START_DATE_OVERRIDE",TEXT(P$6,"YYYYMMDD"), "END_DATE_OVERRIDE",TEXT(U$6,"YYYYMMDD"))/100</f>
        <v>5.2529999999999999E-3</v>
      </c>
      <c r="V253" s="18"/>
      <c r="W253" s="19" cm="1">
        <f t="array" ref="W253">_xll.BDP($C253,"INTERVAL_PERCENT_CHANGE", "START_DATE_OVERRIDE",TEXT(R$6,"YYYYMMDD"), "END_DATE_OVERRIDE",TEXT(W$6,"YYYYMMDD"))/100</f>
        <v>-8.575000000000001E-3</v>
      </c>
      <c r="X253" s="19" cm="1">
        <f t="array" ref="X253">_xll.BDP($C253,"INTERVAL_PERCENT_CHANGE", "START_DATE_OVERRIDE",TEXT(S$6,"YYYYMMDD"), "END_DATE_OVERRIDE",TEXT(X$6,"YYYYMMDD"))/100</f>
        <v>-3.9447999999999997E-2</v>
      </c>
      <c r="Y253" s="19" cm="1">
        <f t="array" ref="Y253">_xll.BDP($C253,"INTERVAL_PERCENT_CHANGE", "START_DATE_OVERRIDE",TEXT(T$6,"YYYYMMDD"), "END_DATE_OVERRIDE",TEXT(Y$6,"YYYYMMDD"))/100</f>
        <v>7.2940000000000001E-3</v>
      </c>
      <c r="Z253" s="19" cm="1">
        <f t="array" ref="Z253">_xll.BDP($C253,"INTERVAL_PERCENT_CHANGE", "START_DATE_OVERRIDE",TEXT(U$6,"YYYYMMDD"), "END_DATE_OVERRIDE",TEXT(Z$6,"YYYYMMDD"))/100</f>
        <v>3.6576999999999998E-2</v>
      </c>
      <c r="AA253" s="18"/>
      <c r="AB253" s="19" cm="1">
        <f t="array" ref="AB253">_xll.BDP($C253,"INTERVAL_PERCENT_CHANGE", "START_DATE_OVERRIDE",TEXT(W$6,"YYYYMMDD"), "END_DATE_OVERRIDE",TEXT(AB$6,"YYYYMMDD"))/100</f>
        <v>0.10845</v>
      </c>
      <c r="AC253" s="19" cm="1">
        <f t="array" ref="AC253">_xll.BDP($C253,"INTERVAL_PERCENT_CHANGE", "START_DATE_OVERRIDE",TEXT(X$6,"YYYYMMDD"), "END_DATE_OVERRIDE",TEXT(AC$6,"YYYYMMDD"))/100</f>
        <v>0.18275200000000003</v>
      </c>
      <c r="AD253" s="19" cm="1">
        <f t="array" ref="AD253">_xll.BDP($C253,"INTERVAL_PERCENT_CHANGE", "START_DATE_OVERRIDE",TEXT(Y$6,"YYYYMMDD"), "END_DATE_OVERRIDE",TEXT(AD$6,"YYYYMMDD"))/100</f>
        <v>0.17777499999999999</v>
      </c>
      <c r="AE253" s="19" cm="1">
        <f t="array" ref="AE253">_xll.BDP($C253,"INTERVAL_PERCENT_CHANGE", "START_DATE_OVERRIDE",TEXT(Z$6,"YYYYMMDD"), "END_DATE_OVERRIDE",TEXT(AE$6,"YYYYMMDD"))/100</f>
        <v>0.21695</v>
      </c>
      <c r="AF253" s="18"/>
      <c r="AG253" s="19" cm="1">
        <f t="array" ref="AG253">_xll.BDP($C253,"INTERVAL_PERCENT_CHANGE", "START_DATE_OVERRIDE",TEXT(AB$6,"YYYYMMDD"), "END_DATE_OVERRIDE",TEXT(AG$6,"YYYYMMDD"))/100</f>
        <v>0.29173500000000002</v>
      </c>
      <c r="AH253" s="19" cm="1">
        <f t="array" ref="AH253">_xll.BDP($C253,"INTERVAL_PERCENT_CHANGE", "START_DATE_OVERRIDE",TEXT(AC$6,"YYYYMMDD"), "END_DATE_OVERRIDE",TEXT(AH$6,"YYYYMMDD"))/100</f>
        <v>0.24742500000000001</v>
      </c>
      <c r="AI253" s="19" cm="1">
        <f t="array" ref="AI253">_xll.BDP($C253,"INTERVAL_PERCENT_CHANGE", "START_DATE_OVERRIDE",TEXT(AD$6,"YYYYMMDD"), "END_DATE_OVERRIDE",TEXT(AI$6,"YYYYMMDD"))/100</f>
        <v>0.16806200000000002</v>
      </c>
      <c r="AJ253" s="19" cm="1">
        <f t="array" ref="AJ253">_xll.BDP($C253,"INTERVAL_PERCENT_CHANGE", "START_DATE_OVERRIDE",TEXT(AE$6,"YYYYMMDD"), "END_DATE_OVERRIDE",TEXT(AJ$6,"YYYYMMDD"))/100</f>
        <v>7.2526000000000007E-2</v>
      </c>
      <c r="AK253" s="18"/>
      <c r="AL253" s="19" cm="1">
        <f t="array" ref="AL253">_xll.BDP($C253,"INTERVAL_PERCENT_CHANGE", "START_DATE_OVERRIDE",TEXT(AG$6,"YYYYMMDD"), "END_DATE_OVERRIDE",TEXT(AL$6,"YYYYMMDD"))/100</f>
        <v>-4.4005000000000002E-2</v>
      </c>
      <c r="AM253" s="19" cm="1">
        <f t="array" ref="AM253">_xll.BDP($C253,"INTERVAL_PERCENT_CHANGE", "START_DATE_OVERRIDE",TEXT(AH$6,"YYYYMMDD"), "END_DATE_OVERRIDE",TEXT(AM$6,"YYYYMMDD"))/100</f>
        <v>-8.8079999999999992E-2</v>
      </c>
      <c r="AN253" s="60" cm="1">
        <f t="array" ref="AN253">_xll.BDP($C253,"INTERVAL_PERCENT_CHANGE", "START_DATE_OVERRIDE",TEXT(AI$6,"YYYYMMDD"), "END_DATE_OVERRIDE",TEXT(AN$6,"YYYYMMDD"))/100</f>
        <v>-8.2518999999999995E-2</v>
      </c>
      <c r="AO253" s="60" cm="1">
        <f t="array" ref="AO253">_xll.BDP($C253,"INTERVAL_PERCENT_CHANGE", "START_DATE_OVERRIDE",TEXT(AJ$6,"YYYYMMDD"), "END_DATE_OVERRIDE",TEXT(AO$6,"YYYYMMDD"))/100</f>
        <v>-7.4395000000000003E-2</v>
      </c>
      <c r="AP253" s="207" cm="1">
        <f t="array" ref="AP253">_xll.BDP($C253,"INTERVAL_PERCENT_CHANGE", "START_DATE_OVERRIDE",TEXT(AK$6,"YYYYMMDD"), "END_DATE_OVERRIDE",TEXT(AP$6,"YYYYMMDD"))/100</f>
        <v>-7.4395000000000003E-2</v>
      </c>
      <c r="AQ253" s="434"/>
      <c r="AR253" s="434"/>
      <c r="AS253" s="434"/>
      <c r="AT253" s="434"/>
      <c r="AU253" s="242"/>
      <c r="AV253" s="434"/>
      <c r="AW253" s="434"/>
      <c r="AX253" s="434"/>
      <c r="AY253" s="434"/>
      <c r="AZ253" s="242"/>
      <c r="BB253" s="447"/>
    </row>
    <row r="254" spans="2:54" s="19" customFormat="1" hidden="1" outlineLevel="1">
      <c r="B254" s="527" t="s">
        <v>824</v>
      </c>
      <c r="C254" s="19" t="s">
        <v>828</v>
      </c>
      <c r="D254" s="523"/>
      <c r="E254" s="18"/>
      <c r="F254" s="18"/>
      <c r="G254" s="18"/>
      <c r="L254" s="18"/>
      <c r="M254" s="19" cm="1">
        <f t="array" ref="M254">_xll.BDP($C254,"INTERVAL_PERCENT_CHANGE", "START_DATE_OVERRIDE",TEXT(H$6,"YYYYMMDD"), "END_DATE_OVERRIDE",TEXT(M$6,"YYYYMMDD"))/100</f>
        <v>2.9437999999999999E-2</v>
      </c>
      <c r="N254" s="19" cm="1">
        <f t="array" ref="N254">_xll.BDP($C254,"INTERVAL_PERCENT_CHANGE", "START_DATE_OVERRIDE",TEXT(I$6,"YYYYMMDD"), "END_DATE_OVERRIDE",TEXT(N$6,"YYYYMMDD"))/100</f>
        <v>3.2772000000000003E-2</v>
      </c>
      <c r="O254" s="19" cm="1">
        <f t="array" ref="O254">_xll.BDP($C254,"INTERVAL_PERCENT_CHANGE", "START_DATE_OVERRIDE",TEXT(J$6,"YYYYMMDD"), "END_DATE_OVERRIDE",TEXT(O$6,"YYYYMMDD"))/100</f>
        <v>2.7313E-2</v>
      </c>
      <c r="P254" s="19" cm="1">
        <f t="array" ref="P254">_xll.BDP($C254,"INTERVAL_PERCENT_CHANGE", "START_DATE_OVERRIDE",TEXT(K$6,"YYYYMMDD"), "END_DATE_OVERRIDE",TEXT(P$6,"YYYYMMDD"))/100</f>
        <v>2.6362E-2</v>
      </c>
      <c r="Q254" s="18"/>
      <c r="R254" s="19" cm="1">
        <f t="array" ref="R254">_xll.BDP($C254,"INTERVAL_PERCENT_CHANGE", "START_DATE_OVERRIDE",TEXT(M$6,"YYYYMMDD"), "END_DATE_OVERRIDE",TEXT(R$6,"YYYYMMDD"))/100</f>
        <v>1.9931000000000001E-2</v>
      </c>
      <c r="S254" s="19" cm="1">
        <f t="array" ref="S254">_xll.BDP($C254,"INTERVAL_PERCENT_CHANGE", "START_DATE_OVERRIDE",TEXT(N$6,"YYYYMMDD"), "END_DATE_OVERRIDE",TEXT(S$6,"YYYYMMDD"))/100</f>
        <v>1.6295E-2</v>
      </c>
      <c r="T254" s="19" cm="1">
        <f t="array" ref="T254">_xll.BDP($C254,"INTERVAL_PERCENT_CHANGE", "START_DATE_OVERRIDE",TEXT(O$6,"YYYYMMDD"), "END_DATE_OVERRIDE",TEXT(T$6,"YYYYMMDD"))/100</f>
        <v>1.4579999999999999E-2</v>
      </c>
      <c r="U254" s="19" cm="1">
        <f t="array" ref="U254">_xll.BDP($C254,"INTERVAL_PERCENT_CHANGE", "START_DATE_OVERRIDE",TEXT(P$6,"YYYYMMDD"), "END_DATE_OVERRIDE",TEXT(U$6,"YYYYMMDD"))/100</f>
        <v>1.3698999999999999E-2</v>
      </c>
      <c r="V254" s="18"/>
      <c r="W254" s="19" cm="1">
        <f t="array" ref="W254">_xll.BDP($C254,"INTERVAL_PERCENT_CHANGE", "START_DATE_OVERRIDE",TEXT(R$6,"YYYYMMDD"), "END_DATE_OVERRIDE",TEXT(W$6,"YYYYMMDD"))/100</f>
        <v>3.398E-3</v>
      </c>
      <c r="X254" s="19" cm="1">
        <f t="array" ref="X254">_xll.BDP($C254,"INTERVAL_PERCENT_CHANGE", "START_DATE_OVERRIDE",TEXT(S$6,"YYYYMMDD"), "END_DATE_OVERRIDE",TEXT(X$6,"YYYYMMDD"))/100</f>
        <v>-6.7510000000000001E-3</v>
      </c>
      <c r="Y254" s="19" cm="1">
        <f t="array" ref="Y254">_xll.BDP($C254,"INTERVAL_PERCENT_CHANGE", "START_DATE_OVERRIDE",TEXT(T$6,"YYYYMMDD"), "END_DATE_OVERRIDE",TEXT(Y$6,"YYYYMMDD"))/100</f>
        <v>3.3810000000000003E-3</v>
      </c>
      <c r="Z254" s="19" cm="1">
        <f t="array" ref="Z254">_xll.BDP($C254,"INTERVAL_PERCENT_CHANGE", "START_DATE_OVERRIDE",TEXT(U$6,"YYYYMMDD"), "END_DATE_OVERRIDE",TEXT(Z$6,"YYYYMMDD"))/100</f>
        <v>8.4460000000000004E-3</v>
      </c>
      <c r="AA254" s="18"/>
      <c r="AB254" s="19" cm="1">
        <f t="array" ref="AB254">_xll.BDP($C254,"INTERVAL_PERCENT_CHANGE", "START_DATE_OVERRIDE",TEXT(W$6,"YYYYMMDD"), "END_DATE_OVERRIDE",TEXT(AB$6,"YYYYMMDD"))/100</f>
        <v>4.1489999999999999E-2</v>
      </c>
      <c r="AC254" s="19" cm="1">
        <f t="array" ref="AC254">_xll.BDP($C254,"INTERVAL_PERCENT_CHANGE", "START_DATE_OVERRIDE",TEXT(X$6,"YYYYMMDD"), "END_DATE_OVERRIDE",TEXT(AC$6,"YYYYMMDD"))/100</f>
        <v>7.5616000000000003E-2</v>
      </c>
      <c r="AD254" s="19" cm="1">
        <f t="array" ref="AD254">_xll.BDP($C254,"INTERVAL_PERCENT_CHANGE", "START_DATE_OVERRIDE",TEXT(Y$6,"YYYYMMDD"), "END_DATE_OVERRIDE",TEXT(AD$6,"YYYYMMDD"))/100</f>
        <v>8.7750999999999996E-2</v>
      </c>
      <c r="AE254" s="19" cm="1">
        <f t="array" ref="AE254">_xll.BDP($C254,"INTERVAL_PERCENT_CHANGE", "START_DATE_OVERRIDE",TEXT(Z$6,"YYYYMMDD"), "END_DATE_OVERRIDE",TEXT(AE$6,"YYYYMMDD"))/100</f>
        <v>0.100034</v>
      </c>
      <c r="AF254" s="18"/>
      <c r="AG254" s="19" cm="1">
        <f t="array" ref="AG254">_xll.BDP($C254,"INTERVAL_PERCENT_CHANGE", "START_DATE_OVERRIDE",TEXT(AB$6,"YYYYMMDD"), "END_DATE_OVERRIDE",TEXT(AG$6,"YYYYMMDD"))/100</f>
        <v>0.116593</v>
      </c>
      <c r="AH254" s="19" cm="1">
        <f t="array" ref="AH254">_xll.BDP($C254,"INTERVAL_PERCENT_CHANGE", "START_DATE_OVERRIDE",TEXT(AC$6,"YYYYMMDD"), "END_DATE_OVERRIDE",TEXT(AH$6,"YYYYMMDD"))/100</f>
        <v>0.11231400000000001</v>
      </c>
      <c r="AI254" s="19" cm="1">
        <f t="array" ref="AI254">_xll.BDP($C254,"INTERVAL_PERCENT_CHANGE", "START_DATE_OVERRIDE",TEXT(AD$6,"YYYYMMDD"), "END_DATE_OVERRIDE",TEXT(AI$6,"YYYYMMDD"))/100</f>
        <v>8.4807000000000007E-2</v>
      </c>
      <c r="AJ254" s="19" cm="1">
        <f t="array" ref="AJ254">_xll.BDP($C254,"INTERVAL_PERCENT_CHANGE", "START_DATE_OVERRIDE",TEXT(AE$6,"YYYYMMDD"), "END_DATE_OVERRIDE",TEXT(AJ$6,"YYYYMMDD"))/100</f>
        <v>6.4227999999999993E-2</v>
      </c>
      <c r="AK254" s="18"/>
      <c r="AL254" s="19" cm="1">
        <f t="array" ref="AL254">_xll.BDP($C254,"INTERVAL_PERCENT_CHANGE", "START_DATE_OVERRIDE",TEXT(AG$6,"YYYYMMDD"), "END_DATE_OVERRIDE",TEXT(AL$6,"YYYYMMDD"))/100</f>
        <v>2.6605E-2</v>
      </c>
      <c r="AM254" s="19" cm="1">
        <f t="array" ref="AM254">_xll.BDP($C254,"INTERVAL_PERCENT_CHANGE", "START_DATE_OVERRIDE",TEXT(AH$6,"YYYYMMDD"), "END_DATE_OVERRIDE",TEXT(AM$6,"YYYYMMDD"))/100</f>
        <v>8.3799999999999999E-4</v>
      </c>
      <c r="AN254" s="60" cm="1">
        <f t="array" ref="AN254">_xll.BDP($C254,"INTERVAL_PERCENT_CHANGE", "START_DATE_OVERRIDE",TEXT(AI$6,"YYYYMMDD"), "END_DATE_OVERRIDE",TEXT(AN$6,"YYYYMMDD"))/100</f>
        <v>1.5550000000000001E-2</v>
      </c>
      <c r="AO254" s="60" cm="1">
        <f t="array" ref="AO254">_xll.BDP($C254,"INTERVAL_PERCENT_CHANGE", "START_DATE_OVERRIDE",TEXT(AJ$6,"YYYYMMDD"), "END_DATE_OVERRIDE",TEXT(AO$6,"YYYYMMDD"))/100</f>
        <v>1.7627999999999998E-2</v>
      </c>
      <c r="AP254" s="207" cm="1">
        <f t="array" ref="AP254">_xll.BDP($C254,"INTERVAL_PERCENT_CHANGE", "START_DATE_OVERRIDE",TEXT(AK$6,"YYYYMMDD"), "END_DATE_OVERRIDE",TEXT(AP$6,"YYYYMMDD"))/100</f>
        <v>1.7627999999999998E-2</v>
      </c>
      <c r="AQ254" s="434"/>
      <c r="AR254" s="434"/>
      <c r="AS254" s="434"/>
      <c r="AT254" s="434"/>
      <c r="AU254" s="242"/>
      <c r="AV254" s="434"/>
      <c r="AW254" s="434"/>
      <c r="AX254" s="434"/>
      <c r="AY254" s="434"/>
      <c r="AZ254" s="242"/>
      <c r="BB254" s="447"/>
    </row>
    <row r="255" spans="2:54" hidden="1" outlineLevel="1">
      <c r="B255" s="408"/>
      <c r="C255" s="6"/>
      <c r="D255" s="6"/>
      <c r="E255" s="18"/>
      <c r="F255" s="18"/>
      <c r="G255" s="18"/>
      <c r="H255" s="19"/>
      <c r="J255" s="19"/>
      <c r="K255" s="19"/>
      <c r="L255" s="18"/>
      <c r="M255" s="19"/>
      <c r="N255" s="19"/>
      <c r="O255" s="19"/>
      <c r="P255" s="19"/>
      <c r="Q255" s="18"/>
      <c r="R255" s="19"/>
      <c r="S255" s="19"/>
      <c r="T255" s="19"/>
      <c r="U255" s="19"/>
      <c r="V255" s="18"/>
      <c r="W255" s="19"/>
      <c r="X255" s="19"/>
      <c r="Y255" s="19"/>
      <c r="Z255" s="19"/>
      <c r="AA255" s="18"/>
      <c r="AB255" s="19"/>
      <c r="AC255" s="19"/>
      <c r="AD255" s="19"/>
      <c r="AE255" s="19"/>
      <c r="AF255" s="18"/>
      <c r="AG255" s="19"/>
      <c r="AH255" s="19"/>
      <c r="AI255" s="19"/>
      <c r="AJ255" s="19"/>
      <c r="AK255" s="18"/>
      <c r="AL255" s="19"/>
      <c r="AM255" s="19"/>
      <c r="AN255" s="60"/>
      <c r="AO255" s="60"/>
      <c r="AP255" s="219"/>
      <c r="AQ255" s="243"/>
      <c r="AR255" s="243"/>
      <c r="AS255" s="243"/>
      <c r="AT255" s="243"/>
      <c r="AU255" s="237"/>
      <c r="AV255" s="243"/>
      <c r="AW255" s="243"/>
      <c r="AX255" s="243"/>
      <c r="AY255" s="243"/>
      <c r="AZ255" s="237"/>
    </row>
    <row r="256" spans="2:54" hidden="1" outlineLevel="1">
      <c r="B256" s="4" t="s">
        <v>833</v>
      </c>
      <c r="C256" s="6"/>
      <c r="D256" s="6"/>
      <c r="E256" s="18"/>
      <c r="F256" s="18"/>
      <c r="G256" s="18"/>
      <c r="H256" s="19"/>
      <c r="I256" s="19"/>
      <c r="J256" s="19"/>
      <c r="K256" s="19"/>
      <c r="L256" s="18"/>
      <c r="M256" s="19"/>
      <c r="N256" s="19"/>
      <c r="O256" s="19"/>
      <c r="P256" s="19"/>
      <c r="Q256" s="18"/>
      <c r="R256" s="19"/>
      <c r="S256" s="19"/>
      <c r="T256" s="19"/>
      <c r="U256" s="19"/>
      <c r="V256" s="18"/>
      <c r="W256" s="19"/>
      <c r="X256" s="19"/>
      <c r="Y256" s="19"/>
      <c r="Z256" s="19"/>
      <c r="AA256" s="18"/>
      <c r="AB256" s="19"/>
      <c r="AC256" s="19"/>
      <c r="AD256" s="19"/>
      <c r="AE256" s="19"/>
      <c r="AF256" s="18"/>
      <c r="AG256" s="19"/>
      <c r="AH256" s="19"/>
      <c r="AI256" s="19"/>
      <c r="AJ256" s="19"/>
      <c r="AK256" s="18"/>
      <c r="AL256" s="19"/>
      <c r="AM256" s="19"/>
      <c r="AN256" s="60"/>
      <c r="AO256" s="60"/>
      <c r="AP256" s="219"/>
      <c r="AQ256" s="243"/>
      <c r="AR256" s="243"/>
      <c r="AS256" s="243"/>
      <c r="AT256" s="243"/>
      <c r="AU256" s="237"/>
      <c r="AV256" s="243"/>
      <c r="AW256" s="243"/>
      <c r="AX256" s="243"/>
      <c r="AY256" s="243"/>
      <c r="AZ256" s="237"/>
    </row>
    <row r="257" spans="2:54" hidden="1" outlineLevel="1">
      <c r="B257" s="408" t="s">
        <v>822</v>
      </c>
      <c r="C257" s="6"/>
      <c r="D257" s="6"/>
      <c r="E257" s="18"/>
      <c r="F257" s="18"/>
      <c r="G257" s="18"/>
      <c r="H257" s="447"/>
      <c r="I257" s="447"/>
      <c r="J257" s="447"/>
      <c r="K257" s="447"/>
      <c r="L257" s="18"/>
      <c r="M257" s="447">
        <v>0.1</v>
      </c>
      <c r="N257" s="447">
        <v>0.1</v>
      </c>
      <c r="O257" s="447">
        <v>0.1</v>
      </c>
      <c r="P257" s="447">
        <v>0.1</v>
      </c>
      <c r="Q257" s="18"/>
      <c r="R257" s="447">
        <f>M257</f>
        <v>0.1</v>
      </c>
      <c r="S257" s="447">
        <f t="shared" ref="S257:S261" si="593">N257</f>
        <v>0.1</v>
      </c>
      <c r="T257" s="447">
        <f t="shared" ref="T257:T261" si="594">O257</f>
        <v>0.1</v>
      </c>
      <c r="U257" s="447">
        <f t="shared" ref="U257:U261" si="595">P257</f>
        <v>0.1</v>
      </c>
      <c r="V257" s="18"/>
      <c r="W257" s="447">
        <f>R257</f>
        <v>0.1</v>
      </c>
      <c r="X257" s="447">
        <f t="shared" ref="X257:X261" si="596">S257</f>
        <v>0.1</v>
      </c>
      <c r="Y257" s="447">
        <f t="shared" ref="Y257:Y261" si="597">T257</f>
        <v>0.1</v>
      </c>
      <c r="Z257" s="447">
        <f t="shared" ref="Z257:Z261" si="598">U257</f>
        <v>0.1</v>
      </c>
      <c r="AA257" s="18"/>
      <c r="AB257" s="447">
        <f>W257</f>
        <v>0.1</v>
      </c>
      <c r="AC257" s="447">
        <f t="shared" ref="AC257:AC261" si="599">X257</f>
        <v>0.1</v>
      </c>
      <c r="AD257" s="447">
        <f t="shared" ref="AD257:AD261" si="600">Y257</f>
        <v>0.1</v>
      </c>
      <c r="AE257" s="447">
        <f t="shared" ref="AE257:AE261" si="601">Z257</f>
        <v>0.1</v>
      </c>
      <c r="AF257" s="18"/>
      <c r="AG257" s="447">
        <f>AB257</f>
        <v>0.1</v>
      </c>
      <c r="AH257" s="447">
        <f t="shared" ref="AH257:AH261" si="602">AC257</f>
        <v>0.1</v>
      </c>
      <c r="AI257" s="447">
        <f t="shared" ref="AI257:AI261" si="603">AD257</f>
        <v>0.1</v>
      </c>
      <c r="AJ257" s="447">
        <f t="shared" ref="AJ257:AJ261" si="604">AE257</f>
        <v>0.1</v>
      </c>
      <c r="AK257" s="18"/>
      <c r="AL257" s="447">
        <f>AG257</f>
        <v>0.1</v>
      </c>
      <c r="AM257" s="447">
        <f t="shared" ref="AM257:AO261" si="605">AH257</f>
        <v>0.1</v>
      </c>
      <c r="AN257" s="519">
        <f t="shared" si="605"/>
        <v>0.1</v>
      </c>
      <c r="AO257" s="519">
        <f t="shared" si="605"/>
        <v>0.1</v>
      </c>
      <c r="AP257" s="545">
        <f>AO257</f>
        <v>0.1</v>
      </c>
      <c r="AQ257" s="243"/>
      <c r="AR257" s="243"/>
      <c r="AS257" s="243"/>
      <c r="AT257" s="243"/>
      <c r="AU257" s="237"/>
      <c r="AV257" s="243"/>
      <c r="AW257" s="243"/>
      <c r="AX257" s="243"/>
      <c r="AY257" s="243"/>
      <c r="AZ257" s="237"/>
    </row>
    <row r="258" spans="2:54" hidden="1" outlineLevel="1">
      <c r="B258" s="408" t="s">
        <v>912</v>
      </c>
      <c r="C258" s="6"/>
      <c r="D258" s="6"/>
      <c r="E258" s="18"/>
      <c r="F258" s="18"/>
      <c r="G258" s="18"/>
      <c r="H258" s="447"/>
      <c r="I258" s="447"/>
      <c r="J258" s="447"/>
      <c r="K258" s="447"/>
      <c r="L258" s="18"/>
      <c r="M258" s="447">
        <v>0.1</v>
      </c>
      <c r="N258" s="447">
        <v>0.1</v>
      </c>
      <c r="O258" s="447">
        <v>0.1</v>
      </c>
      <c r="P258" s="447">
        <v>0.1</v>
      </c>
      <c r="Q258" s="18"/>
      <c r="R258" s="447">
        <f t="shared" ref="R258:R261" si="606">M258</f>
        <v>0.1</v>
      </c>
      <c r="S258" s="447">
        <f t="shared" si="593"/>
        <v>0.1</v>
      </c>
      <c r="T258" s="447">
        <f t="shared" si="594"/>
        <v>0.1</v>
      </c>
      <c r="U258" s="447">
        <f t="shared" si="595"/>
        <v>0.1</v>
      </c>
      <c r="V258" s="18"/>
      <c r="W258" s="447">
        <f t="shared" ref="W258:W261" si="607">R258</f>
        <v>0.1</v>
      </c>
      <c r="X258" s="447">
        <f t="shared" si="596"/>
        <v>0.1</v>
      </c>
      <c r="Y258" s="447">
        <f t="shared" si="597"/>
        <v>0.1</v>
      </c>
      <c r="Z258" s="447">
        <f t="shared" si="598"/>
        <v>0.1</v>
      </c>
      <c r="AA258" s="18"/>
      <c r="AB258" s="447">
        <f t="shared" ref="AB258:AB261" si="608">W258</f>
        <v>0.1</v>
      </c>
      <c r="AC258" s="447">
        <f t="shared" si="599"/>
        <v>0.1</v>
      </c>
      <c r="AD258" s="447">
        <f t="shared" si="600"/>
        <v>0.1</v>
      </c>
      <c r="AE258" s="447">
        <f t="shared" si="601"/>
        <v>0.1</v>
      </c>
      <c r="AF258" s="18"/>
      <c r="AG258" s="447">
        <f t="shared" ref="AG258:AG261" si="609">AB258</f>
        <v>0.1</v>
      </c>
      <c r="AH258" s="447">
        <f t="shared" si="602"/>
        <v>0.1</v>
      </c>
      <c r="AI258" s="447">
        <f t="shared" si="603"/>
        <v>0.1</v>
      </c>
      <c r="AJ258" s="447">
        <f t="shared" si="604"/>
        <v>0.1</v>
      </c>
      <c r="AK258" s="18"/>
      <c r="AL258" s="447">
        <f t="shared" ref="AL258:AL261" si="610">AG258</f>
        <v>0.1</v>
      </c>
      <c r="AM258" s="447">
        <f t="shared" si="605"/>
        <v>0.1</v>
      </c>
      <c r="AN258" s="519">
        <f t="shared" si="605"/>
        <v>0.1</v>
      </c>
      <c r="AO258" s="519">
        <f t="shared" si="605"/>
        <v>0.1</v>
      </c>
      <c r="AP258" s="545">
        <f t="shared" ref="AP258:AP261" si="611">AO258</f>
        <v>0.1</v>
      </c>
      <c r="AQ258" s="243"/>
      <c r="AR258" s="243"/>
      <c r="AS258" s="243"/>
      <c r="AT258" s="243"/>
      <c r="AU258" s="237"/>
      <c r="AV258" s="243"/>
      <c r="AW258" s="243"/>
      <c r="AX258" s="243"/>
      <c r="AY258" s="243"/>
      <c r="AZ258" s="237"/>
    </row>
    <row r="259" spans="2:54" hidden="1" outlineLevel="1">
      <c r="B259" s="408" t="s">
        <v>823</v>
      </c>
      <c r="C259" s="6"/>
      <c r="D259" s="6"/>
      <c r="E259" s="18"/>
      <c r="F259" s="18"/>
      <c r="G259" s="18"/>
      <c r="H259" s="447"/>
      <c r="I259" s="447"/>
      <c r="J259" s="447"/>
      <c r="K259" s="447"/>
      <c r="L259" s="18"/>
      <c r="M259" s="447">
        <v>0.2</v>
      </c>
      <c r="N259" s="447">
        <v>0.2</v>
      </c>
      <c r="O259" s="447">
        <v>0.2</v>
      </c>
      <c r="P259" s="447">
        <v>0.2</v>
      </c>
      <c r="Q259" s="18"/>
      <c r="R259" s="447">
        <f t="shared" si="606"/>
        <v>0.2</v>
      </c>
      <c r="S259" s="447">
        <f t="shared" si="593"/>
        <v>0.2</v>
      </c>
      <c r="T259" s="447">
        <f t="shared" si="594"/>
        <v>0.2</v>
      </c>
      <c r="U259" s="447">
        <f t="shared" si="595"/>
        <v>0.2</v>
      </c>
      <c r="V259" s="18"/>
      <c r="W259" s="447">
        <f t="shared" si="607"/>
        <v>0.2</v>
      </c>
      <c r="X259" s="447">
        <f t="shared" si="596"/>
        <v>0.2</v>
      </c>
      <c r="Y259" s="447">
        <f t="shared" si="597"/>
        <v>0.2</v>
      </c>
      <c r="Z259" s="447">
        <f t="shared" si="598"/>
        <v>0.2</v>
      </c>
      <c r="AA259" s="18"/>
      <c r="AB259" s="447">
        <f t="shared" si="608"/>
        <v>0.2</v>
      </c>
      <c r="AC259" s="447">
        <f t="shared" si="599"/>
        <v>0.2</v>
      </c>
      <c r="AD259" s="447">
        <f t="shared" si="600"/>
        <v>0.2</v>
      </c>
      <c r="AE259" s="447">
        <f t="shared" si="601"/>
        <v>0.2</v>
      </c>
      <c r="AF259" s="18"/>
      <c r="AG259" s="447">
        <f t="shared" si="609"/>
        <v>0.2</v>
      </c>
      <c r="AH259" s="447">
        <f t="shared" si="602"/>
        <v>0.2</v>
      </c>
      <c r="AI259" s="447">
        <f t="shared" si="603"/>
        <v>0.2</v>
      </c>
      <c r="AJ259" s="447">
        <f t="shared" si="604"/>
        <v>0.2</v>
      </c>
      <c r="AK259" s="18"/>
      <c r="AL259" s="447">
        <f t="shared" si="610"/>
        <v>0.2</v>
      </c>
      <c r="AM259" s="447">
        <f t="shared" si="605"/>
        <v>0.2</v>
      </c>
      <c r="AN259" s="519">
        <f t="shared" si="605"/>
        <v>0.2</v>
      </c>
      <c r="AO259" s="519">
        <f t="shared" si="605"/>
        <v>0.2</v>
      </c>
      <c r="AP259" s="545">
        <f t="shared" si="611"/>
        <v>0.2</v>
      </c>
      <c r="AQ259" s="243"/>
      <c r="AR259" s="243"/>
      <c r="AS259" s="243"/>
      <c r="AT259" s="243"/>
      <c r="AU259" s="237"/>
      <c r="AV259" s="243"/>
      <c r="AW259" s="243"/>
      <c r="AX259" s="243"/>
      <c r="AY259" s="243"/>
      <c r="AZ259" s="237"/>
    </row>
    <row r="260" spans="2:54" hidden="1" outlineLevel="1">
      <c r="B260" s="408" t="s">
        <v>824</v>
      </c>
      <c r="C260" s="6"/>
      <c r="D260" s="6"/>
      <c r="E260" s="18"/>
      <c r="F260" s="18"/>
      <c r="G260" s="18"/>
      <c r="H260" s="447"/>
      <c r="I260" s="447"/>
      <c r="J260" s="447"/>
      <c r="K260" s="447"/>
      <c r="L260" s="18"/>
      <c r="M260" s="447">
        <v>0.6</v>
      </c>
      <c r="N260" s="447">
        <v>0.6</v>
      </c>
      <c r="O260" s="447">
        <v>0.6</v>
      </c>
      <c r="P260" s="447">
        <v>0.6</v>
      </c>
      <c r="Q260" s="18"/>
      <c r="R260" s="447">
        <f t="shared" si="606"/>
        <v>0.6</v>
      </c>
      <c r="S260" s="447">
        <f t="shared" si="593"/>
        <v>0.6</v>
      </c>
      <c r="T260" s="447">
        <f t="shared" si="594"/>
        <v>0.6</v>
      </c>
      <c r="U260" s="447">
        <f t="shared" si="595"/>
        <v>0.6</v>
      </c>
      <c r="V260" s="18"/>
      <c r="W260" s="447">
        <f t="shared" si="607"/>
        <v>0.6</v>
      </c>
      <c r="X260" s="447">
        <f t="shared" si="596"/>
        <v>0.6</v>
      </c>
      <c r="Y260" s="447">
        <f t="shared" si="597"/>
        <v>0.6</v>
      </c>
      <c r="Z260" s="447">
        <f t="shared" si="598"/>
        <v>0.6</v>
      </c>
      <c r="AA260" s="18"/>
      <c r="AB260" s="447">
        <f t="shared" si="608"/>
        <v>0.6</v>
      </c>
      <c r="AC260" s="447">
        <f t="shared" si="599"/>
        <v>0.6</v>
      </c>
      <c r="AD260" s="447">
        <f t="shared" si="600"/>
        <v>0.6</v>
      </c>
      <c r="AE260" s="447">
        <f t="shared" si="601"/>
        <v>0.6</v>
      </c>
      <c r="AF260" s="18"/>
      <c r="AG260" s="447">
        <f t="shared" si="609"/>
        <v>0.6</v>
      </c>
      <c r="AH260" s="447">
        <f t="shared" si="602"/>
        <v>0.6</v>
      </c>
      <c r="AI260" s="447">
        <f t="shared" si="603"/>
        <v>0.6</v>
      </c>
      <c r="AJ260" s="447">
        <f t="shared" si="604"/>
        <v>0.6</v>
      </c>
      <c r="AK260" s="18"/>
      <c r="AL260" s="447">
        <f t="shared" si="610"/>
        <v>0.6</v>
      </c>
      <c r="AM260" s="447">
        <f t="shared" si="605"/>
        <v>0.6</v>
      </c>
      <c r="AN260" s="519">
        <f t="shared" si="605"/>
        <v>0.6</v>
      </c>
      <c r="AO260" s="519">
        <f t="shared" si="605"/>
        <v>0.6</v>
      </c>
      <c r="AP260" s="545">
        <f t="shared" si="611"/>
        <v>0.6</v>
      </c>
      <c r="AQ260" s="243"/>
      <c r="AR260" s="243"/>
      <c r="AS260" s="243"/>
      <c r="AT260" s="243"/>
      <c r="AU260" s="237"/>
      <c r="AV260" s="243"/>
      <c r="AW260" s="243"/>
      <c r="AX260" s="243"/>
      <c r="AY260" s="243"/>
      <c r="AZ260" s="237"/>
    </row>
    <row r="261" spans="2:54" hidden="1" outlineLevel="1">
      <c r="B261" s="408"/>
      <c r="C261" s="6"/>
      <c r="D261" s="6"/>
      <c r="E261" s="18"/>
      <c r="F261" s="18"/>
      <c r="G261" s="18"/>
      <c r="H261" s="447"/>
      <c r="I261" s="447"/>
      <c r="J261" s="447"/>
      <c r="K261" s="447"/>
      <c r="L261" s="18"/>
      <c r="M261" s="447">
        <f>SUM(M257:M260)</f>
        <v>1</v>
      </c>
      <c r="N261" s="447">
        <f t="shared" ref="N261:P261" si="612">SUM(N257:N260)</f>
        <v>1</v>
      </c>
      <c r="O261" s="447">
        <f t="shared" si="612"/>
        <v>1</v>
      </c>
      <c r="P261" s="447">
        <f t="shared" si="612"/>
        <v>1</v>
      </c>
      <c r="Q261" s="18"/>
      <c r="R261" s="447">
        <f t="shared" si="606"/>
        <v>1</v>
      </c>
      <c r="S261" s="447">
        <f t="shared" si="593"/>
        <v>1</v>
      </c>
      <c r="T261" s="447">
        <f t="shared" si="594"/>
        <v>1</v>
      </c>
      <c r="U261" s="447">
        <f t="shared" si="595"/>
        <v>1</v>
      </c>
      <c r="V261" s="18"/>
      <c r="W261" s="447">
        <f t="shared" si="607"/>
        <v>1</v>
      </c>
      <c r="X261" s="447">
        <f t="shared" si="596"/>
        <v>1</v>
      </c>
      <c r="Y261" s="447">
        <f t="shared" si="597"/>
        <v>1</v>
      </c>
      <c r="Z261" s="447">
        <f t="shared" si="598"/>
        <v>1</v>
      </c>
      <c r="AA261" s="18"/>
      <c r="AB261" s="447">
        <f t="shared" si="608"/>
        <v>1</v>
      </c>
      <c r="AC261" s="447">
        <f t="shared" si="599"/>
        <v>1</v>
      </c>
      <c r="AD261" s="447">
        <f t="shared" si="600"/>
        <v>1</v>
      </c>
      <c r="AE261" s="447">
        <f t="shared" si="601"/>
        <v>1</v>
      </c>
      <c r="AF261" s="18"/>
      <c r="AG261" s="447">
        <f t="shared" si="609"/>
        <v>1</v>
      </c>
      <c r="AH261" s="447">
        <f t="shared" si="602"/>
        <v>1</v>
      </c>
      <c r="AI261" s="447">
        <f t="shared" si="603"/>
        <v>1</v>
      </c>
      <c r="AJ261" s="447">
        <f t="shared" si="604"/>
        <v>1</v>
      </c>
      <c r="AK261" s="18"/>
      <c r="AL261" s="447">
        <f t="shared" si="610"/>
        <v>1</v>
      </c>
      <c r="AM261" s="447">
        <f t="shared" si="605"/>
        <v>1</v>
      </c>
      <c r="AN261" s="519">
        <f t="shared" si="605"/>
        <v>1</v>
      </c>
      <c r="AO261" s="519">
        <f t="shared" si="605"/>
        <v>1</v>
      </c>
      <c r="AP261" s="545">
        <f t="shared" si="611"/>
        <v>1</v>
      </c>
      <c r="AQ261" s="243"/>
      <c r="AR261" s="243"/>
      <c r="AS261" s="243"/>
      <c r="AT261" s="243"/>
      <c r="AU261" s="237"/>
      <c r="AV261" s="243"/>
      <c r="AW261" s="243"/>
      <c r="AX261" s="243"/>
      <c r="AY261" s="243"/>
      <c r="AZ261" s="237"/>
    </row>
    <row r="262" spans="2:54" hidden="1" outlineLevel="1">
      <c r="B262" s="528"/>
      <c r="C262" s="6"/>
      <c r="D262" s="6"/>
      <c r="E262" s="18"/>
      <c r="F262" s="18"/>
      <c r="G262" s="18"/>
      <c r="H262" s="19"/>
      <c r="J262" s="19"/>
      <c r="K262" s="19"/>
      <c r="L262" s="18"/>
      <c r="M262" s="19"/>
      <c r="N262" s="19"/>
      <c r="O262" s="19"/>
      <c r="P262" s="19"/>
      <c r="Q262" s="18"/>
      <c r="R262" s="19"/>
      <c r="S262" s="19"/>
      <c r="T262" s="19"/>
      <c r="U262" s="19"/>
      <c r="V262" s="18"/>
      <c r="W262" s="19"/>
      <c r="X262" s="19"/>
      <c r="Y262" s="19"/>
      <c r="Z262" s="19"/>
      <c r="AA262" s="18"/>
      <c r="AB262" s="19"/>
      <c r="AC262" s="19"/>
      <c r="AD262" s="19"/>
      <c r="AE262" s="19"/>
      <c r="AF262" s="18"/>
      <c r="AG262" s="19"/>
      <c r="AH262" s="19"/>
      <c r="AI262" s="19"/>
      <c r="AJ262" s="19"/>
      <c r="AK262" s="18"/>
      <c r="AL262" s="19"/>
      <c r="AM262" s="19"/>
      <c r="AN262" s="60"/>
      <c r="AO262" s="60"/>
      <c r="AP262" s="219"/>
      <c r="AQ262" s="243"/>
      <c r="AR262" s="243"/>
      <c r="AS262" s="243"/>
      <c r="AT262" s="243"/>
      <c r="AU262" s="237"/>
      <c r="AV262" s="243"/>
      <c r="AW262" s="243"/>
      <c r="AX262" s="243"/>
      <c r="AY262" s="243"/>
      <c r="AZ262" s="237"/>
    </row>
    <row r="263" spans="2:54" s="11" customFormat="1" hidden="1" outlineLevel="1">
      <c r="B263" s="537" t="s">
        <v>834</v>
      </c>
      <c r="C263" s="10"/>
      <c r="D263" s="10"/>
      <c r="E263" s="538"/>
      <c r="F263" s="538"/>
      <c r="G263" s="538"/>
      <c r="H263" s="184"/>
      <c r="I263" s="184"/>
      <c r="J263" s="184"/>
      <c r="K263" s="184"/>
      <c r="L263" s="538"/>
      <c r="M263" s="184">
        <f>SUMPRODUCT(M257:M260,M251:M254)</f>
        <v>2.6054099999999997E-2</v>
      </c>
      <c r="N263" s="184">
        <f t="shared" ref="N263:P263" si="613">SUMPRODUCT(N257:N260,N251:N254)</f>
        <v>7.9547700000000013E-2</v>
      </c>
      <c r="O263" s="184">
        <f t="shared" si="613"/>
        <v>5.7595500000000008E-2</v>
      </c>
      <c r="P263" s="184">
        <f t="shared" si="613"/>
        <v>2.1019900000000001E-2</v>
      </c>
      <c r="Q263" s="538"/>
      <c r="R263" s="184">
        <f>SUMPRODUCT(R257:R260,R251:R254)</f>
        <v>1.1115099999999996E-2</v>
      </c>
      <c r="S263" s="184">
        <f t="shared" ref="S263:U263" si="614">SUMPRODUCT(S257:S260,S251:S254)</f>
        <v>-1.0032399999999999E-2</v>
      </c>
      <c r="T263" s="184">
        <f t="shared" si="614"/>
        <v>-1.5295500000000007E-2</v>
      </c>
      <c r="U263" s="184">
        <f t="shared" si="614"/>
        <v>-5.7593999999999979E-3</v>
      </c>
      <c r="V263" s="538"/>
      <c r="W263" s="184">
        <f>SUMPRODUCT(W257:W260,W251:W254)</f>
        <v>-1.9671300000000003E-2</v>
      </c>
      <c r="X263" s="184">
        <f t="shared" ref="X263:Z263" si="615">SUMPRODUCT(X257:X260,X251:X254)</f>
        <v>-3.2004800000000007E-2</v>
      </c>
      <c r="Y263" s="184">
        <f t="shared" si="615"/>
        <v>-1.3952999999999991E-3</v>
      </c>
      <c r="Z263" s="184">
        <f t="shared" si="615"/>
        <v>6.7082400000000014E-2</v>
      </c>
      <c r="AA263" s="538"/>
      <c r="AB263" s="184">
        <f>SUMPRODUCT(AB257:AB260,AB251:AB254)</f>
        <v>0.19236709999999999</v>
      </c>
      <c r="AC263" s="184">
        <f t="shared" ref="AC263:AE263" si="616">SUMPRODUCT(AC257:AC260,AC251:AC254)</f>
        <v>0.26644380000000001</v>
      </c>
      <c r="AD263" s="184">
        <f t="shared" si="616"/>
        <v>0.23407939999999999</v>
      </c>
      <c r="AE263" s="184">
        <f t="shared" si="616"/>
        <v>0.12654550000000001</v>
      </c>
      <c r="AF263" s="538"/>
      <c r="AG263" s="184">
        <f>SUMPRODUCT(AG257:AG260,AG251:AG254)</f>
        <v>0.1280635</v>
      </c>
      <c r="AH263" s="184">
        <f t="shared" ref="AH263:AJ263" si="617">SUMPRODUCT(AH257:AH260,AH251:AH254)</f>
        <v>8.5707699999999998E-2</v>
      </c>
      <c r="AI263" s="184">
        <f t="shared" si="617"/>
        <v>3.6624800000000006E-2</v>
      </c>
      <c r="AJ263" s="184">
        <f t="shared" si="617"/>
        <v>2.0783699999999995E-2</v>
      </c>
      <c r="AK263" s="538"/>
      <c r="AL263" s="184">
        <f>SUMPRODUCT(AL257:AL260,AL251:AL254)</f>
        <v>-6.0458000000000039E-3</v>
      </c>
      <c r="AM263" s="184">
        <f>SUMPRODUCT(AM257:AM260,AM251:AM254)</f>
        <v>-4.1508200000000009E-2</v>
      </c>
      <c r="AN263" s="501">
        <f>SUMPRODUCT(AN257:AN260,AN251:AN254)</f>
        <v>-1.6900900000000003E-2</v>
      </c>
      <c r="AO263" s="501">
        <f>SUMPRODUCT(AO257:AO260,AO251:AO254)</f>
        <v>3.9999999999999758E-4</v>
      </c>
      <c r="AP263" s="544">
        <f>SUMPRODUCT(AP257:AP260,AP251:AP254)</f>
        <v>3.9999999999999758E-4</v>
      </c>
      <c r="AQ263" s="552">
        <v>0.01</v>
      </c>
      <c r="AR263" s="552">
        <v>0.01</v>
      </c>
      <c r="AS263" s="552">
        <v>0.01</v>
      </c>
      <c r="AT263" s="552">
        <v>0.01</v>
      </c>
      <c r="AU263" s="553">
        <v>0.01</v>
      </c>
      <c r="AV263" s="552">
        <v>0.01</v>
      </c>
      <c r="AW263" s="552">
        <v>0.01</v>
      </c>
      <c r="AX263" s="552">
        <v>0.01</v>
      </c>
      <c r="AY263" s="552">
        <v>0.01</v>
      </c>
      <c r="AZ263" s="553">
        <v>0.01</v>
      </c>
      <c r="BB263" s="257" t="s">
        <v>848</v>
      </c>
    </row>
    <row r="264" spans="2:54" collapsed="1">
      <c r="B264" s="524"/>
      <c r="C264" s="6"/>
      <c r="D264" s="6"/>
      <c r="E264" s="18"/>
      <c r="F264" s="18"/>
      <c r="G264" s="18"/>
      <c r="H264" s="19"/>
      <c r="J264" s="19"/>
      <c r="K264" s="19"/>
      <c r="L264" s="18"/>
      <c r="M264" s="19"/>
      <c r="N264" s="19"/>
      <c r="O264" s="19"/>
      <c r="P264" s="19"/>
      <c r="Q264" s="18"/>
      <c r="R264" s="19"/>
      <c r="S264" s="19"/>
      <c r="T264" s="19"/>
      <c r="U264" s="19"/>
      <c r="V264" s="18"/>
      <c r="W264" s="19"/>
      <c r="X264" s="19"/>
      <c r="Y264" s="19"/>
      <c r="Z264" s="19"/>
      <c r="AA264" s="18"/>
      <c r="AB264" s="19"/>
      <c r="AC264" s="19"/>
      <c r="AD264" s="19"/>
      <c r="AE264" s="19"/>
      <c r="AF264" s="18"/>
      <c r="AG264" s="19"/>
      <c r="AH264" s="19"/>
      <c r="AI264" s="19"/>
      <c r="AJ264" s="19"/>
      <c r="AK264" s="18"/>
      <c r="AL264" s="19"/>
      <c r="AM264" s="19"/>
      <c r="AN264" s="243"/>
      <c r="AO264" s="243"/>
      <c r="AP264" s="237"/>
      <c r="AQ264" s="243"/>
      <c r="AR264" s="243"/>
      <c r="AS264" s="243"/>
      <c r="AT264" s="243"/>
      <c r="AU264" s="237"/>
      <c r="AV264" s="243"/>
      <c r="AW264" s="243"/>
      <c r="AX264" s="243"/>
      <c r="AY264" s="243"/>
      <c r="AZ264" s="237"/>
    </row>
    <row r="265" spans="2:54">
      <c r="B265" s="10" t="s">
        <v>780</v>
      </c>
      <c r="C265" s="6"/>
      <c r="D265" s="6"/>
      <c r="E265" s="18"/>
      <c r="F265" s="18"/>
      <c r="G265" s="18"/>
      <c r="H265" s="19"/>
      <c r="I265" s="19"/>
      <c r="J265" s="19"/>
      <c r="K265" s="19"/>
      <c r="L265" s="18"/>
      <c r="M265" s="19"/>
      <c r="N265" s="19"/>
      <c r="O265" s="19"/>
      <c r="P265" s="19"/>
      <c r="Q265" s="18"/>
      <c r="R265" s="19"/>
      <c r="S265" s="19"/>
      <c r="T265" s="19"/>
      <c r="U265" s="19"/>
      <c r="V265" s="18"/>
      <c r="W265" s="19"/>
      <c r="X265" s="19"/>
      <c r="Y265" s="19"/>
      <c r="Z265" s="19"/>
      <c r="AA265" s="18"/>
      <c r="AB265" s="19"/>
      <c r="AC265" s="19"/>
      <c r="AD265" s="19"/>
      <c r="AE265" s="19"/>
      <c r="AF265" s="18"/>
      <c r="AG265" s="19"/>
      <c r="AH265" s="19"/>
      <c r="AI265" s="19"/>
      <c r="AJ265" s="19"/>
      <c r="AK265" s="18"/>
      <c r="AL265" s="19"/>
      <c r="AM265" s="19"/>
      <c r="AN265" s="243"/>
      <c r="AO265" s="243"/>
      <c r="AP265" s="237"/>
      <c r="AQ265" s="243"/>
      <c r="AR265" s="243"/>
      <c r="AS265" s="243"/>
      <c r="AT265" s="243"/>
      <c r="AU265" s="237"/>
      <c r="AV265" s="243"/>
      <c r="AW265" s="243"/>
      <c r="AX265" s="243"/>
      <c r="AY265" s="243"/>
      <c r="AZ265" s="237"/>
    </row>
    <row r="266" spans="2:54" hidden="1" outlineLevel="1">
      <c r="B266" s="403" t="s">
        <v>679</v>
      </c>
      <c r="C266" s="6"/>
      <c r="D266" s="6"/>
      <c r="E266" s="18"/>
      <c r="F266" s="18"/>
      <c r="G266" s="18"/>
      <c r="H266" s="19"/>
      <c r="I266" s="19"/>
      <c r="J266" s="19"/>
      <c r="K266" s="19"/>
      <c r="L266" s="18"/>
      <c r="M266" s="19"/>
      <c r="N266" s="19"/>
      <c r="O266" s="19"/>
      <c r="P266" s="19"/>
      <c r="Q266" s="18"/>
      <c r="R266" s="19"/>
      <c r="S266" s="19"/>
      <c r="T266" s="19"/>
      <c r="U266" s="19"/>
      <c r="V266" s="18"/>
      <c r="W266" s="19"/>
      <c r="X266" s="19"/>
      <c r="Y266" s="19"/>
      <c r="Z266" s="19"/>
      <c r="AA266" s="18"/>
      <c r="AB266" s="19"/>
      <c r="AC266" s="19"/>
      <c r="AD266" s="19"/>
      <c r="AE266" s="19"/>
      <c r="AF266" s="18"/>
      <c r="AG266" s="19"/>
      <c r="AH266" s="19"/>
      <c r="AI266" s="19"/>
      <c r="AJ266" s="19"/>
      <c r="AK266" s="18"/>
      <c r="AL266" s="19"/>
      <c r="AM266" s="19"/>
      <c r="AN266" s="243"/>
      <c r="AO266" s="243"/>
      <c r="AP266" s="237"/>
      <c r="AQ266" s="243"/>
      <c r="AR266" s="243"/>
      <c r="AS266" s="243"/>
      <c r="AT266" s="243"/>
      <c r="AU266" s="237"/>
      <c r="AV266" s="243"/>
      <c r="AW266" s="243"/>
      <c r="AX266" s="243"/>
      <c r="AY266" s="243"/>
      <c r="AZ266" s="237"/>
    </row>
    <row r="267" spans="2:54" hidden="1" outlineLevel="1">
      <c r="B267" s="176" t="s">
        <v>359</v>
      </c>
      <c r="C267" s="6"/>
      <c r="D267" s="6"/>
      <c r="E267" s="18"/>
      <c r="F267" s="18"/>
      <c r="G267" s="18"/>
      <c r="H267" s="19"/>
      <c r="I267" s="19"/>
      <c r="J267" s="19"/>
      <c r="K267" s="19"/>
      <c r="L267" s="18"/>
      <c r="M267" s="19"/>
      <c r="N267" s="19"/>
      <c r="O267" s="19"/>
      <c r="P267" s="19"/>
      <c r="Q267" s="18"/>
      <c r="R267" s="19"/>
      <c r="S267" s="19"/>
      <c r="T267" s="19"/>
      <c r="U267" s="19"/>
      <c r="V267" s="18"/>
      <c r="W267" s="19"/>
      <c r="X267" s="19"/>
      <c r="Y267" s="19"/>
      <c r="Z267" s="19"/>
      <c r="AA267" s="18"/>
      <c r="AB267" s="19"/>
      <c r="AC267" s="19"/>
      <c r="AD267" s="19"/>
      <c r="AE267" s="19"/>
      <c r="AF267" s="18"/>
      <c r="AG267" s="19"/>
      <c r="AH267" s="19"/>
      <c r="AI267" s="19"/>
      <c r="AJ267" s="19"/>
      <c r="AK267" s="18"/>
      <c r="AL267" s="19"/>
      <c r="AM267" s="19"/>
      <c r="AN267" s="243"/>
      <c r="AO267" s="243"/>
      <c r="AP267" s="237"/>
      <c r="AQ267" s="243"/>
      <c r="AR267" s="243"/>
      <c r="AS267" s="243"/>
      <c r="AT267" s="243"/>
      <c r="AU267" s="237"/>
      <c r="AV267" s="243"/>
      <c r="AW267" s="243"/>
      <c r="AX267" s="243"/>
      <c r="AY267" s="243"/>
      <c r="AZ267" s="237"/>
    </row>
    <row r="268" spans="2:54" hidden="1" outlineLevel="1">
      <c r="B268" s="7" t="s">
        <v>791</v>
      </c>
      <c r="C268" s="6" t="s">
        <v>792</v>
      </c>
      <c r="D268" s="6" t="s">
        <v>359</v>
      </c>
      <c r="E268" s="18"/>
      <c r="F268" s="18"/>
      <c r="G268" s="18"/>
      <c r="H268" s="29" cm="1">
        <f t="array" ref="H268">_xll.VAData($D268, H$5, $C268, "Consensus", "CD", "IMPL","","")</f>
        <v>580.92857142857144</v>
      </c>
      <c r="I268" s="29" cm="1">
        <f t="array" ref="I268">_xll.VAData($D268, I$5, $C268, "Consensus", "CD", "IMPL","","")</f>
        <v>779.92857142857144</v>
      </c>
      <c r="J268" s="29" cm="1">
        <f t="array" ref="J268">_xll.VAData($D268, J$5, $C268, "Consensus", "CD", "IMPL","","")</f>
        <v>680.14285714285722</v>
      </c>
      <c r="K268" s="29" cm="1">
        <f t="array" ref="K268">_xll.VAData($D268, K$5, $C268, "Consensus", "CD", "IMPL","","")</f>
        <v>694.21428571428578</v>
      </c>
      <c r="L268" s="28" cm="1">
        <f t="array" ref="L268">_xll.VAData($D268, L$5, $C268, "Consensus", "CD", "IMPL","","")</f>
        <v>2728.9285714285711</v>
      </c>
      <c r="M268" s="29" cm="1">
        <f t="array" ref="M268">_xll.VAData($D268, M$5, $C268, "Consensus", "CD", "IMPL","","")</f>
        <v>538</v>
      </c>
      <c r="N268" s="29" cm="1">
        <f t="array" ref="N268">_xll.VAData($D268, N$5, $C268, "Consensus", "CD", "IMPL","","")</f>
        <v>711.57142857142856</v>
      </c>
      <c r="O268" s="29" cm="1">
        <f t="array" ref="O268">_xll.VAData($D268, O$5, $C268, "Consensus", "CD", "IMPL","","")</f>
        <v>703.5</v>
      </c>
      <c r="P268" s="29" cm="1">
        <f t="array" ref="P268">_xll.VAData($D268, P$5, $C268, "Consensus", "CD", "IMPL","","")</f>
        <v>584</v>
      </c>
      <c r="Q268" s="28" cm="1">
        <f t="array" ref="Q268">_xll.VAData($D268, Q$5, $C268, "Consensus", "CD", "IMPL","","")</f>
        <v>2540.3846153846152</v>
      </c>
      <c r="R268" s="29" cm="1">
        <f t="array" ref="R268">_xll.VAData($D268, R$5, $C268, "Consensus", "CD", "IMPL","","")</f>
        <v>582</v>
      </c>
      <c r="S268" s="29" cm="1">
        <f t="array" ref="S268">_xll.VAData($D268, S$5, $C268, "Consensus", "CD", "IMPL","","")</f>
        <v>734</v>
      </c>
      <c r="T268" s="29" cm="1">
        <f t="array" ref="T268">_xll.VAData($D268, T$5, $C268, "Consensus", "CD", "IMPL","","")</f>
        <v>702</v>
      </c>
      <c r="U268" s="29" cm="1">
        <f t="array" ref="U268">_xll.VAData($D268, U$5, $C268, "Consensus", "CD", "IMPL","","")</f>
        <v>634</v>
      </c>
      <c r="V268" s="28" cm="1">
        <f t="array" ref="V268">_xll.VAData($D268, V$5, $C268, "Consensus", "CD", "IMPL","","")</f>
        <v>2652</v>
      </c>
      <c r="W268" s="29" cm="1">
        <f t="array" ref="W268">_xll.VAData($D268, W$5, $C268, "Consensus", "CD", "IMPL","","")</f>
        <v>607</v>
      </c>
      <c r="X268" s="29" cm="1">
        <f t="array" ref="X268">_xll.VAData($D268, X$5, $C268, "Consensus", "CD", "IMPL","","")</f>
        <v>584</v>
      </c>
      <c r="Y268" s="29" cm="1">
        <f t="array" ref="Y268">_xll.VAData($D268, Y$5, $C268, "Consensus", "CD", "IMPL","","")</f>
        <v>829</v>
      </c>
      <c r="Z268" s="29" cm="1">
        <f t="array" ref="Z268">_xll.VAData($D268, Z$5, $C268, "Consensus", "CD", "IMPL","","")</f>
        <v>782</v>
      </c>
      <c r="AA268" s="28" cm="1">
        <f t="array" ref="AA268">_xll.VAData($D268, AA$5, $C268, "Consensus", "CD", "IMPL","","")</f>
        <v>2802</v>
      </c>
      <c r="AB268" s="29" cm="1">
        <f t="array" ref="AB268">_xll.VAData($D268, AB$5, $C268, "Consensus", "CD", "IMPL","","")</f>
        <v>758</v>
      </c>
      <c r="AC268" s="29" cm="1">
        <f t="array" ref="AC268">_xll.VAData($D268, AC$5, $C268, "Consensus", "CD", "IMPL","","")</f>
        <v>859</v>
      </c>
      <c r="AD268" s="29" cm="1">
        <f t="array" ref="AD268">_xll.VAData($D268, AD$5, $C268, "Consensus", "CD", "IMPL","","")</f>
        <v>940</v>
      </c>
      <c r="AE268" s="29" cm="1">
        <f t="array" ref="AE268">_xll.VAData($D268, AE$5, $C268, "Consensus", "CD", "IMPL","","")</f>
        <v>774</v>
      </c>
      <c r="AF268" s="28" cm="1">
        <f t="array" ref="AF268">_xll.VAData($D268, AF$5, $C268, "Consensus", "CD", "IMPL","","")</f>
        <v>3331</v>
      </c>
      <c r="AG268" s="29" cm="1">
        <f t="array" ref="AG268">_xll.VAData($D268, AG$5, $C268, "Consensus", "CD", "IMPL","","")</f>
        <v>901</v>
      </c>
      <c r="AH268" s="29" cm="1">
        <f t="array" ref="AH268">_xll.VAData($D268, AH$5, $C268, "Consensus", "CD", "IMPL","","")</f>
        <v>1025</v>
      </c>
      <c r="AI268" s="29" cm="1">
        <f t="array" ref="AI268">_xll.VAData($D268, AI$5, $C268, "Consensus", "CD", "IMPL","","")</f>
        <v>1126</v>
      </c>
      <c r="AJ268" s="29" cm="1">
        <f t="array" ref="AJ268">_xll.VAData($D268, AJ$5, $C268, "Consensus", "CD", "IMPL","","")</f>
        <v>870</v>
      </c>
      <c r="AK268" s="28" cm="1">
        <f t="array" ref="AK268">_xll.VAData($D268, AK$5, $C268, "Consensus", "CD", "IMPL","","")</f>
        <v>3922</v>
      </c>
      <c r="AL268" s="29" cm="1">
        <f t="array" ref="AL268">_xll.VAData($D268, AL$5, $C268, "Consensus", "CD", "IMPL","","")</f>
        <v>1088</v>
      </c>
      <c r="AM268" s="29" cm="1">
        <f t="array" ref="AM268">_xll.VAData($D268, AM$5, $C268, "Consensus", "CD", "IMPL","","")</f>
        <v>1272</v>
      </c>
      <c r="AN268" s="29" cm="1">
        <f t="array" ref="AN268">_xll.VAData($D268, AN$5, $C268, "Consensus", "CD", "IMPL","","")</f>
        <v>1214.1787478697736</v>
      </c>
      <c r="AO268" s="29" cm="1">
        <f t="array" ref="AO268">_xll.VAData($D268, AO$5, $C268, "Consensus", "CD", "IMPL","","")</f>
        <v>923.88141992876115</v>
      </c>
      <c r="AP268" s="463" cm="1">
        <f t="array" ref="AP268">_xll.VAData($D268, AP$5, $C268, "Consensus", "CD", "IMPL","","")</f>
        <v>4498.0601677985342</v>
      </c>
      <c r="AQ268" s="29" cm="1">
        <f t="array" ref="AQ268">_xll.VAData($D268, AQ$5, $C268, "Consensus", "CD", "IMPL","","")</f>
        <v>1139.9129521977011</v>
      </c>
      <c r="AR268" s="29" cm="1">
        <f t="array" ref="AR268">_xll.VAData($D268, AR$5, $C268, "Consensus", "CD", "IMPL","","")</f>
        <v>1331.03008329</v>
      </c>
      <c r="AS268" s="29" cm="1">
        <f t="array" ref="AS268">_xll.VAData($D268, AS$5, $C268, "Consensus", "CD", "IMPL","","")</f>
        <v>1286.3327529815836</v>
      </c>
      <c r="AT268" s="29" cm="1">
        <f t="array" ref="AT268">_xll.VAData($D268, AT$5, $C268, "Consensus", "CD", "IMPL","","")</f>
        <v>985.61943806770716</v>
      </c>
      <c r="AU268" s="463" cm="1">
        <f t="array" ref="AU268">_xll.VAData($D268, AU$5, $C268, "Consensus", "CD", "IMPL","","")</f>
        <v>4742.8952265369908</v>
      </c>
      <c r="AV268" s="29" cm="1">
        <f t="array" ref="AV268">_xll.VAData($D268, AV$5, $C268, "Consensus", "CD", "IMPL","","")</f>
        <v>1207.278410522285</v>
      </c>
      <c r="AW268" s="29" cm="1">
        <f t="array" ref="AW268">_xll.VAData($D268, AW$5, $C268, "Consensus", "CD", "IMPL","","")</f>
        <v>1377.06361112799</v>
      </c>
      <c r="AX268" s="29" cm="1">
        <f t="array" ref="AX268">_xll.VAData($D268, AX$5, $C268, "Consensus", "CD", "IMPL","","")</f>
        <v>1345.4736501871325</v>
      </c>
      <c r="AY268" s="29" cm="1">
        <f t="array" ref="AY268">_xll.VAData($D268, AY$5, $C268, "Consensus", "CD", "IMPL","","")</f>
        <v>1009.69366711525</v>
      </c>
      <c r="AZ268" s="463" cm="1">
        <f t="array" ref="AZ268">_xll.VAData($D268, AZ$5, $C268, "Consensus", "CD", "IMPL","","")</f>
        <v>4982.4689392888786</v>
      </c>
    </row>
    <row r="269" spans="2:54" hidden="1" outlineLevel="1">
      <c r="B269" s="7" t="s">
        <v>913</v>
      </c>
      <c r="C269" s="6" t="s">
        <v>793</v>
      </c>
      <c r="D269" s="6" t="s">
        <v>359</v>
      </c>
      <c r="E269" s="18"/>
      <c r="F269" s="18"/>
      <c r="G269" s="18"/>
      <c r="H269" s="29" cm="1">
        <f t="array" ref="H269">_xll.VAData($D269, H$5, $C269, "Consensus", "CD", "IMPL","","")</f>
        <v>2380.8666666666663</v>
      </c>
      <c r="I269" s="29" cm="1">
        <f t="array" ref="I269">_xll.VAData($D269, I$5, $C269, "Consensus", "CD", "IMPL","","")</f>
        <v>2875.6666666666665</v>
      </c>
      <c r="J269" s="29" cm="1">
        <f t="array" ref="J269">_xll.VAData($D269, J$5, $C269, "Consensus", "CD", "IMPL","","")</f>
        <v>2745.1538461538462</v>
      </c>
      <c r="K269" s="29" cm="1">
        <f t="array" ref="K269">_xll.VAData($D269, K$5, $C269, "Consensus", "CD", "IMPL","","")</f>
        <v>2637.125</v>
      </c>
      <c r="L269" s="28" cm="1">
        <f t="array" ref="L269">_xll.VAData($D269, L$5, $C269, "Consensus", "CD", "IMPL","","")</f>
        <v>10639.785714285716</v>
      </c>
      <c r="M269" s="29" cm="1">
        <f t="array" ref="M269">_xll.VAData($D269, M$5, $C269, "Consensus", "CD", "IMPL","","")</f>
        <v>2653.8666666666663</v>
      </c>
      <c r="N269" s="29" cm="1">
        <f t="array" ref="N269">_xll.VAData($D269, N$5, $C269, "Consensus", "CD", "IMPL","","")</f>
        <v>3082.4666666666667</v>
      </c>
      <c r="O269" s="29" cm="1">
        <f t="array" ref="O269">_xll.VAData($D269, O$5, $C269, "Consensus", "CD", "IMPL","","")</f>
        <v>3093.4</v>
      </c>
      <c r="P269" s="29" cm="1">
        <f t="array" ref="P269">_xll.VAData($D269, P$5, $C269, "Consensus", "CD", "IMPL","","")</f>
        <v>2809.4666666666667</v>
      </c>
      <c r="Q269" s="28" cm="1">
        <f t="array" ref="Q269">_xll.VAData($D269, Q$5, $C269, "Consensus", "CD", "IMPL","","")</f>
        <v>11639.857142857143</v>
      </c>
      <c r="R269" s="29" cm="1">
        <f t="array" ref="R269">_xll.VAData($D269, R$5, $C269, "Consensus", "CD", "IMPL","","")</f>
        <v>2683.125</v>
      </c>
      <c r="S269" s="29" cm="1">
        <f t="array" ref="S269">_xll.VAData($D269, S$5, $C269, "Consensus", "CD", "IMPL","","")</f>
        <v>3162</v>
      </c>
      <c r="T269" s="29" cm="1">
        <f t="array" ref="T269">_xll.VAData($D269, T$5, $C269, "Consensus", "CD", "IMPL","","")</f>
        <v>3138</v>
      </c>
      <c r="U269" s="29" cm="1">
        <f t="array" ref="U269">_xll.VAData($D269, U$5, $C269, "Consensus", "CD", "IMPL","","")</f>
        <v>2932</v>
      </c>
      <c r="V269" s="28" cm="1">
        <f t="array" ref="V269">_xll.VAData($D269, V$5, $C269, "Consensus", "CD", "IMPL","","")</f>
        <v>11915.125</v>
      </c>
      <c r="W269" s="29" cm="1">
        <f t="array" ref="W269">_xll.VAData($D269, W$5, $C269, "Consensus", "CD", "IMPL","","")</f>
        <v>2850</v>
      </c>
      <c r="X269" s="29" cm="1">
        <f t="array" ref="X269">_xll.VAData($D269, X$5, $C269, "Consensus", "CD", "IMPL","","")</f>
        <v>2651.5</v>
      </c>
      <c r="Y269" s="29" cm="1">
        <f t="array" ref="Y269">_xll.VAData($D269, Y$5, $C269, "Consensus", "CD", "IMPL","","")</f>
        <v>3086.2666666666664</v>
      </c>
      <c r="Z269" s="29" cm="1">
        <f t="array" ref="Z269">_xll.VAData($D269, Z$5, $C269, "Consensus", "CD", "IMPL","","")</f>
        <v>2890.1333333333337</v>
      </c>
      <c r="AA269" s="28" cm="1">
        <f t="array" ref="AA269">_xll.VAData($D269, AA$5, $C269, "Consensus", "CD", "IMPL","","")</f>
        <v>11477.866666666667</v>
      </c>
      <c r="AB269" s="29" cm="1">
        <f t="array" ref="AB269">_xll.VAData($D269, AB$5, $C269, "Consensus", "CD", "IMPL","","")</f>
        <v>2937</v>
      </c>
      <c r="AC269" s="29" cm="1">
        <f t="array" ref="AC269">_xll.VAData($D269, AC$5, $C269, "Consensus", "CD", "IMPL","","")</f>
        <v>3381</v>
      </c>
      <c r="AD269" s="29" cm="1">
        <f t="array" ref="AD269">_xll.VAData($D269, AD$5, $C269, "Consensus", "CD", "IMPL","","")</f>
        <v>3479</v>
      </c>
      <c r="AE269" s="29" cm="1">
        <f t="array" ref="AE269">_xll.VAData($D269, AE$5, $C269, "Consensus", "CD", "IMPL","","")</f>
        <v>3393</v>
      </c>
      <c r="AF269" s="28" cm="1">
        <f t="array" ref="AF269">_xll.VAData($D269, AF$5, $C269, "Consensus", "CD", "IMPL","","")</f>
        <v>13190</v>
      </c>
      <c r="AG269" s="29" cm="1">
        <f t="array" ref="AG269">_xll.VAData($D269, AG$5, $C269, "Consensus", "CD", "IMPL","","")</f>
        <v>3590</v>
      </c>
      <c r="AH269" s="29" cm="1">
        <f t="array" ref="AH269">_xll.VAData($D269, AH$5, $C269, "Consensus", "CD", "IMPL","","")</f>
        <v>4030</v>
      </c>
      <c r="AI269" s="29" cm="1">
        <f t="array" ref="AI269">_xll.VAData($D269, AI$5, $C269, "Consensus", "CD", "IMPL","","")</f>
        <v>4201</v>
      </c>
      <c r="AJ269" s="29" cm="1">
        <f t="array" ref="AJ269">_xll.VAData($D269, AJ$5, $C269, "Consensus", "CD", "IMPL","","")</f>
        <v>3854.8461538461538</v>
      </c>
      <c r="AK269" s="28" cm="1">
        <f t="array" ref="AK269">_xll.VAData($D269, AK$5, $C269, "Consensus", "CD", "IMPL","","")</f>
        <v>15675.846153846152</v>
      </c>
      <c r="AL269" s="29" cm="1">
        <f t="array" ref="AL269">_xll.VAData($D269, AL$5, $C269, "Consensus", "CD", "IMPL","","")</f>
        <v>3903.0769230769229</v>
      </c>
      <c r="AM269" s="29" cm="1">
        <f t="array" ref="AM269">_xll.VAData($D269, AM$5, $C269, "Consensus", "CD", "IMPL","","")</f>
        <v>4367.9230769230762</v>
      </c>
      <c r="AN269" s="29" cm="1">
        <f t="array" ref="AN269">_xll.VAData($D269, AN$5, $C269, "Consensus", "CD", "IMPL","","")</f>
        <v>4413.5547854075876</v>
      </c>
      <c r="AO269" s="29" cm="1">
        <f t="array" ref="AO269">_xll.VAData($D269, AO$5, $C269, "Consensus", "CD", "IMPL","","")</f>
        <v>4033.5404431431334</v>
      </c>
      <c r="AP269" s="463" cm="1">
        <f t="array" ref="AP269">_xll.VAData($D269, AP$5, $C269, "Consensus", "CD", "IMPL","","")</f>
        <v>16718.095228550716</v>
      </c>
      <c r="AQ269" s="29" cm="1">
        <f t="array" ref="AQ269">_xll.VAData($D269, AQ$5, $C269, "Consensus", "CD", "IMPL","","")</f>
        <v>4072.6058368190234</v>
      </c>
      <c r="AR269" s="29" cm="1">
        <f t="array" ref="AR269">_xll.VAData($D269, AR$5, $C269, "Consensus", "CD", "IMPL","","")</f>
        <v>4537.730330074085</v>
      </c>
      <c r="AS269" s="29" cm="1">
        <f t="array" ref="AS269">_xll.VAData($D269, AS$5, $C269, "Consensus", "CD", "IMPL","","")</f>
        <v>4599.5795496405572</v>
      </c>
      <c r="AT269" s="29" cm="1">
        <f t="array" ref="AT269">_xll.VAData($D269, AT$5, $C269, "Consensus", "CD", "IMPL","","")</f>
        <v>4209.9789075278795</v>
      </c>
      <c r="AU269" s="463" cm="1">
        <f t="array" ref="AU269">_xll.VAData($D269, AU$5, $C269, "Consensus", "CD", "IMPL","","")</f>
        <v>17419.894624061548</v>
      </c>
      <c r="AV269" s="29" cm="1">
        <f t="array" ref="AV269">_xll.VAData($D269, AV$5, $C269, "Consensus", "CD", "IMPL","","")</f>
        <v>4238.9904857452902</v>
      </c>
      <c r="AW269" s="29" cm="1">
        <f t="array" ref="AW269">_xll.VAData($D269, AW$5, $C269, "Consensus", "CD", "IMPL","","")</f>
        <v>4675.0798794051479</v>
      </c>
      <c r="AX269" s="29" cm="1">
        <f t="array" ref="AX269">_xll.VAData($D269, AX$5, $C269, "Consensus", "CD", "IMPL","","")</f>
        <v>4726.4750729008656</v>
      </c>
      <c r="AY269" s="29" cm="1">
        <f t="array" ref="AY269">_xll.VAData($D269, AY$5, $C269, "Consensus", "CD", "IMPL","","")</f>
        <v>4305.360245716226</v>
      </c>
      <c r="AZ269" s="463" cm="1">
        <f t="array" ref="AZ269">_xll.VAData($D269, AZ$5, $C269, "Consensus", "CD", "IMPL","","")</f>
        <v>18124.04737872081</v>
      </c>
    </row>
    <row r="270" spans="2:54" hidden="1" outlineLevel="1">
      <c r="B270" s="7" t="s">
        <v>794</v>
      </c>
      <c r="C270" s="6"/>
      <c r="D270" s="6"/>
      <c r="E270" s="18"/>
      <c r="F270" s="18"/>
      <c r="G270" s="18"/>
      <c r="H270" s="19">
        <f>H268/H269</f>
        <v>0.24399878395622246</v>
      </c>
      <c r="I270" s="19">
        <f t="shared" ref="I270" si="618">I268/I269</f>
        <v>0.27121661229694149</v>
      </c>
      <c r="J270" s="19">
        <f t="shared" ref="J270" si="619">J268/J269</f>
        <v>0.24776128962527375</v>
      </c>
      <c r="K270" s="19">
        <f t="shared" ref="K270" si="620">K268/K269</f>
        <v>0.26324663628545697</v>
      </c>
      <c r="L270" s="18">
        <f t="shared" ref="L270" si="621">L268/L269</f>
        <v>0.2564834146767187</v>
      </c>
      <c r="M270" s="19">
        <f t="shared" ref="M270" si="622">M268/M269</f>
        <v>0.20272307073954987</v>
      </c>
      <c r="N270" s="19">
        <f t="shared" ref="N270" si="623">N268/N269</f>
        <v>0.23084480888836706</v>
      </c>
      <c r="O270" s="19">
        <f t="shared" ref="O270" si="624">O268/O269</f>
        <v>0.22741966767957586</v>
      </c>
      <c r="P270" s="19">
        <f t="shared" ref="P270" si="625">P268/P269</f>
        <v>0.20786863461629729</v>
      </c>
      <c r="Q270" s="18">
        <f t="shared" ref="Q270" si="626">Q268/Q269</f>
        <v>0.21824877953450958</v>
      </c>
      <c r="R270" s="19">
        <f t="shared" ref="R270" si="627">R268/R269</f>
        <v>0.21691125087351504</v>
      </c>
      <c r="S270" s="19">
        <f t="shared" ref="S270" si="628">S268/S269</f>
        <v>0.23213156230234028</v>
      </c>
      <c r="T270" s="19">
        <f t="shared" ref="T270" si="629">T268/T269</f>
        <v>0.22370936902485661</v>
      </c>
      <c r="U270" s="19">
        <f t="shared" ref="U270" si="630">U268/U269</f>
        <v>0.21623465211459755</v>
      </c>
      <c r="V270" s="18">
        <f t="shared" ref="V270" si="631">V268/V269</f>
        <v>0.2225742491161444</v>
      </c>
      <c r="W270" s="19">
        <f t="shared" ref="W270" si="632">W268/W269</f>
        <v>0.21298245614035088</v>
      </c>
      <c r="X270" s="19">
        <f t="shared" ref="X270" si="633">X268/X269</f>
        <v>0.22025268715821233</v>
      </c>
      <c r="Y270" s="19">
        <f t="shared" ref="Y270" si="634">Y268/Y269</f>
        <v>0.26860932302242191</v>
      </c>
      <c r="Z270" s="19">
        <f t="shared" ref="Z270" si="635">Z268/Z269</f>
        <v>0.27057575198376083</v>
      </c>
      <c r="AA270" s="18">
        <f t="shared" ref="AA270" si="636">AA268/AA269</f>
        <v>0.24412202035221411</v>
      </c>
      <c r="AB270" s="19">
        <f t="shared" ref="AB270" si="637">AB268/AB269</f>
        <v>0.25808648280558394</v>
      </c>
      <c r="AC270" s="19">
        <f t="shared" ref="AC270" si="638">AC268/AC269</f>
        <v>0.25406684412895592</v>
      </c>
      <c r="AD270" s="19">
        <f t="shared" ref="AD270" si="639">AD268/AD269</f>
        <v>0.27019258407588387</v>
      </c>
      <c r="AE270" s="19">
        <f t="shared" ref="AE270" si="640">AE268/AE269</f>
        <v>0.22811671087533156</v>
      </c>
      <c r="AF270" s="18">
        <f t="shared" ref="AF270" si="641">AF268/AF269</f>
        <v>0.25253980288097044</v>
      </c>
      <c r="AG270" s="19">
        <f t="shared" ref="AG270" si="642">AG268/AG269</f>
        <v>0.25097493036211699</v>
      </c>
      <c r="AH270" s="19">
        <f t="shared" ref="AH270" si="643">AH268/AH269</f>
        <v>0.25434243176178661</v>
      </c>
      <c r="AI270" s="19">
        <f t="shared" ref="AI270" si="644">AI268/AI269</f>
        <v>0.2680314210902166</v>
      </c>
      <c r="AJ270" s="19">
        <f t="shared" ref="AJ270" si="645">AJ268/AJ269</f>
        <v>0.2256899407339413</v>
      </c>
      <c r="AK270" s="18">
        <f t="shared" ref="AK270" si="646">AK268/AK269</f>
        <v>0.25019383078327267</v>
      </c>
      <c r="AL270" s="19">
        <f t="shared" ref="AL270" si="647">AL268/AL269</f>
        <v>0.2787544343713047</v>
      </c>
      <c r="AM270" s="19">
        <f t="shared" ref="AM270" si="648">AM268/AM269</f>
        <v>0.29121391965905291</v>
      </c>
      <c r="AN270" s="243">
        <f t="shared" ref="AN270" si="649">AN268/AN269</f>
        <v>0.27510222641490228</v>
      </c>
      <c r="AO270" s="243">
        <f t="shared" ref="AO270" si="650">AO268/AO269</f>
        <v>0.22904974747416373</v>
      </c>
      <c r="AP270" s="237">
        <f t="shared" ref="AP270" si="651">AP268/AP269</f>
        <v>0.26905338833797687</v>
      </c>
      <c r="AQ270" s="243">
        <f t="shared" ref="AQ270" si="652">AQ268/AQ269</f>
        <v>0.27989768660942871</v>
      </c>
      <c r="AR270" s="243">
        <f t="shared" ref="AR270" si="653">AR268/AR269</f>
        <v>0.29332507365378607</v>
      </c>
      <c r="AS270" s="243">
        <f t="shared" ref="AS270" si="654">AS268/AS269</f>
        <v>0.27966311683469119</v>
      </c>
      <c r="AT270" s="243">
        <f t="shared" ref="AT270" si="655">AT268/AT269</f>
        <v>0.23411505371328992</v>
      </c>
      <c r="AU270" s="237">
        <f t="shared" ref="AU270" si="656">AU268/AU269</f>
        <v>0.27226888158013196</v>
      </c>
      <c r="AV270" s="243">
        <f t="shared" ref="AV270" si="657">AV268/AV269</f>
        <v>0.28480328384365877</v>
      </c>
      <c r="AW270" s="243">
        <f t="shared" ref="AW270" si="658">AW268/AW269</f>
        <v>0.29455402830533156</v>
      </c>
      <c r="AX270" s="243">
        <f t="shared" ref="AX270" si="659">AX268/AX269</f>
        <v>0.28466745924491899</v>
      </c>
      <c r="AY270" s="243">
        <f t="shared" ref="AY270" si="660">AY268/AY269</f>
        <v>0.23452013524765583</v>
      </c>
      <c r="AZ270" s="237">
        <f t="shared" ref="AZ270" si="661">AZ268/AZ269</f>
        <v>0.27490928682622656</v>
      </c>
    </row>
    <row r="271" spans="2:54" hidden="1" outlineLevel="1">
      <c r="B271" s="176" t="s">
        <v>348</v>
      </c>
      <c r="C271" s="6"/>
      <c r="D271" s="6"/>
      <c r="E271" s="18"/>
      <c r="F271" s="18"/>
      <c r="G271" s="18"/>
      <c r="H271" s="19"/>
      <c r="I271" s="19"/>
      <c r="J271" s="19"/>
      <c r="K271" s="19"/>
      <c r="L271" s="18"/>
      <c r="M271" s="19"/>
      <c r="N271" s="19"/>
      <c r="O271" s="19"/>
      <c r="P271" s="19"/>
      <c r="Q271" s="18"/>
      <c r="R271" s="19"/>
      <c r="S271" s="19"/>
      <c r="T271" s="19"/>
      <c r="U271" s="19"/>
      <c r="V271" s="18"/>
      <c r="W271" s="19"/>
      <c r="X271" s="19"/>
      <c r="Y271" s="19"/>
      <c r="Z271" s="19"/>
      <c r="AA271" s="18"/>
      <c r="AB271" s="19"/>
      <c r="AC271" s="19"/>
      <c r="AD271" s="19"/>
      <c r="AE271" s="19"/>
      <c r="AF271" s="18"/>
      <c r="AG271" s="19"/>
      <c r="AH271" s="19"/>
      <c r="AI271" s="19"/>
      <c r="AJ271" s="19"/>
      <c r="AK271" s="18"/>
      <c r="AL271" s="19"/>
      <c r="AM271" s="19"/>
      <c r="AN271" s="243"/>
      <c r="AO271" s="243"/>
      <c r="AP271" s="237"/>
      <c r="AQ271" s="243"/>
      <c r="AR271" s="243"/>
      <c r="AS271" s="243"/>
      <c r="AT271" s="243"/>
      <c r="AU271" s="237"/>
      <c r="AV271" s="243"/>
      <c r="AW271" s="243"/>
      <c r="AX271" s="243"/>
      <c r="AY271" s="243"/>
      <c r="AZ271" s="237"/>
    </row>
    <row r="272" spans="2:54" hidden="1" outlineLevel="1">
      <c r="B272" s="7" t="s">
        <v>791</v>
      </c>
      <c r="C272" s="6" t="s">
        <v>795</v>
      </c>
      <c r="D272" s="6" t="s">
        <v>348</v>
      </c>
      <c r="E272" s="18"/>
      <c r="F272" s="18"/>
      <c r="G272" s="18"/>
      <c r="H272" s="29" cm="1">
        <f t="array" ref="H272">_xll.VAData($D272, H$5, $C272, "Consensus", "CD", "IMPL","","")</f>
        <v>503.72727272727275</v>
      </c>
      <c r="I272" s="29" cm="1">
        <f t="array" ref="I272">_xll.VAData($D272, I$5, $C272, "Consensus", "CD", "IMPL","","")</f>
        <v>890.27272727272725</v>
      </c>
      <c r="J272" s="29" cm="1">
        <f t="array" ref="J272">_xll.VAData($D272, J$5, $C272, "Consensus", "CD", "IMPL","","")</f>
        <v>811</v>
      </c>
      <c r="K272" s="29" cm="1">
        <f t="array" ref="K272">_xll.VAData($D272, K$5, $C272, "Consensus", "CD", "IMPL","","")</f>
        <v>544.63636363636363</v>
      </c>
      <c r="L272" s="28" cm="1">
        <f t="array" ref="L272">_xll.VAData($D272, L$5, $C272, "Consensus", "CD", "IMPL","","")</f>
        <v>2750.0769230769229</v>
      </c>
      <c r="M272" s="29" cm="1">
        <f t="array" ref="M272">_xll.VAData($D272, M$5, $C272, "Consensus", "CD", "IMPL","","")</f>
        <v>390</v>
      </c>
      <c r="N272" s="29" cm="1">
        <f t="array" ref="N272">_xll.VAData($D272, N$5, $C272, "Consensus", "CD", "IMPL","","")</f>
        <v>756</v>
      </c>
      <c r="O272" s="29" cm="1">
        <f t="array" ref="O272">_xll.VAData($D272, O$5, $C272, "Consensus", "CD", "IMPL","","")</f>
        <v>715</v>
      </c>
      <c r="P272" s="29" cm="1">
        <f t="array" ref="P272">_xll.VAData($D272, P$5, $C272, "Consensus", "CD", "IMPL","","")</f>
        <v>503</v>
      </c>
      <c r="Q272" s="28" cm="1">
        <f t="array" ref="Q272">_xll.VAData($D272, Q$5, $C272, "Consensus", "CD", "IMPL","","")</f>
        <v>2364</v>
      </c>
      <c r="R272" s="29" cm="1">
        <f t="array" ref="R272">_xll.VAData($D272, R$5, $C272, "Consensus", "CD", "IMPL","","")</f>
        <v>395</v>
      </c>
      <c r="S272" s="29" cm="1">
        <f t="array" ref="S272">_xll.VAData($D272, S$5, $C272, "Consensus", "CD", "IMPL","","")</f>
        <v>700</v>
      </c>
      <c r="T272" s="29" cm="1">
        <f t="array" ref="T272">_xll.VAData($D272, T$5, $C272, "Consensus", "CD", "IMPL","","")</f>
        <v>666</v>
      </c>
      <c r="U272" s="29" cm="1">
        <f t="array" ref="U272">_xll.VAData($D272, U$5, $C272, "Consensus", "CD", "IMPL","","")</f>
        <v>469</v>
      </c>
      <c r="V272" s="28" cm="1">
        <f t="array" ref="V272">_xll.VAData($D272, V$5, $C272, "Consensus", "CD", "IMPL","","")</f>
        <v>2230</v>
      </c>
      <c r="W272" s="29" cm="1">
        <f t="array" ref="W272">_xll.VAData($D272, W$5, $C272, "Consensus", "CD", "IMPL","","")</f>
        <v>300</v>
      </c>
      <c r="X272" s="29" cm="1">
        <f t="array" ref="X272">_xll.VAData($D272, X$5, $C272, "Consensus", "CD", "IMPL","","")</f>
        <v>440</v>
      </c>
      <c r="Y272" s="29" cm="1">
        <f t="array" ref="Y272">_xll.VAData($D272, Y$5, $C272, "Consensus", "CD", "IMPL","","")</f>
        <v>743</v>
      </c>
      <c r="Z272" s="29" cm="1">
        <f t="array" ref="Z272">_xll.VAData($D272, Z$5, $C272, "Consensus", "CD", "IMPL","","")</f>
        <v>567</v>
      </c>
      <c r="AA272" s="28" cm="1">
        <f t="array" ref="AA272">_xll.VAData($D272, AA$5, $C272, "Consensus", "CD", "IMPL","","")</f>
        <v>2050</v>
      </c>
      <c r="AB272" s="29" cm="1">
        <f t="array" ref="AB272">_xll.VAData($D272, AB$5, $C272, "Consensus", "CD", "IMPL","","")</f>
        <v>371</v>
      </c>
      <c r="AC272" s="29" cm="1">
        <f t="array" ref="AC272">_xll.VAData($D272, AC$5, $C272, "Consensus", "CD", "IMPL","","")</f>
        <v>811</v>
      </c>
      <c r="AD272" s="29" cm="1">
        <f t="array" ref="AD272">_xll.VAData($D272, AD$5, $C272, "Consensus", "CD", "IMPL","","")</f>
        <v>776</v>
      </c>
      <c r="AE272" s="29" cm="1">
        <f t="array" ref="AE272">_xll.VAData($D272, AE$5, $C272, "Consensus", "CD", "IMPL","","")</f>
        <v>515</v>
      </c>
      <c r="AF272" s="28" cm="1">
        <f t="array" ref="AF272">_xll.VAData($D272, AF$5, $C272, "Consensus", "CD", "IMPL","","")</f>
        <v>2473</v>
      </c>
      <c r="AG272" s="29" cm="1">
        <f t="array" ref="AG272">_xll.VAData($D272, AG$5, $C272, "Consensus", "CD", "IMPL","","")</f>
        <v>450</v>
      </c>
      <c r="AH272" s="29" cm="1">
        <f t="array" ref="AH272">_xll.VAData($D272, AH$5, $C272, "Consensus", "CD", "IMPL","","")</f>
        <v>783</v>
      </c>
      <c r="AI272" s="29" cm="1">
        <f t="array" ref="AI272">_xll.VAData($D272, AI$5, $C272, "Consensus", "CD", "IMPL","","")</f>
        <v>808</v>
      </c>
      <c r="AJ272" s="29" cm="1">
        <f t="array" ref="AJ272">_xll.VAData($D272, AJ$5, $C272, "Consensus", "CD", "IMPL","","")</f>
        <v>629.75294117647059</v>
      </c>
      <c r="AK272" s="28" cm="1">
        <f t="array" ref="AK272">_xll.VAData($D272, AK$5, $C272, "Consensus", "CD", "IMPL","","")</f>
        <v>2670.7529411764713</v>
      </c>
      <c r="AL272" s="29" cm="1">
        <f t="array" ref="AL272">_xll.VAData($D272, AL$5, $C272, "Consensus", "CD", "IMPL","","")</f>
        <v>490</v>
      </c>
      <c r="AM272" s="29" cm="1">
        <f t="array" ref="AM272">_xll.VAData($D272, AM$5, $C272, "Consensus", "CD", "IMPL","","")</f>
        <v>849</v>
      </c>
      <c r="AN272" s="29" cm="1">
        <f t="array" ref="AN272">_xll.VAData($D272, AN$5, $C272, "Consensus", "CD", "IMPL","","")</f>
        <v>936.45794027918191</v>
      </c>
      <c r="AO272" s="29" cm="1">
        <f t="array" ref="AO272">_xll.VAData($D272, AO$5, $C272, "Consensus", "CD", "IMPL","","")</f>
        <v>743.2467604109745</v>
      </c>
      <c r="AP272" s="463" cm="1">
        <f t="array" ref="AP272">_xll.VAData($D272, AP$5, $C272, "Consensus", "CD", "IMPL","","")</f>
        <v>3018.7047006901562</v>
      </c>
      <c r="AQ272" s="29" cm="1">
        <f t="array" ref="AQ272">_xll.VAData($D272, AQ$5, $C272, "Consensus", "CD", "IMPL","","")</f>
        <v>528.28170790414538</v>
      </c>
      <c r="AR272" s="29" cm="1">
        <f t="array" ref="AR272">_xll.VAData($D272, AR$5, $C272, "Consensus", "CD", "IMPL","","")</f>
        <v>916.30268573277715</v>
      </c>
      <c r="AS272" s="29" cm="1">
        <f t="array" ref="AS272">_xll.VAData($D272, AS$5, $C272, "Consensus", "CD", "IMPL","","")</f>
        <v>1001.8725798302214</v>
      </c>
      <c r="AT272" s="29" cm="1">
        <f t="array" ref="AT272">_xll.VAData($D272, AT$5, $C272, "Consensus", "CD", "IMPL","","")</f>
        <v>803.12329274985495</v>
      </c>
      <c r="AU272" s="463" cm="1">
        <f t="array" ref="AU272">_xll.VAData($D272, AU$5, $C272, "Consensus", "CD", "IMPL","","")</f>
        <v>3245.5536811577986</v>
      </c>
      <c r="AV272" s="29" cm="1">
        <f t="array" ref="AV272">_xll.VAData($D272, AV$5, $C272, "Consensus", "CD", "IMPL","","")</f>
        <v>574.75965066303638</v>
      </c>
      <c r="AW272" s="29" cm="1">
        <f t="array" ref="AW272">_xll.VAData($D272, AW$5, $C272, "Consensus", "CD", "IMPL","","")</f>
        <v>978.45670746335657</v>
      </c>
      <c r="AX272" s="29" cm="1">
        <f t="array" ref="AX272">_xll.VAData($D272, AX$5, $C272, "Consensus", "CD", "IMPL","","")</f>
        <v>1049.1287322707233</v>
      </c>
      <c r="AY272" s="29" cm="1">
        <f t="array" ref="AY272">_xll.VAData($D272, AY$5, $C272, "Consensus", "CD", "IMPL","","")</f>
        <v>868.43140663809368</v>
      </c>
      <c r="AZ272" s="463" cm="1">
        <f t="array" ref="AZ272">_xll.VAData($D272, AZ$5, $C272, "Consensus", "CD", "IMPL","","")</f>
        <v>3461.3401579146434</v>
      </c>
    </row>
    <row r="273" spans="2:54" hidden="1" outlineLevel="1">
      <c r="B273" s="7" t="s">
        <v>913</v>
      </c>
      <c r="C273" s="6" t="s">
        <v>796</v>
      </c>
      <c r="D273" s="6" t="s">
        <v>348</v>
      </c>
      <c r="E273" s="18"/>
      <c r="F273" s="18"/>
      <c r="G273" s="18"/>
      <c r="H273" s="29" cm="1">
        <f t="array" ref="H273">_xll.VAData($D273, H$5, $C273, "Consensus", "CD", "IMPL","","")</f>
        <v>4460</v>
      </c>
      <c r="I273" s="29" cm="1">
        <f t="array" ref="I273">_xll.VAData($D273, I$5, $C273, "Consensus", "CD", "IMPL","","")</f>
        <v>5242</v>
      </c>
      <c r="J273" s="29" cm="1">
        <f t="array" ref="J273">_xll.VAData($D273, J$5, $C273, "Consensus", "CD", "IMPL","","")</f>
        <v>5332</v>
      </c>
      <c r="K273" s="29" cm="1">
        <f t="array" ref="K273">_xll.VAData($D273, K$5, $C273, "Consensus", "CD", "IMPL","","")</f>
        <v>5902</v>
      </c>
      <c r="L273" s="28" cm="1">
        <f t="array" ref="L273">_xll.VAData($D273, L$5, $C273, "Consensus", "CD", "IMPL","","")</f>
        <v>20936</v>
      </c>
      <c r="M273" s="29" cm="1">
        <f t="array" ref="M273">_xll.VAData($D273, M$5, $C273, "Consensus", "CD", "IMPL","","")</f>
        <v>4415</v>
      </c>
      <c r="N273" s="29" cm="1">
        <f t="array" ref="N273">_xll.VAData($D273, N$5, $C273, "Consensus", "CD", "IMPL","","")</f>
        <v>5193</v>
      </c>
      <c r="O273" s="29" cm="1">
        <f t="array" ref="O273">_xll.VAData($D273, O$5, $C273, "Consensus", "CD", "IMPL","","")</f>
        <v>5456</v>
      </c>
      <c r="P273" s="29" cm="1">
        <f t="array" ref="P273">_xll.VAData($D273, P$5, $C273, "Consensus", "CD", "IMPL","","")</f>
        <v>6008</v>
      </c>
      <c r="Q273" s="28" cm="1">
        <f t="array" ref="Q273">_xll.VAData($D273, Q$5, $C273, "Consensus", "CD", "IMPL","","")</f>
        <v>21072</v>
      </c>
      <c r="R273" s="29" cm="1">
        <f t="array" ref="R273">_xll.VAData($D273, R$5, $C273, "Consensus", "CD", "IMPL","","")</f>
        <v>4510</v>
      </c>
      <c r="S273" s="29" cm="1">
        <f t="array" ref="S273">_xll.VAData($D273, S$5, $C273, "Consensus", "CD", "IMPL","","")</f>
        <v>5322</v>
      </c>
      <c r="T273" s="29" cm="1">
        <f t="array" ref="T273">_xll.VAData($D273, T$5, $C273, "Consensus", "CD", "IMPL","","")</f>
        <v>5643</v>
      </c>
      <c r="U273" s="29" cm="1">
        <f t="array" ref="U273">_xll.VAData($D273, U$5, $C273, "Consensus", "CD", "IMPL","","")</f>
        <v>6255</v>
      </c>
      <c r="V273" s="28" cm="1">
        <f t="array" ref="V273">_xll.VAData($D273, V$5, $C273, "Consensus", "CD", "IMPL","","")</f>
        <v>21730</v>
      </c>
      <c r="W273" s="29" cm="1">
        <f t="array" ref="W273">_xll.VAData($D273, W$5, $C273, "Consensus", "CD", "IMPL","","")</f>
        <v>4838</v>
      </c>
      <c r="X273" s="29" cm="1">
        <f t="array" ref="X273">_xll.VAData($D273, X$5, $C273, "Consensus", "CD", "IMPL","","")</f>
        <v>4970</v>
      </c>
      <c r="Y273" s="29" cm="1">
        <f t="array" ref="Y273">_xll.VAData($D273, Y$5, $C273, "Consensus", "CD", "IMPL","","")</f>
        <v>5958</v>
      </c>
      <c r="Z273" s="29" cm="1">
        <f t="array" ref="Z273">_xll.VAData($D273, Z$5, $C273, "Consensus", "CD", "IMPL","","")</f>
        <v>6793</v>
      </c>
      <c r="AA273" s="28" cm="1">
        <f t="array" ref="AA273">_xll.VAData($D273, AA$5, $C273, "Consensus", "CD", "IMPL","","")</f>
        <v>22559</v>
      </c>
      <c r="AB273" s="29" cm="1">
        <f t="array" ref="AB273">_xll.VAData($D273, AB$5, $C273, "Consensus", "CD", "IMPL","","")</f>
        <v>5042.75</v>
      </c>
      <c r="AC273" s="29" cm="1">
        <f t="array" ref="AC273">_xll.VAData($D273, AC$5, $C273, "Consensus", "CD", "IMPL","","")</f>
        <v>6110.166666666667</v>
      </c>
      <c r="AD273" s="29" cm="1">
        <f t="array" ref="AD273">_xll.VAData($D273, AD$5, $C273, "Consensus", "CD", "IMPL","","")</f>
        <v>6339.5</v>
      </c>
      <c r="AE273" s="29" cm="1">
        <f t="array" ref="AE273">_xll.VAData($D273, AE$5, $C273, "Consensus", "CD", "IMPL","","")</f>
        <v>7581.5</v>
      </c>
      <c r="AF273" s="28" cm="1">
        <f t="array" ref="AF273">_xll.VAData($D273, AF$5, $C273, "Consensus", "CD", "IMPL","","")</f>
        <v>25073.916666666668</v>
      </c>
      <c r="AG273" s="29" cm="1">
        <f t="array" ref="AG273">_xll.VAData($D273, AG$5, $C273, "Consensus", "CD", "IMPL","","")</f>
        <v>5353</v>
      </c>
      <c r="AH273" s="29" cm="1">
        <f t="array" ref="AH273">_xll.VAData($D273, AH$5, $C273, "Consensus", "CD", "IMPL","","")</f>
        <v>6120</v>
      </c>
      <c r="AI273" s="29" cm="1">
        <f t="array" ref="AI273">_xll.VAData($D273, AI$5, $C273, "Consensus", "CD", "IMPL","","")</f>
        <v>6635</v>
      </c>
      <c r="AJ273" s="29" cm="1">
        <f t="array" ref="AJ273">_xll.VAData($D273, AJ$5, $C273, "Consensus", "CD", "IMPL","","")</f>
        <v>8058.2745098039213</v>
      </c>
      <c r="AK273" s="28" cm="1">
        <f t="array" ref="AK273">_xll.VAData($D273, AK$5, $C273, "Consensus", "CD", "IMPL","","")</f>
        <v>26166.274509803919</v>
      </c>
      <c r="AL273" s="29" cm="1">
        <f t="array" ref="AL273">_xll.VAData($D273, AL$5, $C273, "Consensus", "CD", "IMPL","","")</f>
        <v>5798</v>
      </c>
      <c r="AM273" s="29" cm="1">
        <f t="array" ref="AM273">_xll.VAData($D273, AM$5, $C273, "Consensus", "CD", "IMPL","","")</f>
        <v>6755</v>
      </c>
      <c r="AN273" s="29" cm="1">
        <f t="array" ref="AN273">_xll.VAData($D273, AN$5, $C273, "Consensus", "CD", "IMPL","","")</f>
        <v>7050.4743641200121</v>
      </c>
      <c r="AO273" s="29" cm="1">
        <f t="array" ref="AO273">_xll.VAData($D273, AO$5, $C273, "Consensus", "CD", "IMPL","","")</f>
        <v>8129.1254820866216</v>
      </c>
      <c r="AP273" s="463" cm="1">
        <f t="array" ref="AP273">_xll.VAData($D273, AP$5, $C273, "Consensus", "CD", "IMPL","","")</f>
        <v>27732.599846206627</v>
      </c>
      <c r="AQ273" s="29" cm="1">
        <f t="array" ref="AQ273">_xll.VAData($D273, AQ$5, $C273, "Consensus", "CD", "IMPL","","")</f>
        <v>6017.3698450295124</v>
      </c>
      <c r="AR273" s="29" cm="1">
        <f t="array" ref="AR273">_xll.VAData($D273, AR$5, $C273, "Consensus", "CD", "IMPL","","")</f>
        <v>7066.6107262198548</v>
      </c>
      <c r="AS273" s="29" cm="1">
        <f t="array" ref="AS273">_xll.VAData($D273, AS$5, $C273, "Consensus", "CD", "IMPL","","")</f>
        <v>7337.3129802348931</v>
      </c>
      <c r="AT273" s="29" cm="1">
        <f t="array" ref="AT273">_xll.VAData($D273, AT$5, $C273, "Consensus", "CD", "IMPL","","")</f>
        <v>8395.5101134731303</v>
      </c>
      <c r="AU273" s="463" cm="1">
        <f t="array" ref="AU273">_xll.VAData($D273, AU$5, $C273, "Consensus", "CD", "IMPL","","")</f>
        <v>28824.070081779446</v>
      </c>
      <c r="AV273" s="29" cm="1">
        <f t="array" ref="AV273">_xll.VAData($D273, AV$5, $C273, "Consensus", "CD", "IMPL","","")</f>
        <v>6251.8353626463449</v>
      </c>
      <c r="AW273" s="29" cm="1">
        <f t="array" ref="AW273">_xll.VAData($D273, AW$5, $C273, "Consensus", "CD", "IMPL","","")</f>
        <v>7274.2927034561226</v>
      </c>
      <c r="AX273" s="29" cm="1">
        <f t="array" ref="AX273">_xll.VAData($D273, AX$5, $C273, "Consensus", "CD", "IMPL","","")</f>
        <v>7633.9196589719231</v>
      </c>
      <c r="AY273" s="29" cm="1">
        <f t="array" ref="AY273">_xll.VAData($D273, AY$5, $C273, "Consensus", "CD", "IMPL","","")</f>
        <v>8802.5220957456531</v>
      </c>
      <c r="AZ273" s="463" cm="1">
        <f t="array" ref="AZ273">_xll.VAData($D273, AZ$5, $C273, "Consensus", "CD", "IMPL","","")</f>
        <v>29895.03795931935</v>
      </c>
    </row>
    <row r="274" spans="2:54" hidden="1" outlineLevel="1">
      <c r="B274" s="7" t="s">
        <v>794</v>
      </c>
      <c r="C274" s="6"/>
      <c r="D274" s="6"/>
      <c r="E274" s="18"/>
      <c r="F274" s="18"/>
      <c r="G274" s="18"/>
      <c r="H274" s="19">
        <f>H272/H273</f>
        <v>0.11294333469221363</v>
      </c>
      <c r="I274" s="19">
        <f t="shared" ref="I274" si="662">I272/I273</f>
        <v>0.16983455308522077</v>
      </c>
      <c r="J274" s="19">
        <f t="shared" ref="J274" si="663">J272/J273</f>
        <v>0.15210052513128283</v>
      </c>
      <c r="K274" s="19">
        <f t="shared" ref="K274" si="664">K272/K273</f>
        <v>9.227996672930594E-2</v>
      </c>
      <c r="L274" s="18">
        <f t="shared" ref="L274" si="665">L272/L273</f>
        <v>0.1313563681255695</v>
      </c>
      <c r="M274" s="19">
        <f t="shared" ref="M274" si="666">M272/M273</f>
        <v>8.8335220838052092E-2</v>
      </c>
      <c r="N274" s="19">
        <f t="shared" ref="N274" si="667">N272/N273</f>
        <v>0.14558058925476602</v>
      </c>
      <c r="O274" s="19">
        <f t="shared" ref="O274" si="668">O272/O273</f>
        <v>0.13104838709677419</v>
      </c>
      <c r="P274" s="19">
        <f t="shared" ref="P274" si="669">P272/P273</f>
        <v>8.3721704394141144E-2</v>
      </c>
      <c r="Q274" s="18">
        <f t="shared" ref="Q274" si="670">Q272/Q273</f>
        <v>0.11218678815489749</v>
      </c>
      <c r="R274" s="19">
        <f t="shared" ref="R274" si="671">R272/R273</f>
        <v>8.7583148558758317E-2</v>
      </c>
      <c r="S274" s="19">
        <f t="shared" ref="S274" si="672">S272/S273</f>
        <v>0.13152950018789927</v>
      </c>
      <c r="T274" s="19">
        <f t="shared" ref="T274" si="673">T272/T273</f>
        <v>0.11802232854864433</v>
      </c>
      <c r="U274" s="19">
        <f t="shared" ref="U274" si="674">U272/U273</f>
        <v>7.4980015987210227E-2</v>
      </c>
      <c r="V274" s="18">
        <f t="shared" ref="V274" si="675">V272/V273</f>
        <v>0.10262310170271514</v>
      </c>
      <c r="W274" s="19">
        <f t="shared" ref="W274" si="676">W272/W273</f>
        <v>6.2009094667217858E-2</v>
      </c>
      <c r="X274" s="19">
        <f t="shared" ref="X274" si="677">X272/X273</f>
        <v>8.8531187122736416E-2</v>
      </c>
      <c r="Y274" s="19">
        <f t="shared" ref="Y274" si="678">Y272/Y273</f>
        <v>0.12470627727425311</v>
      </c>
      <c r="Z274" s="19">
        <f t="shared" ref="Z274" si="679">Z272/Z273</f>
        <v>8.3468276166642125E-2</v>
      </c>
      <c r="AA274" s="18">
        <f t="shared" ref="AA274" si="680">AA272/AA273</f>
        <v>9.0872822376878409E-2</v>
      </c>
      <c r="AB274" s="19">
        <f t="shared" ref="AB274" si="681">AB272/AB273</f>
        <v>7.3570968221704433E-2</v>
      </c>
      <c r="AC274" s="19">
        <f t="shared" ref="AC274" si="682">AC272/AC273</f>
        <v>0.1327296036660211</v>
      </c>
      <c r="AD274" s="19">
        <f t="shared" ref="AD274" si="683">AD272/AD273</f>
        <v>0.12240712989983438</v>
      </c>
      <c r="AE274" s="19">
        <f t="shared" ref="AE274" si="684">AE272/AE273</f>
        <v>6.7928510189276523E-2</v>
      </c>
      <c r="AF274" s="18">
        <f t="shared" ref="AF274" si="685">AF272/AF273</f>
        <v>9.8628388730653035E-2</v>
      </c>
      <c r="AG274" s="19">
        <f t="shared" ref="AG274" si="686">AG272/AG273</f>
        <v>8.406501027461237E-2</v>
      </c>
      <c r="AH274" s="19">
        <f t="shared" ref="AH274" si="687">AH272/AH273</f>
        <v>0.12794117647058822</v>
      </c>
      <c r="AI274" s="19">
        <f t="shared" ref="AI274" si="688">AI272/AI273</f>
        <v>0.12177844762622457</v>
      </c>
      <c r="AJ274" s="19">
        <f t="shared" ref="AJ274" si="689">AJ272/AJ273</f>
        <v>7.8149849624791962E-2</v>
      </c>
      <c r="AK274" s="18">
        <f t="shared" ref="AK274" si="690">AK272/AK273</f>
        <v>0.10206852107187822</v>
      </c>
      <c r="AL274" s="19">
        <f t="shared" ref="AL274" si="691">AL272/AL273</f>
        <v>8.4511900655398417E-2</v>
      </c>
      <c r="AM274" s="19">
        <f t="shared" ref="AM274" si="692">AM272/AM273</f>
        <v>0.12568467801628425</v>
      </c>
      <c r="AN274" s="243">
        <f t="shared" ref="AN274" si="693">AN272/AN273</f>
        <v>0.13282197649633801</v>
      </c>
      <c r="AO274" s="243">
        <f t="shared" ref="AO274" si="694">AO272/AO273</f>
        <v>9.1430100574630871E-2</v>
      </c>
      <c r="AP274" s="237">
        <f t="shared" ref="AP274" si="695">AP272/AP273</f>
        <v>0.10885040412477109</v>
      </c>
      <c r="AQ274" s="243">
        <f t="shared" ref="AQ274" si="696">AQ272/AQ273</f>
        <v>8.7792793447874634E-2</v>
      </c>
      <c r="AR274" s="243">
        <f t="shared" ref="AR274" si="697">AR272/AR273</f>
        <v>0.12966650084926007</v>
      </c>
      <c r="AS274" s="243">
        <f t="shared" ref="AS274" si="698">AS272/AS273</f>
        <v>0.13654488809855131</v>
      </c>
      <c r="AT274" s="243">
        <f t="shared" ref="AT274" si="699">AT272/AT273</f>
        <v>9.5661047618893477E-2</v>
      </c>
      <c r="AU274" s="237">
        <f t="shared" ref="AU274" si="700">AU272/AU273</f>
        <v>0.11259872987921334</v>
      </c>
      <c r="AV274" s="243">
        <f t="shared" ref="AV274" si="701">AV272/AV273</f>
        <v>9.193454678879226E-2</v>
      </c>
      <c r="AW274" s="243">
        <f t="shared" ref="AW274" si="702">AW272/AW273</f>
        <v>0.13450884468787977</v>
      </c>
      <c r="AX274" s="243">
        <f t="shared" ref="AX274" si="703">AX272/AX273</f>
        <v>0.13742988911832638</v>
      </c>
      <c r="AY274" s="243">
        <f t="shared" ref="AY274" si="704">AY272/AY273</f>
        <v>9.8657111813194448E-2</v>
      </c>
      <c r="AZ274" s="237">
        <f t="shared" ref="AZ274" si="705">AZ272/AZ273</f>
        <v>0.11578309961087105</v>
      </c>
    </row>
    <row r="275" spans="2:54" hidden="1" outlineLevel="1">
      <c r="B275" s="7"/>
      <c r="C275" s="6"/>
      <c r="D275" s="6"/>
      <c r="E275" s="18"/>
      <c r="F275" s="18"/>
      <c r="G275" s="18"/>
      <c r="H275" s="19"/>
      <c r="I275" s="19"/>
      <c r="J275" s="19"/>
      <c r="K275" s="19"/>
      <c r="L275" s="18"/>
      <c r="M275" s="19"/>
      <c r="N275" s="19"/>
      <c r="O275" s="19"/>
      <c r="P275" s="19"/>
      <c r="Q275" s="18"/>
      <c r="R275" s="19"/>
      <c r="S275" s="19"/>
      <c r="T275" s="19"/>
      <c r="U275" s="19"/>
      <c r="V275" s="18"/>
      <c r="W275" s="19"/>
      <c r="X275" s="19"/>
      <c r="Y275" s="19"/>
      <c r="Z275" s="19"/>
      <c r="AA275" s="18"/>
      <c r="AB275" s="19"/>
      <c r="AC275" s="19"/>
      <c r="AD275" s="19"/>
      <c r="AE275" s="19"/>
      <c r="AF275" s="18"/>
      <c r="AG275" s="19"/>
      <c r="AH275" s="19"/>
      <c r="AI275" s="19"/>
      <c r="AJ275" s="19"/>
      <c r="AK275" s="18"/>
      <c r="AL275" s="19"/>
      <c r="AM275" s="19"/>
      <c r="AN275" s="243"/>
      <c r="AO275" s="243"/>
      <c r="AP275" s="237"/>
      <c r="AQ275" s="243"/>
      <c r="AR275" s="243"/>
      <c r="AS275" s="243"/>
      <c r="AT275" s="243"/>
      <c r="AU275" s="237"/>
      <c r="AV275" s="243"/>
      <c r="AW275" s="243"/>
      <c r="AX275" s="243"/>
      <c r="AY275" s="243"/>
      <c r="AZ275" s="237"/>
    </row>
    <row r="276" spans="2:54" hidden="1" outlineLevel="1">
      <c r="B276" s="403" t="s">
        <v>363</v>
      </c>
      <c r="C276" s="6"/>
      <c r="D276" s="6"/>
      <c r="E276" s="18"/>
      <c r="F276" s="18"/>
      <c r="G276" s="18"/>
      <c r="H276" s="19"/>
      <c r="I276" s="19"/>
      <c r="J276" s="19"/>
      <c r="K276" s="19"/>
      <c r="L276" s="18"/>
      <c r="M276" s="19"/>
      <c r="N276" s="19"/>
      <c r="O276" s="19"/>
      <c r="P276" s="19"/>
      <c r="Q276" s="18"/>
      <c r="R276" s="19"/>
      <c r="S276" s="19"/>
      <c r="T276" s="19"/>
      <c r="U276" s="19"/>
      <c r="V276" s="18"/>
      <c r="W276" s="19"/>
      <c r="X276" s="19"/>
      <c r="Y276" s="19"/>
      <c r="Z276" s="19"/>
      <c r="AA276" s="18"/>
      <c r="AB276" s="19"/>
      <c r="AC276" s="19"/>
      <c r="AD276" s="19"/>
      <c r="AE276" s="19"/>
      <c r="AF276" s="18"/>
      <c r="AG276" s="19"/>
      <c r="AH276" s="19"/>
      <c r="AI276" s="19"/>
      <c r="AJ276" s="19"/>
      <c r="AK276" s="18"/>
      <c r="AL276" s="19"/>
      <c r="AM276" s="19"/>
      <c r="AN276" s="243"/>
      <c r="AO276" s="243"/>
      <c r="AP276" s="237"/>
      <c r="AQ276" s="243"/>
      <c r="AR276" s="243"/>
      <c r="AS276" s="243"/>
      <c r="AT276" s="243"/>
      <c r="AU276" s="237"/>
      <c r="AV276" s="243"/>
      <c r="AW276" s="243"/>
      <c r="AX276" s="243"/>
      <c r="AY276" s="243"/>
      <c r="AZ276" s="237"/>
    </row>
    <row r="277" spans="2:54" s="11" customFormat="1" hidden="1" outlineLevel="1">
      <c r="B277" s="503" t="s">
        <v>680</v>
      </c>
      <c r="C277" s="33"/>
      <c r="D277" s="33"/>
      <c r="E277" s="36"/>
      <c r="F277" s="37"/>
      <c r="G277" s="37"/>
      <c r="H277" s="35"/>
      <c r="I277" s="35"/>
      <c r="J277" s="35"/>
      <c r="K277" s="35"/>
      <c r="L277" s="37"/>
      <c r="M277" s="35"/>
      <c r="N277" s="35"/>
      <c r="O277" s="35"/>
      <c r="P277" s="35"/>
      <c r="Q277" s="64"/>
      <c r="R277" s="61"/>
      <c r="S277" s="61"/>
      <c r="T277" s="61"/>
      <c r="U277" s="61"/>
      <c r="V277" s="64"/>
      <c r="W277" s="61"/>
      <c r="X277" s="61"/>
      <c r="Y277" s="61"/>
      <c r="Z277" s="61"/>
      <c r="AA277" s="64"/>
      <c r="AB277" s="61"/>
      <c r="AC277" s="61"/>
      <c r="AD277" s="61"/>
      <c r="AE277" s="61"/>
      <c r="AF277" s="64"/>
      <c r="AG277" s="61"/>
      <c r="AH277" s="61"/>
      <c r="AI277" s="61"/>
      <c r="AJ277" s="61"/>
      <c r="AK277" s="64"/>
      <c r="AL277" s="61"/>
      <c r="AM277" s="61"/>
      <c r="AP277" s="198"/>
      <c r="AU277" s="198"/>
      <c r="AV277" s="269"/>
      <c r="AW277" s="269"/>
      <c r="AX277" s="269"/>
      <c r="AY277" s="269"/>
      <c r="AZ277" s="198"/>
      <c r="BB277" s="257"/>
    </row>
    <row r="278" spans="2:54" s="11" customFormat="1" hidden="1" outlineLevel="1">
      <c r="B278" s="466" t="s">
        <v>593</v>
      </c>
      <c r="C278" s="33"/>
      <c r="D278" s="33"/>
      <c r="E278" s="36"/>
      <c r="F278" s="37"/>
      <c r="G278" s="37"/>
      <c r="H278" s="35"/>
      <c r="I278" s="35"/>
      <c r="J278" s="35"/>
      <c r="K278" s="35"/>
      <c r="L278" s="37"/>
      <c r="M278" s="35"/>
      <c r="N278" s="35"/>
      <c r="O278" s="35"/>
      <c r="P278" s="35"/>
      <c r="Q278" s="64"/>
      <c r="R278" s="61"/>
      <c r="S278" s="61"/>
      <c r="T278" s="61"/>
      <c r="U278" s="61"/>
      <c r="V278" s="64"/>
      <c r="W278" s="61"/>
      <c r="X278" s="61">
        <v>0.25900000000000001</v>
      </c>
      <c r="Y278" s="61"/>
      <c r="Z278" s="61">
        <v>0.217</v>
      </c>
      <c r="AA278" s="64">
        <v>0.23599999999999999</v>
      </c>
      <c r="AB278" s="61"/>
      <c r="AC278" s="61">
        <v>0.26</v>
      </c>
      <c r="AE278" s="61">
        <v>0.2</v>
      </c>
      <c r="AF278" s="64">
        <v>0.23</v>
      </c>
      <c r="AG278" s="61"/>
      <c r="AH278" s="61">
        <v>0.24299999999999999</v>
      </c>
      <c r="AI278" s="61"/>
      <c r="AJ278" s="61">
        <v>0.188</v>
      </c>
      <c r="AK278" s="64">
        <v>0.215</v>
      </c>
      <c r="AL278" s="61"/>
      <c r="AM278" s="61">
        <v>0.217</v>
      </c>
      <c r="AO278" s="180">
        <v>0.20300000000000001</v>
      </c>
      <c r="AP278" s="239">
        <v>0.21</v>
      </c>
      <c r="AU278" s="239">
        <v>0.215</v>
      </c>
      <c r="AV278" s="269"/>
      <c r="AW278" s="269"/>
      <c r="AX278" s="269"/>
      <c r="AY278" s="269"/>
      <c r="AZ278" s="239">
        <v>0.219</v>
      </c>
      <c r="BB278" s="257"/>
    </row>
    <row r="279" spans="2:54" hidden="1" outlineLevel="1">
      <c r="B279" s="503" t="s">
        <v>786</v>
      </c>
      <c r="C279" s="6"/>
      <c r="D279" s="6"/>
      <c r="E279" s="18"/>
      <c r="F279" s="18"/>
      <c r="G279" s="18"/>
      <c r="H279" s="19"/>
      <c r="I279" s="19"/>
      <c r="J279" s="19"/>
      <c r="K279" s="19"/>
      <c r="L279" s="18"/>
      <c r="M279" s="19"/>
      <c r="N279" s="19"/>
      <c r="O279" s="19"/>
      <c r="P279" s="19"/>
      <c r="Q279" s="18"/>
      <c r="R279" s="19"/>
      <c r="S279" s="19"/>
      <c r="T279" s="19"/>
      <c r="U279" s="19"/>
      <c r="V279" s="18"/>
      <c r="W279" s="19"/>
      <c r="X279" s="19"/>
      <c r="Y279" s="19"/>
      <c r="Z279" s="19"/>
      <c r="AA279" s="18"/>
      <c r="AB279" s="19"/>
      <c r="AC279" s="19"/>
      <c r="AD279" s="19"/>
      <c r="AE279" s="19"/>
      <c r="AF279" s="18"/>
      <c r="AG279" s="19"/>
      <c r="AH279" s="19"/>
      <c r="AI279" s="19"/>
      <c r="AJ279" s="19"/>
      <c r="AK279" s="18"/>
      <c r="AL279" s="19"/>
      <c r="AM279" s="19"/>
      <c r="AN279" s="243"/>
      <c r="AO279" s="243"/>
      <c r="AP279" s="237"/>
      <c r="AQ279" s="243"/>
      <c r="AR279" s="243"/>
      <c r="AS279" s="243"/>
      <c r="AT279" s="243"/>
      <c r="AU279" s="237"/>
      <c r="AV279" s="243"/>
      <c r="AW279" s="243"/>
      <c r="AX279" s="243"/>
      <c r="AY279" s="243"/>
      <c r="AZ279" s="237"/>
    </row>
    <row r="280" spans="2:54" hidden="1" outlineLevel="1">
      <c r="B280" s="7" t="s">
        <v>787</v>
      </c>
      <c r="C280" s="6" t="s">
        <v>789</v>
      </c>
      <c r="D280" s="6" t="s">
        <v>360</v>
      </c>
      <c r="E280" s="18"/>
      <c r="F280" s="18"/>
      <c r="G280" s="18"/>
      <c r="H280" s="29" cm="1">
        <f t="array" ref="H280">_xll.VAData($D280, H$5, $C280, "Consensus", "CD", "IMPL","","")</f>
        <v>149.9</v>
      </c>
      <c r="I280" s="29" cm="1">
        <f t="array" ref="I280">_xll.VAData($D280, I$5, $C280, "Consensus", "CD", "IMPL","","")</f>
        <v>123.2</v>
      </c>
      <c r="J280" s="29" cm="1">
        <f t="array" ref="J280">_xll.VAData($D280, J$5, $C280, "Consensus", "CD", "IMPL","","")</f>
        <v>152.26666666666665</v>
      </c>
      <c r="K280" s="29" cm="1">
        <f t="array" ref="K280">_xll.VAData($D280, K$5, $C280, "Consensus", "CD", "IMPL","","")</f>
        <v>181.68333333333334</v>
      </c>
      <c r="L280" s="28" cm="1">
        <f t="array" ref="L280">_xll.VAData($D280, L$5, $C280, "Consensus", "CD", "IMPL","","")</f>
        <v>629.97500000000002</v>
      </c>
      <c r="M280" s="29" cm="1">
        <f t="array" ref="M280">_xll.VAData($D280, M$5, $C280, "Consensus", "CD", "IMPL","","")</f>
        <v>155.75</v>
      </c>
      <c r="N280" s="29" cm="1">
        <f t="array" ref="N280">_xll.VAData($D280, N$5, $C280, "Consensus", "CD", "IMPL","","")</f>
        <v>147.80000000000001</v>
      </c>
      <c r="O280" s="29" cm="1">
        <f t="array" ref="O280">_xll.VAData($D280, O$5, $C280, "Consensus", "CD", "IMPL","","")</f>
        <v>174.3</v>
      </c>
      <c r="P280" s="29" cm="1">
        <f t="array" ref="P280">_xll.VAData($D280, P$5, $C280, "Consensus", "CD", "IMPL","","")</f>
        <v>183.7</v>
      </c>
      <c r="Q280" s="28" cm="1">
        <f t="array" ref="Q280">_xll.VAData($D280, Q$5, $C280, "Consensus", "CD", "IMPL","","")</f>
        <v>660.41428572000007</v>
      </c>
      <c r="R280" s="29" cm="1">
        <f t="array" ref="R280">_xll.VAData($D280, R$5, $C280, "Consensus", "CD", "IMPL","","")</f>
        <v>170.5</v>
      </c>
      <c r="S280" s="29" cm="1">
        <f t="array" ref="S280">_xll.VAData($D280, S$5, $C280, "Consensus", "CD", "IMPL","","")</f>
        <v>128.9</v>
      </c>
      <c r="T280" s="29" cm="1">
        <f t="array" ref="T280">_xll.VAData($D280, T$5, $C280, "Consensus", "CD", "IMPL","","")</f>
        <v>182.5</v>
      </c>
      <c r="U280" s="29" cm="1">
        <f t="array" ref="U280">_xll.VAData($D280, U$5, $C280, "Consensus", "CD", "IMPL","","")</f>
        <v>189.5</v>
      </c>
      <c r="V280" s="28" cm="1">
        <f t="array" ref="V280">_xll.VAData($D280, V$5, $C280, "Consensus", "CD", "IMPL","","")</f>
        <v>687.32500000000005</v>
      </c>
      <c r="W280" s="29" cm="1">
        <f t="array" ref="W280">_xll.VAData($D280, W$5, $C280, "Consensus", "CD", "IMPL","","")</f>
        <v>190.1</v>
      </c>
      <c r="X280" s="29" cm="1">
        <f t="array" ref="X280">_xll.VAData($D280, X$5, $C280, "Consensus", "CD", "IMPL","","")</f>
        <v>182.6</v>
      </c>
      <c r="Y280" s="29" cm="1">
        <f t="array" ref="Y280">_xll.VAData($D280, Y$5, $C280, "Consensus", "CD", "IMPL","","")</f>
        <v>202.1</v>
      </c>
      <c r="Z280" s="29" cm="1">
        <f t="array" ref="Z280">_xll.VAData($D280, Z$5, $C280, "Consensus", "CD", "IMPL","","")</f>
        <v>210.7</v>
      </c>
      <c r="AA280" s="28" cm="1">
        <f t="array" ref="AA280">_xll.VAData($D280, AA$5, $C280, "Consensus", "CD", "IMPL","","")</f>
        <v>749.57500000000005</v>
      </c>
      <c r="AB280" s="29" cm="1">
        <f t="array" ref="AB280">_xll.VAData($D280, AB$5, $C280, "Consensus", "CD", "IMPL","","")</f>
        <v>173.7</v>
      </c>
      <c r="AC280" s="29" cm="1">
        <f t="array" ref="AC280">_xll.VAData($D280, AC$5, $C280, "Consensus", "CD", "IMPL","","")</f>
        <v>151.30000000000001</v>
      </c>
      <c r="AD280" s="29" cm="1">
        <f t="array" ref="AD280">_xll.VAData($D280, AD$5, $C280, "Consensus", "CD", "IMPL","","")</f>
        <v>207.8</v>
      </c>
      <c r="AE280" s="29" cm="1">
        <f t="array" ref="AE280">_xll.VAData($D280, AE$5, $C280, "Consensus", "CD", "IMPL","","")</f>
        <v>213.4</v>
      </c>
      <c r="AF280" s="28" cm="1">
        <f t="array" ref="AF280">_xll.VAData($D280, AF$5, $C280, "Consensus", "CD", "IMPL","","")</f>
        <v>744.8</v>
      </c>
      <c r="AG280" s="29" cm="1">
        <f t="array" ref="AG280">_xll.VAData($D280, AG$5, $C280, "Consensus", "CD", "IMPL","","")</f>
        <v>164.2</v>
      </c>
      <c r="AH280" s="29" cm="1">
        <f t="array" ref="AH280">_xll.VAData($D280, AH$5, $C280, "Consensus", "CD", "IMPL","","")</f>
        <v>145.9</v>
      </c>
      <c r="AI280" s="29" cm="1">
        <f t="array" ref="AI280">_xll.VAData($D280, AI$5, $C280, "Consensus", "CD", "IMPL","","")</f>
        <v>187.7</v>
      </c>
      <c r="AJ280" s="29" cm="1">
        <f t="array" ref="AJ280">_xll.VAData($D280, AJ$5, $C280, "Consensus", "CD", "IMPL","","")</f>
        <v>204</v>
      </c>
      <c r="AK280" s="28" cm="1">
        <f t="array" ref="AK280">_xll.VAData($D280, AK$5, $C280, "Consensus", "CD", "IMPL","","")</f>
        <v>737.45</v>
      </c>
      <c r="AL280" s="29" cm="1">
        <f t="array" ref="AL280">_xll.VAData($D280, AL$5, $C280, "Consensus", "CD", "IMPL","","")</f>
        <v>200.1</v>
      </c>
      <c r="AM280" s="29" cm="1">
        <f t="array" ref="AM280">_xll.VAData($D280, AM$5, $C280, "Consensus", "CD", "IMPL","","")</f>
        <v>170.1</v>
      </c>
      <c r="AN280" s="29" cm="1">
        <f t="array" ref="AN280">_xll.VAData($D280, AN$5, $C280, "Consensus", "CD", "IMPL","","")</f>
        <v>196.91526495411918</v>
      </c>
      <c r="AO280" s="29" cm="1">
        <f t="array" ref="AO280">_xll.VAData($D280, AO$5, $C280, "Consensus", "CD", "IMPL","","")</f>
        <v>210.81192873611633</v>
      </c>
      <c r="AP280" s="463" cm="1">
        <f t="array" ref="AP280">_xll.VAData($D280, AP$5, $C280, "Consensus", "CD", "IMPL","","")</f>
        <v>765.48093749999998</v>
      </c>
      <c r="AQ280" s="29" cm="1">
        <f t="array" ref="AQ280">_xll.VAData($D280, AQ$5, $C280, "Consensus", "CD", "IMPL","","")</f>
        <v>196.91405630927616</v>
      </c>
      <c r="AR280" s="29" cm="1">
        <f t="array" ref="AR280">_xll.VAData($D280, AR$5, $C280, "Consensus", "CD", "IMPL","","")</f>
        <v>177.8952034138</v>
      </c>
      <c r="AS280" s="29" cm="1">
        <f t="array" ref="AS280">_xll.VAData($D280, AS$5, $C280, "Consensus", "CD", "IMPL","","")</f>
        <v>203.6897096692262</v>
      </c>
      <c r="AT280" s="29" cm="1">
        <f t="array" ref="AT280">_xll.VAData($D280, AT$5, $C280, "Consensus", "CD", "IMPL","","")</f>
        <v>216.26987612361839</v>
      </c>
      <c r="AU280" s="463" cm="1">
        <f t="array" ref="AU280">_xll.VAData($D280, AU$5, $C280, "Consensus", "CD", "IMPL","","")</f>
        <v>789.68366552999998</v>
      </c>
      <c r="AV280" s="29" cm="1">
        <f t="array" ref="AV280">_xll.VAData($D280, AV$5, $C280, "Consensus", "CD", "IMPL","","")</f>
        <v>199.89277663076999</v>
      </c>
      <c r="AW280" s="29" cm="1">
        <f t="array" ref="AW280">_xll.VAData($D280, AW$5, $C280, "Consensus", "CD", "IMPL","","")</f>
        <v>185.61891703836633</v>
      </c>
      <c r="AX280" s="29" cm="1">
        <f t="array" ref="AX280">_xll.VAData($D280, AX$5, $C280, "Consensus", "CD", "IMPL","","")</f>
        <v>206.71672746124435</v>
      </c>
      <c r="AY280" s="29" cm="1">
        <f t="array" ref="AY280">_xll.VAData($D280, AY$5, $C280, "Consensus", "CD", "IMPL","","")</f>
        <v>216.49088752899033</v>
      </c>
      <c r="AZ280" s="463" cm="1">
        <f t="array" ref="AZ280">_xll.VAData($D280, AZ$5, $C280, "Consensus", "CD", "IMPL","","")</f>
        <v>801.76540460000001</v>
      </c>
    </row>
    <row r="281" spans="2:54" hidden="1" outlineLevel="1">
      <c r="B281" s="7" t="s">
        <v>914</v>
      </c>
      <c r="C281" s="6" t="s">
        <v>790</v>
      </c>
      <c r="D281" s="6" t="s">
        <v>360</v>
      </c>
      <c r="E281" s="18"/>
      <c r="F281" s="18"/>
      <c r="G281" s="18"/>
      <c r="H281" s="29" cm="1">
        <f t="array" ref="H281">_xll.VAData($D281, H$5, $C281, "Consensus", "CD", "IMPL","","")</f>
        <v>505.9</v>
      </c>
      <c r="I281" s="29" cm="1">
        <f t="array" ref="I281">_xll.VAData($D281, I$5, $C281, "Consensus", "CD", "IMPL","","")</f>
        <v>479.4</v>
      </c>
      <c r="J281" s="29" cm="1">
        <f t="array" ref="J281">_xll.VAData($D281, J$5, $C281, "Consensus", "CD", "IMPL","","")</f>
        <v>551.83333333333337</v>
      </c>
      <c r="K281" s="29" cm="1">
        <f t="array" ref="K281">_xll.VAData($D281, K$5, $C281, "Consensus", "CD", "IMPL","","")</f>
        <v>549.33333333333337</v>
      </c>
      <c r="L281" s="28" cm="1">
        <f t="array" ref="L281">_xll.VAData($D281, L$5, $C281, "Consensus", "CD", "IMPL","","")</f>
        <v>2092.5071428599999</v>
      </c>
      <c r="M281" s="29" cm="1">
        <f t="array" ref="M281">_xll.VAData($D281, M$5, $C281, "Consensus", "CD", "IMPL","","")</f>
        <v>507.55</v>
      </c>
      <c r="N281" s="29" cm="1">
        <f t="array" ref="N281">_xll.VAData($D281, N$5, $C281, "Consensus", "CD", "IMPL","","")</f>
        <v>489.5</v>
      </c>
      <c r="O281" s="29" cm="1">
        <f t="array" ref="O281">_xll.VAData($D281, O$5, $C281, "Consensus", "CD", "IMPL","","")</f>
        <v>544.9</v>
      </c>
      <c r="P281" s="29" cm="1">
        <f t="array" ref="P281">_xll.VAData($D281, P$5, $C281, "Consensus", "CD", "IMPL","","")</f>
        <v>561.6</v>
      </c>
      <c r="Q281" s="28" cm="1">
        <f t="array" ref="Q281">_xll.VAData($D281, Q$5, $C281, "Consensus", "CD", "IMPL","","")</f>
        <v>2113.6607142899998</v>
      </c>
      <c r="R281" s="29" cm="1">
        <f t="array" ref="R281">_xll.VAData($D281, R$5, $C281, "Consensus", "CD", "IMPL","","")</f>
        <v>526.29999999999995</v>
      </c>
      <c r="S281" s="29" cm="1">
        <f t="array" ref="S281">_xll.VAData($D281, S$5, $C281, "Consensus", "CD", "IMPL","","")</f>
        <v>465.7</v>
      </c>
      <c r="T281" s="29" cm="1">
        <f t="array" ref="T281">_xll.VAData($D281, T$5, $C281, "Consensus", "CD", "IMPL","","")</f>
        <v>543.4</v>
      </c>
      <c r="U281" s="29" cm="1">
        <f t="array" ref="U281">_xll.VAData($D281, U$5, $C281, "Consensus", "CD", "IMPL","","")</f>
        <v>558.79999999999995</v>
      </c>
      <c r="V281" s="28" cm="1">
        <f t="array" ref="V281">_xll.VAData($D281, V$5, $C281, "Consensus", "CD", "IMPL","","")</f>
        <v>2142.6999999999998</v>
      </c>
      <c r="W281" s="29" cm="1">
        <f t="array" ref="W281">_xll.VAData($D281, W$5, $C281, "Consensus", "CD", "IMPL","","")</f>
        <v>581.6</v>
      </c>
      <c r="X281" s="29" cm="1">
        <f t="array" ref="X281">_xll.VAData($D281, X$5, $C281, "Consensus", "CD", "IMPL","","")</f>
        <v>570.9</v>
      </c>
      <c r="Y281" s="29" cm="1">
        <f t="array" ref="Y281">_xll.VAData($D281, Y$5, $C281, "Consensus", "CD", "IMPL","","")</f>
        <v>594.70000000000005</v>
      </c>
      <c r="Z281" s="29" cm="1">
        <f t="array" ref="Z281">_xll.VAData($D281, Z$5, $C281, "Consensus", "CD", "IMPL","","")</f>
        <v>625.9</v>
      </c>
      <c r="AA281" s="28" cm="1">
        <f t="array" ref="AA281">_xll.VAData($D281, AA$5, $C281, "Consensus", "CD", "IMPL","","")</f>
        <v>2318.3249999999998</v>
      </c>
      <c r="AB281" s="29" cm="1">
        <f t="array" ref="AB281">_xll.VAData($D281, AB$5, $C281, "Consensus", "CD", "IMPL","","")</f>
        <v>583.1</v>
      </c>
      <c r="AC281" s="29" cm="1">
        <f t="array" ref="AC281">_xll.VAData($D281, AC$5, $C281, "Consensus", "CD", "IMPL","","")</f>
        <v>543.20000000000005</v>
      </c>
      <c r="AD281" s="29" cm="1">
        <f t="array" ref="AD281">_xll.VAData($D281, AD$5, $C281, "Consensus", "CD", "IMPL","","")</f>
        <v>645.1</v>
      </c>
      <c r="AE281" s="29" cm="1">
        <f t="array" ref="AE281">_xll.VAData($D281, AE$5, $C281, "Consensus", "CD", "IMPL","","")</f>
        <v>661.8</v>
      </c>
      <c r="AF281" s="28" cm="1">
        <f t="array" ref="AF281">_xll.VAData($D281, AF$5, $C281, "Consensus", "CD", "IMPL","","")</f>
        <v>2466.625</v>
      </c>
      <c r="AG281" s="29" cm="1">
        <f t="array" ref="AG281">_xll.VAData($D281, AG$5, $C281, "Consensus", "CD", "IMPL","","")</f>
        <v>647.20000000000005</v>
      </c>
      <c r="AH281" s="29" cm="1">
        <f t="array" ref="AH281">_xll.VAData($D281, AH$5, $C281, "Consensus", "CD", "IMPL","","")</f>
        <v>597.9</v>
      </c>
      <c r="AI281" s="29" cm="1">
        <f t="array" ref="AI281">_xll.VAData($D281, AI$5, $C281, "Consensus", "CD", "IMPL","","")</f>
        <v>709.8</v>
      </c>
      <c r="AJ281" s="29" cm="1">
        <f t="array" ref="AJ281">_xll.VAData($D281, AJ$5, $C281, "Consensus", "CD", "IMPL","","")</f>
        <v>735.1</v>
      </c>
      <c r="AK281" s="28" cm="1">
        <f t="array" ref="AK281">_xll.VAData($D281, AK$5, $C281, "Consensus", "CD", "IMPL","","")</f>
        <v>2675.8</v>
      </c>
      <c r="AL281" s="29" cm="1">
        <f t="array" ref="AL281">_xll.VAData($D281, AL$5, $C281, "Consensus", "CD", "IMPL","","")</f>
        <v>692.5</v>
      </c>
      <c r="AM281" s="29" cm="1">
        <f t="array" ref="AM281">_xll.VAData($D281, AM$5, $C281, "Consensus", "CD", "IMPL","","")</f>
        <v>625.1</v>
      </c>
      <c r="AN281" s="29" cm="1">
        <f t="array" ref="AN281">_xll.VAData($D281, AN$5, $C281, "Consensus", "CD", "IMPL","","")</f>
        <v>706.54674999999997</v>
      </c>
      <c r="AO281" s="29" cm="1">
        <f t="array" ref="AO281">_xll.VAData($D281, AO$5, $C281, "Consensus", "CD", "IMPL","","")</f>
        <v>729.2804583333334</v>
      </c>
      <c r="AP281" s="463" cm="1">
        <f t="array" ref="AP281">_xll.VAData($D281, AP$5, $C281, "Consensus", "CD", "IMPL","","")</f>
        <v>2742.7155417499998</v>
      </c>
      <c r="AQ281" s="29" cm="1">
        <f t="array" ref="AQ281">_xll.VAData($D281, AQ$5, $C281, "Consensus", "CD", "IMPL","","")</f>
        <v>684.26018066666666</v>
      </c>
      <c r="AR281" s="29" cm="1">
        <f t="array" ref="AR281">_xll.VAData($D281, AR$5, $C281, "Consensus", "CD", "IMPL","","")</f>
        <v>628.60055999999997</v>
      </c>
      <c r="AS281" s="29" cm="1">
        <f t="array" ref="AS281">_xll.VAData($D281, AS$5, $C281, "Consensus", "CD", "IMPL","","")</f>
        <v>722.72261879999996</v>
      </c>
      <c r="AT281" s="29" cm="1">
        <f t="array" ref="AT281">_xll.VAData($D281, AT$5, $C281, "Consensus", "CD", "IMPL","","")</f>
        <v>743.9976504</v>
      </c>
      <c r="AU281" s="463" cm="1">
        <f t="array" ref="AU281">_xll.VAData($D281, AU$5, $C281, "Consensus", "CD", "IMPL","","")</f>
        <v>2764.23510829</v>
      </c>
      <c r="AV281" s="29" cm="1">
        <f t="array" ref="AV281">_xll.VAData($D281, AV$5, $C281, "Consensus", "CD", "IMPL","","")</f>
        <v>680.02543046434994</v>
      </c>
      <c r="AW281" s="29" cm="1">
        <f t="array" ref="AW281">_xll.VAData($D281, AW$5, $C281, "Consensus", "CD", "IMPL","","")</f>
        <v>634.70341129999997</v>
      </c>
      <c r="AX281" s="29" cm="1">
        <f t="array" ref="AX281">_xll.VAData($D281, AX$5, $C281, "Consensus", "CD", "IMPL","","")</f>
        <v>717.65408250899998</v>
      </c>
      <c r="AY281" s="29" cm="1">
        <f t="array" ref="AY281">_xll.VAData($D281, AY$5, $C281, "Consensus", "CD", "IMPL","","")</f>
        <v>738.26691738950001</v>
      </c>
      <c r="AZ281" s="463" cm="1">
        <f t="array" ref="AZ281">_xll.VAData($D281, AZ$5, $C281, "Consensus", "CD", "IMPL","","")</f>
        <v>2762.6200087100001</v>
      </c>
    </row>
    <row r="282" spans="2:54" hidden="1" outlineLevel="1">
      <c r="B282" s="7" t="s">
        <v>788</v>
      </c>
      <c r="C282" s="6"/>
      <c r="D282" s="6"/>
      <c r="E282" s="18"/>
      <c r="F282" s="18"/>
      <c r="G282" s="18"/>
      <c r="H282" s="19">
        <f>H280/H281</f>
        <v>0.29630361731567506</v>
      </c>
      <c r="I282" s="19">
        <f t="shared" ref="I282:AZ282" si="706">I280/I281</f>
        <v>0.25698790154359619</v>
      </c>
      <c r="J282" s="19">
        <f t="shared" si="706"/>
        <v>0.27592872244035033</v>
      </c>
      <c r="K282" s="19">
        <f t="shared" si="706"/>
        <v>0.33073422330097085</v>
      </c>
      <c r="L282" s="18">
        <f t="shared" si="706"/>
        <v>0.30106229369375626</v>
      </c>
      <c r="M282" s="19">
        <f t="shared" si="706"/>
        <v>0.30686631858930152</v>
      </c>
      <c r="N282" s="19">
        <f t="shared" si="706"/>
        <v>0.30194075587334018</v>
      </c>
      <c r="O282" s="19">
        <f t="shared" si="706"/>
        <v>0.31987520645990092</v>
      </c>
      <c r="P282" s="19">
        <f t="shared" si="706"/>
        <v>0.32710113960113957</v>
      </c>
      <c r="Q282" s="18">
        <f t="shared" si="706"/>
        <v>0.31245047100278817</v>
      </c>
      <c r="R282" s="19">
        <f t="shared" si="706"/>
        <v>0.32395971879156377</v>
      </c>
      <c r="S282" s="19">
        <f t="shared" si="706"/>
        <v>0.27678763152243935</v>
      </c>
      <c r="T282" s="19">
        <f t="shared" si="706"/>
        <v>0.33584836216415165</v>
      </c>
      <c r="U282" s="19">
        <f t="shared" si="706"/>
        <v>0.33911954187544741</v>
      </c>
      <c r="V282" s="18">
        <f t="shared" si="706"/>
        <v>0.32077519018061329</v>
      </c>
      <c r="W282" s="19">
        <f t="shared" si="706"/>
        <v>0.32685694635488305</v>
      </c>
      <c r="X282" s="19">
        <f t="shared" si="706"/>
        <v>0.31984585741811178</v>
      </c>
      <c r="Y282" s="19">
        <f t="shared" si="706"/>
        <v>0.3398352110307718</v>
      </c>
      <c r="Z282" s="19">
        <f t="shared" si="706"/>
        <v>0.33663524524684452</v>
      </c>
      <c r="AA282" s="18">
        <f t="shared" si="706"/>
        <v>0.32332610828939001</v>
      </c>
      <c r="AB282" s="19">
        <f t="shared" si="706"/>
        <v>0.29789058480535069</v>
      </c>
      <c r="AC282" s="19">
        <f t="shared" si="706"/>
        <v>0.27853460972017674</v>
      </c>
      <c r="AD282" s="19">
        <f t="shared" si="706"/>
        <v>0.32212060145713844</v>
      </c>
      <c r="AE282" s="19">
        <f t="shared" si="706"/>
        <v>0.32245391356905412</v>
      </c>
      <c r="AF282" s="18">
        <f t="shared" si="706"/>
        <v>0.30195104647037957</v>
      </c>
      <c r="AG282" s="19">
        <f t="shared" si="706"/>
        <v>0.25370828182941901</v>
      </c>
      <c r="AH282" s="19">
        <f t="shared" si="706"/>
        <v>0.24402073925405587</v>
      </c>
      <c r="AI282" s="19">
        <f t="shared" si="706"/>
        <v>0.26444068751761057</v>
      </c>
      <c r="AJ282" s="19">
        <f t="shared" si="706"/>
        <v>0.27751326350156441</v>
      </c>
      <c r="AK282" s="18">
        <f t="shared" si="706"/>
        <v>0.2755998206143957</v>
      </c>
      <c r="AL282" s="19">
        <f t="shared" si="706"/>
        <v>0.28895306859205777</v>
      </c>
      <c r="AM282" s="19">
        <f t="shared" si="706"/>
        <v>0.27211646136618139</v>
      </c>
      <c r="AN282" s="243">
        <f t="shared" si="706"/>
        <v>0.27870097053608867</v>
      </c>
      <c r="AO282" s="243">
        <f t="shared" si="706"/>
        <v>0.28906839107947163</v>
      </c>
      <c r="AP282" s="237">
        <f t="shared" si="706"/>
        <v>0.27909600024054337</v>
      </c>
      <c r="AQ282" s="243">
        <f t="shared" si="706"/>
        <v>0.28777658246520366</v>
      </c>
      <c r="AR282" s="243">
        <f t="shared" si="706"/>
        <v>0.28300198048471353</v>
      </c>
      <c r="AS282" s="243">
        <f t="shared" si="706"/>
        <v>0.28183663326800285</v>
      </c>
      <c r="AT282" s="243">
        <f t="shared" si="706"/>
        <v>0.29068623537634009</v>
      </c>
      <c r="AU282" s="237">
        <f t="shared" si="706"/>
        <v>0.28567890739891183</v>
      </c>
      <c r="AV282" s="243">
        <f t="shared" si="706"/>
        <v>0.29394897260573738</v>
      </c>
      <c r="AW282" s="243">
        <f t="shared" si="706"/>
        <v>0.29244984938426838</v>
      </c>
      <c r="AX282" s="243">
        <f t="shared" si="706"/>
        <v>0.28804507979462646</v>
      </c>
      <c r="AY282" s="243">
        <f t="shared" si="706"/>
        <v>0.29324202727991472</v>
      </c>
      <c r="AZ282" s="237">
        <f t="shared" si="706"/>
        <v>0.29021921294719888</v>
      </c>
    </row>
    <row r="283" spans="2:54" collapsed="1">
      <c r="B283" s="5"/>
      <c r="C283" s="6"/>
      <c r="D283" s="6"/>
      <c r="E283" s="18"/>
      <c r="F283" s="18"/>
      <c r="G283" s="18"/>
      <c r="H283" s="19"/>
      <c r="I283" s="19"/>
      <c r="J283" s="19"/>
      <c r="K283" s="19"/>
      <c r="L283" s="18"/>
      <c r="M283" s="19"/>
      <c r="N283" s="19"/>
      <c r="O283" s="19"/>
      <c r="P283" s="19"/>
      <c r="Q283" s="18"/>
      <c r="R283" s="19"/>
      <c r="S283" s="19"/>
      <c r="T283" s="19"/>
      <c r="U283" s="19"/>
      <c r="V283" s="18"/>
      <c r="W283" s="19"/>
      <c r="X283" s="19"/>
      <c r="Y283" s="19"/>
      <c r="Z283" s="19"/>
      <c r="AA283" s="18"/>
      <c r="AB283" s="19"/>
      <c r="AC283" s="19"/>
      <c r="AD283" s="19"/>
      <c r="AE283" s="19"/>
      <c r="AF283" s="18"/>
      <c r="AG283" s="19"/>
      <c r="AH283" s="19"/>
      <c r="AI283" s="19"/>
      <c r="AJ283" s="19"/>
      <c r="AK283" s="18"/>
      <c r="AL283" s="19"/>
      <c r="AM283" s="19"/>
      <c r="AN283" s="243"/>
      <c r="AO283" s="243"/>
      <c r="AP283" s="237"/>
      <c r="AQ283" s="243"/>
      <c r="AR283" s="243"/>
      <c r="AS283" s="243"/>
      <c r="AT283" s="243"/>
      <c r="AU283" s="237"/>
      <c r="AV283" s="243"/>
      <c r="AW283" s="243"/>
      <c r="AX283" s="243"/>
      <c r="AY283" s="243"/>
      <c r="AZ283" s="237"/>
    </row>
    <row r="284" spans="2:54">
      <c r="B284" s="5"/>
      <c r="C284" s="6"/>
      <c r="D284" s="6"/>
      <c r="E284" s="18"/>
      <c r="F284" s="18"/>
      <c r="G284" s="18"/>
      <c r="H284" s="19"/>
      <c r="I284" s="19"/>
      <c r="J284" s="19"/>
      <c r="K284" s="19"/>
      <c r="L284" s="18"/>
      <c r="M284" s="19"/>
      <c r="N284" s="19"/>
      <c r="O284" s="19"/>
      <c r="P284" s="19"/>
      <c r="Q284" s="18"/>
      <c r="R284" s="19"/>
      <c r="S284" s="19"/>
      <c r="T284" s="19"/>
      <c r="U284" s="19"/>
      <c r="V284" s="18"/>
      <c r="W284" s="19"/>
      <c r="X284" s="19"/>
      <c r="Y284" s="19"/>
      <c r="Z284" s="19"/>
      <c r="AA284" s="18"/>
      <c r="AB284" s="19"/>
      <c r="AC284" s="19"/>
      <c r="AD284" s="19"/>
      <c r="AE284" s="19"/>
      <c r="AF284" s="18"/>
      <c r="AG284" s="19"/>
      <c r="AH284" s="19"/>
      <c r="AI284" s="19"/>
      <c r="AJ284" s="19"/>
      <c r="AK284" s="18"/>
      <c r="AL284" s="19"/>
      <c r="AM284" s="19"/>
      <c r="AN284" s="243"/>
      <c r="AO284" s="243"/>
      <c r="AP284" s="237"/>
      <c r="AQ284" s="243"/>
      <c r="AR284" s="243"/>
      <c r="AS284" s="243"/>
      <c r="AT284" s="243"/>
      <c r="AU284" s="237"/>
      <c r="AV284" s="243"/>
      <c r="AW284" s="243"/>
      <c r="AX284" s="243"/>
      <c r="AY284" s="243"/>
      <c r="AZ284" s="237"/>
    </row>
    <row r="285" spans="2:54">
      <c r="B285" s="5"/>
      <c r="C285" s="6"/>
      <c r="D285" s="6"/>
      <c r="E285" s="18"/>
      <c r="F285" s="18"/>
      <c r="G285" s="18"/>
      <c r="H285" s="19"/>
      <c r="I285" s="19"/>
      <c r="J285" s="19"/>
      <c r="K285" s="19"/>
      <c r="L285" s="18"/>
      <c r="M285" s="19"/>
      <c r="N285" s="19"/>
      <c r="O285" s="19"/>
      <c r="P285" s="19"/>
      <c r="Q285" s="18"/>
      <c r="R285" s="19"/>
      <c r="S285" s="19"/>
      <c r="T285" s="19"/>
      <c r="U285" s="19"/>
      <c r="V285" s="18"/>
      <c r="W285" s="19"/>
      <c r="X285" s="19"/>
      <c r="Y285" s="19"/>
      <c r="Z285" s="19"/>
      <c r="AA285" s="18"/>
      <c r="AB285" s="19"/>
      <c r="AC285" s="19"/>
      <c r="AD285" s="19"/>
      <c r="AE285" s="19"/>
      <c r="AF285" s="18"/>
      <c r="AG285" s="19"/>
      <c r="AH285" s="19"/>
      <c r="AI285" s="19"/>
      <c r="AJ285" s="19"/>
      <c r="AK285" s="18"/>
      <c r="AL285" s="19"/>
      <c r="AM285" s="19"/>
      <c r="AN285" s="243"/>
      <c r="AO285" s="243"/>
      <c r="AP285" s="237"/>
      <c r="AQ285" s="243"/>
      <c r="AR285" s="243"/>
      <c r="AS285" s="243"/>
      <c r="AT285" s="243"/>
      <c r="AU285" s="237"/>
      <c r="AV285" s="243"/>
      <c r="AW285" s="243"/>
      <c r="AX285" s="243"/>
      <c r="AY285" s="243"/>
      <c r="AZ285" s="237"/>
    </row>
    <row r="286" spans="2:54">
      <c r="B286" s="10" t="s">
        <v>915</v>
      </c>
      <c r="C286" s="6"/>
      <c r="D286" s="6"/>
      <c r="E286" s="18"/>
      <c r="F286" s="18"/>
      <c r="G286" s="18"/>
      <c r="H286" s="19"/>
      <c r="I286" s="19"/>
      <c r="J286" s="19"/>
      <c r="K286" s="19"/>
      <c r="L286" s="18"/>
      <c r="M286" s="19"/>
      <c r="N286" s="19"/>
      <c r="O286" s="19"/>
      <c r="P286" s="19"/>
      <c r="Q286" s="18"/>
      <c r="R286" s="19"/>
      <c r="S286" s="19"/>
      <c r="T286" s="19"/>
      <c r="U286" s="19"/>
      <c r="V286" s="18"/>
      <c r="W286" s="19"/>
      <c r="X286" s="19"/>
      <c r="Y286" s="19"/>
      <c r="Z286" s="19"/>
      <c r="AA286" s="18"/>
      <c r="AB286" s="19"/>
      <c r="AC286" s="19"/>
      <c r="AD286" s="19"/>
      <c r="AE286" s="19"/>
      <c r="AF286" s="18"/>
      <c r="AG286" s="19"/>
      <c r="AH286" s="19"/>
      <c r="AI286" s="19"/>
      <c r="AJ286" s="19"/>
      <c r="AK286" s="18"/>
      <c r="AL286" s="19"/>
      <c r="AM286" s="19"/>
      <c r="AN286" s="243"/>
      <c r="AO286" s="243"/>
      <c r="AP286" s="237"/>
      <c r="AQ286" s="243"/>
      <c r="AR286" s="243"/>
      <c r="AS286" s="243"/>
      <c r="AT286" s="243"/>
      <c r="AU286" s="237"/>
      <c r="AV286" s="243"/>
      <c r="AW286" s="243"/>
      <c r="AX286" s="243"/>
      <c r="AY286" s="243"/>
      <c r="AZ286" s="237"/>
    </row>
    <row r="287" spans="2:54">
      <c r="B287" s="5" t="s">
        <v>806</v>
      </c>
      <c r="C287" s="6"/>
      <c r="D287" s="6"/>
      <c r="E287" s="18"/>
      <c r="F287" s="18"/>
      <c r="G287" s="18"/>
      <c r="H287" s="19"/>
      <c r="I287" s="19"/>
      <c r="J287" s="19"/>
      <c r="K287" s="19"/>
      <c r="L287" s="18"/>
      <c r="M287" s="19"/>
      <c r="N287" s="19"/>
      <c r="O287" s="29">
        <f t="shared" ref="O287:AZ287" si="707">O17</f>
        <v>1600.32</v>
      </c>
      <c r="P287" s="29">
        <f t="shared" si="707"/>
        <v>1467.84</v>
      </c>
      <c r="Q287" s="28">
        <f t="shared" si="707"/>
        <v>6144.96</v>
      </c>
      <c r="R287" s="29">
        <f t="shared" si="707"/>
        <v>1363.2</v>
      </c>
      <c r="S287" s="29">
        <f t="shared" si="707"/>
        <v>1613.76</v>
      </c>
      <c r="T287" s="29">
        <f t="shared" si="707"/>
        <v>1600.32</v>
      </c>
      <c r="U287" s="29">
        <f t="shared" si="707"/>
        <v>1527.36</v>
      </c>
      <c r="V287" s="28">
        <f t="shared" si="707"/>
        <v>6104.6399999999994</v>
      </c>
      <c r="W287" s="29">
        <f t="shared" si="707"/>
        <v>1462.08</v>
      </c>
      <c r="X287" s="29">
        <f t="shared" si="707"/>
        <v>1632.96</v>
      </c>
      <c r="Y287" s="29">
        <f t="shared" si="707"/>
        <v>1727.04</v>
      </c>
      <c r="Z287" s="29">
        <f t="shared" si="707"/>
        <v>1598.3999999999999</v>
      </c>
      <c r="AA287" s="28">
        <f t="shared" si="707"/>
        <v>6420.48</v>
      </c>
      <c r="AB287" s="29">
        <f t="shared" si="707"/>
        <v>1579</v>
      </c>
      <c r="AC287" s="29">
        <f t="shared" si="707"/>
        <v>1807</v>
      </c>
      <c r="AD287" s="29">
        <f t="shared" si="707"/>
        <v>1874</v>
      </c>
      <c r="AE287" s="29">
        <f t="shared" si="707"/>
        <v>1860</v>
      </c>
      <c r="AF287" s="28">
        <f t="shared" si="707"/>
        <v>7120</v>
      </c>
      <c r="AG287" s="29">
        <f t="shared" si="707"/>
        <v>1781</v>
      </c>
      <c r="AH287" s="29">
        <f t="shared" si="707"/>
        <v>2084</v>
      </c>
      <c r="AI287" s="29">
        <f t="shared" si="707"/>
        <v>2144</v>
      </c>
      <c r="AJ287" s="29">
        <f t="shared" si="707"/>
        <v>2074</v>
      </c>
      <c r="AK287" s="28">
        <f t="shared" si="707"/>
        <v>8083</v>
      </c>
      <c r="AL287" s="29">
        <f t="shared" si="707"/>
        <v>2007</v>
      </c>
      <c r="AM287" s="29">
        <f t="shared" si="707"/>
        <v>2330</v>
      </c>
      <c r="AN287" s="554">
        <f t="shared" si="707"/>
        <v>2336.96</v>
      </c>
      <c r="AO287" s="554">
        <f t="shared" si="707"/>
        <v>2219.1800000000003</v>
      </c>
      <c r="AP287" s="205">
        <f t="shared" si="707"/>
        <v>8893.14</v>
      </c>
      <c r="AQ287" s="554">
        <f t="shared" si="707"/>
        <v>2107.35</v>
      </c>
      <c r="AR287" s="554">
        <f t="shared" si="707"/>
        <v>2423.2000000000003</v>
      </c>
      <c r="AS287" s="554">
        <f t="shared" si="707"/>
        <v>2407.0688</v>
      </c>
      <c r="AT287" s="554">
        <f t="shared" si="707"/>
        <v>2285.7554000000005</v>
      </c>
      <c r="AU287" s="205">
        <f t="shared" si="707"/>
        <v>9223.3742000000002</v>
      </c>
      <c r="AV287" s="554">
        <f t="shared" si="707"/>
        <v>2170.5704999999998</v>
      </c>
      <c r="AW287" s="554">
        <f t="shared" si="707"/>
        <v>2495.8960000000002</v>
      </c>
      <c r="AX287" s="554">
        <f t="shared" si="707"/>
        <v>2479.2808640000003</v>
      </c>
      <c r="AY287" s="554">
        <f t="shared" si="707"/>
        <v>2354.3280620000005</v>
      </c>
      <c r="AZ287" s="205">
        <f t="shared" si="707"/>
        <v>9500.0754260000012</v>
      </c>
    </row>
    <row r="288" spans="2:54">
      <c r="B288" s="5" t="s">
        <v>740</v>
      </c>
      <c r="C288" s="6"/>
      <c r="D288" s="6"/>
      <c r="E288" s="18"/>
      <c r="F288" s="18"/>
      <c r="G288" s="18"/>
      <c r="H288" s="19"/>
      <c r="I288" s="19"/>
      <c r="J288" s="19"/>
      <c r="K288" s="19"/>
      <c r="L288" s="18"/>
      <c r="M288" s="19"/>
      <c r="N288" s="19"/>
      <c r="O288" s="29">
        <f t="shared" ref="O288:AZ288" si="708">O28</f>
        <v>905.58</v>
      </c>
      <c r="P288" s="29">
        <f t="shared" si="708"/>
        <v>1001.04</v>
      </c>
      <c r="Q288" s="28">
        <f t="shared" si="708"/>
        <v>3538.04</v>
      </c>
      <c r="R288" s="29">
        <f t="shared" si="708"/>
        <v>832.48</v>
      </c>
      <c r="S288" s="29">
        <f t="shared" si="708"/>
        <v>851.4</v>
      </c>
      <c r="T288" s="29">
        <f t="shared" si="708"/>
        <v>915.9</v>
      </c>
      <c r="U288" s="29">
        <f t="shared" si="708"/>
        <v>1040.5999999999999</v>
      </c>
      <c r="V288" s="28">
        <f t="shared" si="708"/>
        <v>3640.38</v>
      </c>
      <c r="W288" s="29">
        <f t="shared" si="708"/>
        <v>836.78</v>
      </c>
      <c r="X288" s="29">
        <f t="shared" si="708"/>
        <v>896.98</v>
      </c>
      <c r="Y288" s="29">
        <f t="shared" si="708"/>
        <v>943.42</v>
      </c>
      <c r="Z288" s="29">
        <f t="shared" si="708"/>
        <v>1135.2</v>
      </c>
      <c r="AA288" s="28">
        <f t="shared" si="708"/>
        <v>3812.38</v>
      </c>
      <c r="AB288" s="29">
        <f t="shared" si="708"/>
        <v>997</v>
      </c>
      <c r="AC288" s="29">
        <f t="shared" si="708"/>
        <v>955</v>
      </c>
      <c r="AD288" s="29">
        <f t="shared" si="708"/>
        <v>1002</v>
      </c>
      <c r="AE288" s="29">
        <f t="shared" si="708"/>
        <v>1135</v>
      </c>
      <c r="AF288" s="28">
        <f t="shared" si="708"/>
        <v>4089</v>
      </c>
      <c r="AG288" s="29">
        <f t="shared" si="708"/>
        <v>943</v>
      </c>
      <c r="AH288" s="29">
        <f t="shared" si="708"/>
        <v>1029</v>
      </c>
      <c r="AI288" s="29">
        <f t="shared" si="708"/>
        <v>1045</v>
      </c>
      <c r="AJ288" s="29">
        <f t="shared" si="708"/>
        <v>1285</v>
      </c>
      <c r="AK288" s="28">
        <f t="shared" si="708"/>
        <v>4302</v>
      </c>
      <c r="AL288" s="29">
        <f t="shared" si="708"/>
        <v>931</v>
      </c>
      <c r="AM288" s="29">
        <f t="shared" si="708"/>
        <v>970</v>
      </c>
      <c r="AN288" s="554">
        <f t="shared" si="708"/>
        <v>991.01738957794623</v>
      </c>
      <c r="AO288" s="554">
        <f t="shared" si="708"/>
        <v>1216.0398870812553</v>
      </c>
      <c r="AP288" s="205">
        <f t="shared" si="708"/>
        <v>4108.0572766592013</v>
      </c>
      <c r="AQ288" s="554">
        <f t="shared" si="708"/>
        <v>873.76122944567669</v>
      </c>
      <c r="AR288" s="554">
        <f t="shared" si="708"/>
        <v>949.5316142998737</v>
      </c>
      <c r="AS288" s="554">
        <f t="shared" si="708"/>
        <v>964.40290853992235</v>
      </c>
      <c r="AT288" s="554">
        <f t="shared" si="708"/>
        <v>1181.7519925763725</v>
      </c>
      <c r="AU288" s="205">
        <f t="shared" si="708"/>
        <v>3969.4477448618454</v>
      </c>
      <c r="AV288" s="554">
        <f t="shared" si="708"/>
        <v>853.97051392763603</v>
      </c>
      <c r="AW288" s="554">
        <f t="shared" si="708"/>
        <v>927.93696002990077</v>
      </c>
      <c r="AX288" s="554">
        <f t="shared" si="708"/>
        <v>943.12186262672708</v>
      </c>
      <c r="AY288" s="554">
        <f t="shared" si="708"/>
        <v>1155.6651301408094</v>
      </c>
      <c r="AZ288" s="205">
        <f t="shared" si="708"/>
        <v>3880.6944667250727</v>
      </c>
    </row>
    <row r="289" spans="2:54">
      <c r="B289" s="5" t="s">
        <v>52</v>
      </c>
      <c r="C289" s="6"/>
      <c r="D289" s="6"/>
      <c r="E289" s="18"/>
      <c r="F289" s="18"/>
      <c r="G289" s="18"/>
      <c r="H289" s="19"/>
      <c r="I289" s="19"/>
      <c r="J289" s="19"/>
      <c r="K289" s="19"/>
      <c r="L289" s="18"/>
      <c r="M289" s="19"/>
      <c r="N289" s="19"/>
      <c r="O289" s="29">
        <f t="shared" ref="O289:AZ289" si="709">O53</f>
        <v>350.10000000000008</v>
      </c>
      <c r="P289" s="29">
        <f t="shared" si="709"/>
        <v>344.12000000000006</v>
      </c>
      <c r="Q289" s="28">
        <f t="shared" si="709"/>
        <v>1337.0000000000002</v>
      </c>
      <c r="R289" s="29">
        <f t="shared" si="709"/>
        <v>308.32000000000005</v>
      </c>
      <c r="S289" s="29">
        <f t="shared" si="709"/>
        <v>346.84000000000009</v>
      </c>
      <c r="T289" s="29">
        <f t="shared" si="709"/>
        <v>353.78000000000009</v>
      </c>
      <c r="U289" s="29">
        <f t="shared" si="709"/>
        <v>366.04000000000008</v>
      </c>
      <c r="V289" s="28">
        <f t="shared" si="709"/>
        <v>1374.9800000000002</v>
      </c>
      <c r="W289" s="29">
        <f t="shared" si="709"/>
        <v>314.14000000000004</v>
      </c>
      <c r="X289" s="29">
        <f t="shared" si="709"/>
        <v>334.06000000000006</v>
      </c>
      <c r="Y289" s="29">
        <f t="shared" si="709"/>
        <v>349.54000000000008</v>
      </c>
      <c r="Z289" s="29">
        <f t="shared" si="709"/>
        <v>387.40000000000009</v>
      </c>
      <c r="AA289" s="28">
        <f t="shared" si="709"/>
        <v>1385.1400000000003</v>
      </c>
      <c r="AB289" s="29">
        <f t="shared" si="709"/>
        <v>326</v>
      </c>
      <c r="AC289" s="29">
        <f t="shared" si="709"/>
        <v>378</v>
      </c>
      <c r="AD289" s="29">
        <f t="shared" si="709"/>
        <v>374</v>
      </c>
      <c r="AE289" s="29">
        <f t="shared" si="709"/>
        <v>396</v>
      </c>
      <c r="AF289" s="28">
        <f t="shared" si="709"/>
        <v>1474</v>
      </c>
      <c r="AG289" s="29">
        <f t="shared" si="709"/>
        <v>354</v>
      </c>
      <c r="AH289" s="29">
        <f t="shared" si="709"/>
        <v>441</v>
      </c>
      <c r="AI289" s="29">
        <f t="shared" si="709"/>
        <v>433</v>
      </c>
      <c r="AJ289" s="29">
        <f t="shared" si="709"/>
        <v>444</v>
      </c>
      <c r="AK289" s="28">
        <f t="shared" si="709"/>
        <v>1672</v>
      </c>
      <c r="AL289" s="29">
        <f t="shared" si="709"/>
        <v>415</v>
      </c>
      <c r="AM289" s="29">
        <f t="shared" si="709"/>
        <v>489</v>
      </c>
      <c r="AN289" s="554">
        <f t="shared" si="709"/>
        <v>468.6546334364416</v>
      </c>
      <c r="AO289" s="554">
        <f t="shared" si="709"/>
        <v>482.8024173779425</v>
      </c>
      <c r="AP289" s="205">
        <f t="shared" si="709"/>
        <v>1855.457050814384</v>
      </c>
      <c r="AQ289" s="554">
        <f t="shared" si="709"/>
        <v>437.7099066718585</v>
      </c>
      <c r="AR289" s="554">
        <f t="shared" si="709"/>
        <v>521.50566561406629</v>
      </c>
      <c r="AS289" s="554">
        <f t="shared" si="709"/>
        <v>498.84457984737855</v>
      </c>
      <c r="AT289" s="554">
        <f t="shared" si="709"/>
        <v>513.43842531701557</v>
      </c>
      <c r="AU289" s="205">
        <f t="shared" si="709"/>
        <v>1971.4985774503189</v>
      </c>
      <c r="AV289" s="554">
        <f t="shared" si="709"/>
        <v>463.53479116549812</v>
      </c>
      <c r="AW289" s="554">
        <f t="shared" si="709"/>
        <v>552.27449988529622</v>
      </c>
      <c r="AX289" s="554">
        <f t="shared" si="709"/>
        <v>528.27641005837381</v>
      </c>
      <c r="AY289" s="554">
        <f t="shared" si="709"/>
        <v>543.73129241071945</v>
      </c>
      <c r="AZ289" s="205">
        <f t="shared" si="709"/>
        <v>2087.8169935198875</v>
      </c>
    </row>
    <row r="290" spans="2:54">
      <c r="B290" s="5" t="s">
        <v>70</v>
      </c>
      <c r="C290" s="6"/>
      <c r="D290" s="6"/>
      <c r="E290" s="18"/>
      <c r="F290" s="18"/>
      <c r="G290" s="18"/>
      <c r="H290" s="19"/>
      <c r="I290" s="19"/>
      <c r="J290" s="19"/>
      <c r="K290" s="19"/>
      <c r="L290" s="18"/>
      <c r="M290" s="19"/>
      <c r="N290" s="19"/>
      <c r="O290" s="29">
        <f t="shared" ref="O290:AM290" si="710">SUM(O287:O289)</f>
        <v>2856</v>
      </c>
      <c r="P290" s="29">
        <f t="shared" si="710"/>
        <v>2813</v>
      </c>
      <c r="Q290" s="28">
        <f t="shared" si="710"/>
        <v>11020</v>
      </c>
      <c r="R290" s="29">
        <f t="shared" si="710"/>
        <v>2504.0000000000005</v>
      </c>
      <c r="S290" s="29">
        <f t="shared" si="710"/>
        <v>2812</v>
      </c>
      <c r="T290" s="29">
        <f t="shared" si="710"/>
        <v>2870</v>
      </c>
      <c r="U290" s="29">
        <f t="shared" si="710"/>
        <v>2934</v>
      </c>
      <c r="V290" s="28">
        <f t="shared" si="710"/>
        <v>11120</v>
      </c>
      <c r="W290" s="29">
        <f t="shared" si="710"/>
        <v>2612.9999999999995</v>
      </c>
      <c r="X290" s="29">
        <f t="shared" si="710"/>
        <v>2864</v>
      </c>
      <c r="Y290" s="29">
        <f t="shared" si="710"/>
        <v>3020</v>
      </c>
      <c r="Z290" s="29">
        <f t="shared" si="710"/>
        <v>3121</v>
      </c>
      <c r="AA290" s="28">
        <f t="shared" si="710"/>
        <v>11618</v>
      </c>
      <c r="AB290" s="29">
        <f t="shared" si="710"/>
        <v>2902</v>
      </c>
      <c r="AC290" s="29">
        <f t="shared" si="710"/>
        <v>3140</v>
      </c>
      <c r="AD290" s="29">
        <f t="shared" si="710"/>
        <v>3250</v>
      </c>
      <c r="AE290" s="29">
        <f t="shared" si="710"/>
        <v>3391</v>
      </c>
      <c r="AF290" s="28">
        <f t="shared" si="710"/>
        <v>12683</v>
      </c>
      <c r="AG290" s="29">
        <f t="shared" si="710"/>
        <v>3078</v>
      </c>
      <c r="AH290" s="29">
        <f t="shared" si="710"/>
        <v>3554</v>
      </c>
      <c r="AI290" s="29">
        <f t="shared" si="710"/>
        <v>3622</v>
      </c>
      <c r="AJ290" s="29">
        <f t="shared" si="710"/>
        <v>3803</v>
      </c>
      <c r="AK290" s="28">
        <f t="shared" si="710"/>
        <v>14057</v>
      </c>
      <c r="AL290" s="29">
        <f t="shared" si="710"/>
        <v>3353</v>
      </c>
      <c r="AM290" s="29">
        <f t="shared" si="710"/>
        <v>3789</v>
      </c>
      <c r="AN290" s="554">
        <f t="shared" ref="AN290:AZ290" si="711">SUM(AN287:AN289)</f>
        <v>3796.6320230143879</v>
      </c>
      <c r="AO290" s="554">
        <f t="shared" si="711"/>
        <v>3918.022304459198</v>
      </c>
      <c r="AP290" s="205">
        <f>SUM(AP287:AP289)</f>
        <v>14856.654327473585</v>
      </c>
      <c r="AQ290" s="554">
        <f t="shared" si="711"/>
        <v>3418.8211361175349</v>
      </c>
      <c r="AR290" s="554">
        <f t="shared" si="711"/>
        <v>3894.2372799139403</v>
      </c>
      <c r="AS290" s="554">
        <f t="shared" si="711"/>
        <v>3870.316288387301</v>
      </c>
      <c r="AT290" s="554">
        <f t="shared" si="711"/>
        <v>3980.9458178933883</v>
      </c>
      <c r="AU290" s="205">
        <f t="shared" si="711"/>
        <v>15164.320522312164</v>
      </c>
      <c r="AV290" s="554">
        <f t="shared" si="711"/>
        <v>3488.075805093134</v>
      </c>
      <c r="AW290" s="554">
        <f t="shared" si="711"/>
        <v>3976.1074599151975</v>
      </c>
      <c r="AX290" s="554">
        <f t="shared" si="711"/>
        <v>3950.6791366851012</v>
      </c>
      <c r="AY290" s="554">
        <f t="shared" si="711"/>
        <v>4053.7244845515293</v>
      </c>
      <c r="AZ290" s="205">
        <f t="shared" si="711"/>
        <v>15468.586886244962</v>
      </c>
    </row>
    <row r="291" spans="2:54">
      <c r="B291" s="10" t="s">
        <v>916</v>
      </c>
      <c r="C291" s="6"/>
      <c r="D291" s="6"/>
      <c r="E291" s="18"/>
      <c r="F291" s="18"/>
      <c r="G291" s="18"/>
      <c r="H291" s="19"/>
      <c r="I291" s="19"/>
      <c r="J291" s="19"/>
      <c r="K291" s="19"/>
      <c r="L291" s="18"/>
      <c r="M291" s="19"/>
      <c r="N291" s="19"/>
      <c r="O291" s="19"/>
      <c r="P291" s="19"/>
      <c r="Q291" s="18"/>
      <c r="R291" s="19"/>
      <c r="S291" s="19"/>
      <c r="T291" s="19"/>
      <c r="U291" s="19"/>
      <c r="V291" s="18"/>
      <c r="W291" s="19"/>
      <c r="X291" s="19"/>
      <c r="Y291" s="19"/>
      <c r="Z291" s="19"/>
      <c r="AA291" s="18"/>
      <c r="AB291" s="19"/>
      <c r="AC291" s="19"/>
      <c r="AD291" s="19"/>
      <c r="AE291" s="19"/>
      <c r="AF291" s="18"/>
      <c r="AG291" s="19"/>
      <c r="AH291" s="19"/>
      <c r="AI291" s="19"/>
      <c r="AJ291" s="19"/>
      <c r="AK291" s="18"/>
      <c r="AL291" s="19"/>
      <c r="AM291" s="19"/>
      <c r="AN291" s="243"/>
      <c r="AO291" s="243"/>
      <c r="AP291" s="237"/>
      <c r="AQ291" s="243"/>
      <c r="AR291" s="243"/>
      <c r="AS291" s="243"/>
      <c r="AT291" s="243"/>
      <c r="AU291" s="237"/>
      <c r="AV291" s="243"/>
      <c r="AW291" s="243"/>
      <c r="AX291" s="243"/>
      <c r="AY291" s="243"/>
      <c r="AZ291" s="237"/>
    </row>
    <row r="292" spans="2:54">
      <c r="B292" s="5" t="s">
        <v>917</v>
      </c>
      <c r="C292" s="6" t="s">
        <v>897</v>
      </c>
      <c r="D292" s="6"/>
      <c r="E292" s="18"/>
      <c r="F292" s="18"/>
      <c r="G292" s="18"/>
      <c r="H292" s="19"/>
      <c r="I292" s="19"/>
      <c r="J292" s="19"/>
      <c r="K292" s="19"/>
      <c r="L292" s="18"/>
      <c r="M292" s="19"/>
      <c r="N292" s="19"/>
      <c r="O292" s="19">
        <f t="shared" ref="O292:AM292" si="712">O308/O287</f>
        <v>0.21845630873825234</v>
      </c>
      <c r="P292" s="19">
        <f t="shared" si="712"/>
        <v>0.28994985829518205</v>
      </c>
      <c r="Q292" s="18">
        <f t="shared" si="712"/>
        <v>0.23900887882101751</v>
      </c>
      <c r="R292" s="19">
        <f t="shared" si="712"/>
        <v>0.25157717136150232</v>
      </c>
      <c r="S292" s="19">
        <f t="shared" si="712"/>
        <v>0.25666765813999604</v>
      </c>
      <c r="T292" s="19">
        <f t="shared" si="712"/>
        <v>0.2641659168166367</v>
      </c>
      <c r="U292" s="19">
        <f t="shared" si="712"/>
        <v>0.30975015713387805</v>
      </c>
      <c r="V292" s="18">
        <f t="shared" si="712"/>
        <v>0.27077763799339521</v>
      </c>
      <c r="W292" s="19">
        <f t="shared" si="712"/>
        <v>0.25990369884000875</v>
      </c>
      <c r="X292" s="19">
        <f t="shared" si="712"/>
        <v>0.28564692337840486</v>
      </c>
      <c r="Y292" s="19">
        <f t="shared" si="712"/>
        <v>0.31299217157680193</v>
      </c>
      <c r="Z292" s="19">
        <f t="shared" si="712"/>
        <v>0.29657782782782782</v>
      </c>
      <c r="AA292" s="18">
        <f t="shared" si="712"/>
        <v>0.28986150568181818</v>
      </c>
      <c r="AB292" s="19">
        <f t="shared" si="712"/>
        <v>0.26345788473717541</v>
      </c>
      <c r="AC292" s="19">
        <f t="shared" si="712"/>
        <v>0.28721638074156058</v>
      </c>
      <c r="AD292" s="19">
        <f t="shared" si="712"/>
        <v>0.30736392742796159</v>
      </c>
      <c r="AE292" s="19">
        <f t="shared" si="712"/>
        <v>0.29946236559139783</v>
      </c>
      <c r="AF292" s="18">
        <f t="shared" si="712"/>
        <v>0.29044943820224717</v>
      </c>
      <c r="AG292" s="19">
        <f t="shared" si="712"/>
        <v>0.25547445255474455</v>
      </c>
      <c r="AH292" s="19">
        <f t="shared" si="712"/>
        <v>0.2624760076775432</v>
      </c>
      <c r="AI292" s="19">
        <f t="shared" si="712"/>
        <v>0.30550373134328357</v>
      </c>
      <c r="AJ292" s="19">
        <f t="shared" si="712"/>
        <v>0.28592092574734812</v>
      </c>
      <c r="AK292" s="18">
        <f t="shared" si="712"/>
        <v>0.27836199430904368</v>
      </c>
      <c r="AL292" s="19">
        <f t="shared" si="712"/>
        <v>0.25311410064773293</v>
      </c>
      <c r="AM292" s="19">
        <f t="shared" si="712"/>
        <v>0.27725321888412019</v>
      </c>
      <c r="AN292" s="312">
        <f>AN185</f>
        <v>0.31550373134328358</v>
      </c>
      <c r="AO292" s="312">
        <f>AO185</f>
        <v>0.31552092574734814</v>
      </c>
      <c r="AP292" s="219">
        <f>AP308/AP287</f>
        <v>0.29140633432061119</v>
      </c>
      <c r="AQ292" s="312">
        <f t="shared" ref="AQ292:AZ292" si="713">AQ185</f>
        <v>0.26111410064773294</v>
      </c>
      <c r="AR292" s="312">
        <f t="shared" si="713"/>
        <v>0.27925321888412019</v>
      </c>
      <c r="AS292" s="312">
        <f t="shared" si="713"/>
        <v>0.31150373134328357</v>
      </c>
      <c r="AT292" s="312">
        <f t="shared" si="713"/>
        <v>0.31152092574734813</v>
      </c>
      <c r="AU292" s="219">
        <f t="shared" si="713"/>
        <v>0.32821199430904369</v>
      </c>
      <c r="AV292" s="312">
        <f t="shared" si="713"/>
        <v>0.25711410064773293</v>
      </c>
      <c r="AW292" s="312">
        <f t="shared" si="713"/>
        <v>0.27525321888412019</v>
      </c>
      <c r="AX292" s="312">
        <f t="shared" si="713"/>
        <v>0.30750373134328357</v>
      </c>
      <c r="AY292" s="312">
        <f t="shared" si="713"/>
        <v>0.30752092574734813</v>
      </c>
      <c r="AZ292" s="219">
        <f t="shared" si="713"/>
        <v>0.32421199430904368</v>
      </c>
    </row>
    <row r="293" spans="2:54" s="9" customFormat="1" hidden="1" outlineLevel="1">
      <c r="B293" s="515" t="s">
        <v>855</v>
      </c>
      <c r="C293" s="250"/>
      <c r="D293" s="250"/>
      <c r="E293" s="63"/>
      <c r="F293" s="63"/>
      <c r="G293" s="63"/>
      <c r="H293" s="60"/>
      <c r="I293" s="60"/>
      <c r="J293" s="60"/>
      <c r="K293" s="60"/>
      <c r="L293" s="63"/>
      <c r="M293" s="60"/>
      <c r="N293" s="60"/>
      <c r="O293" s="60"/>
      <c r="P293" s="60"/>
      <c r="Q293" s="36"/>
      <c r="R293" s="203"/>
      <c r="S293" s="203"/>
      <c r="T293" s="203">
        <f t="shared" ref="T293" si="714">(T292-O292)*10000</f>
        <v>457.09608078384366</v>
      </c>
      <c r="U293" s="203">
        <f t="shared" ref="U293" si="715">(U292-P292)*10000</f>
        <v>198.00298838695994</v>
      </c>
      <c r="V293" s="36">
        <f t="shared" ref="V293" si="716">(V292-Q292)*10000</f>
        <v>317.68759172377702</v>
      </c>
      <c r="W293" s="203">
        <f t="shared" ref="W293" si="717">(W292-R292)*10000</f>
        <v>83.265274785064292</v>
      </c>
      <c r="X293" s="203">
        <f t="shared" ref="X293" si="718">(X292-S292)*10000</f>
        <v>289.79265238408823</v>
      </c>
      <c r="Y293" s="203">
        <f t="shared" ref="Y293" si="719">(Y292-T292)*10000</f>
        <v>488.26254760165222</v>
      </c>
      <c r="Z293" s="203">
        <f t="shared" ref="Z293" si="720">(Z292-U292)*10000</f>
        <v>-131.72329306050224</v>
      </c>
      <c r="AA293" s="36">
        <f t="shared" ref="AA293" si="721">(AA292-V292)*10000</f>
        <v>190.83867688422961</v>
      </c>
      <c r="AB293" s="203">
        <f t="shared" ref="AB293" si="722">(AB292-W292)*10000</f>
        <v>35.54185897166662</v>
      </c>
      <c r="AC293" s="203">
        <f t="shared" ref="AC293" si="723">(AC292-X292)*10000</f>
        <v>15.69457363155724</v>
      </c>
      <c r="AD293" s="203">
        <f t="shared" ref="AD293" si="724">(AD292-Y292)*10000</f>
        <v>-56.282441488403336</v>
      </c>
      <c r="AE293" s="203">
        <f t="shared" ref="AE293" si="725">(AE292-Z292)*10000</f>
        <v>28.845377635700054</v>
      </c>
      <c r="AF293" s="36">
        <f t="shared" ref="AF293" si="726">(AF292-AA292)*10000</f>
        <v>5.8793252042899091</v>
      </c>
      <c r="AG293" s="203">
        <f t="shared" ref="AG293" si="727">(AG292-AB292)*10000</f>
        <v>-79.834321824308603</v>
      </c>
      <c r="AH293" s="203">
        <f t="shared" ref="AH293" si="728">(AH292-AC292)*10000</f>
        <v>-247.40373064017385</v>
      </c>
      <c r="AI293" s="203">
        <f t="shared" ref="AI293" si="729">(AI292-AD292)*10000</f>
        <v>-18.60196084678023</v>
      </c>
      <c r="AJ293" s="203">
        <f t="shared" ref="AJ293" si="730">(AJ292-AE292)*10000</f>
        <v>-135.41439844049708</v>
      </c>
      <c r="AK293" s="36">
        <f t="shared" ref="AK293" si="731">(AK292-AF292)*10000</f>
        <v>-120.87443893203486</v>
      </c>
      <c r="AL293" s="35">
        <f>(AL292-AG292)*10000</f>
        <v>-23.603519070116153</v>
      </c>
      <c r="AM293" s="35">
        <f>(AM292-AH292)*10000</f>
        <v>147.7721120657699</v>
      </c>
      <c r="AN293" s="554">
        <f t="shared" ref="AN293" si="732">(AN292-AI292)*10000</f>
        <v>100.00000000000009</v>
      </c>
      <c r="AO293" s="554">
        <f t="shared" ref="AO293" si="733">(AO292-AJ292)*10000</f>
        <v>296.00000000000017</v>
      </c>
      <c r="AP293" s="205">
        <f>(AP292-AK292)*10000</f>
        <v>130.44340011567513</v>
      </c>
      <c r="AQ293" s="554">
        <f t="shared" ref="AQ293" si="734">(AQ292-AL292)*10000</f>
        <v>80.000000000000071</v>
      </c>
      <c r="AR293" s="554">
        <f t="shared" ref="AR293" si="735">(AR292-AM292)*10000</f>
        <v>20.000000000000018</v>
      </c>
      <c r="AS293" s="554">
        <f t="shared" ref="AS293" si="736">(AS292-AN292)*10000</f>
        <v>-40.000000000000036</v>
      </c>
      <c r="AT293" s="554">
        <f t="shared" ref="AT293" si="737">(AT292-AO292)*10000</f>
        <v>-40.000000000000036</v>
      </c>
      <c r="AU293" s="205">
        <f t="shared" ref="AU293" si="738">(AU292-AP292)*10000</f>
        <v>368.05659988432495</v>
      </c>
      <c r="AV293" s="554">
        <f t="shared" ref="AV293" si="739">(AV292-AQ292)*10000</f>
        <v>-40.000000000000036</v>
      </c>
      <c r="AW293" s="554">
        <f t="shared" ref="AW293" si="740">(AW292-AR292)*10000</f>
        <v>-40.000000000000036</v>
      </c>
      <c r="AX293" s="554">
        <f t="shared" ref="AX293" si="741">(AX292-AS292)*10000</f>
        <v>-40.000000000000036</v>
      </c>
      <c r="AY293" s="554">
        <f t="shared" ref="AY293" si="742">(AY292-AT292)*10000</f>
        <v>-40.000000000000036</v>
      </c>
      <c r="AZ293" s="205">
        <f t="shared" ref="AZ293" si="743">(AZ292-AU292)*10000</f>
        <v>-40.000000000000036</v>
      </c>
      <c r="BB293" s="517"/>
    </row>
    <row r="294" spans="2:54" s="9" customFormat="1" hidden="1" outlineLevel="1">
      <c r="B294" s="515" t="s">
        <v>884</v>
      </c>
      <c r="C294" s="6" t="s">
        <v>885</v>
      </c>
      <c r="D294" s="250"/>
      <c r="E294" s="63"/>
      <c r="F294" s="63"/>
      <c r="G294" s="63"/>
      <c r="H294" s="60"/>
      <c r="I294" s="60"/>
      <c r="J294" s="60"/>
      <c r="K294" s="60"/>
      <c r="L294" s="63"/>
      <c r="M294" s="60"/>
      <c r="N294" s="60"/>
      <c r="O294" s="60"/>
      <c r="P294" s="60"/>
      <c r="Q294" s="36"/>
      <c r="R294" s="203"/>
      <c r="S294" s="203"/>
      <c r="T294" s="203"/>
      <c r="U294" s="203"/>
      <c r="V294" s="36"/>
      <c r="W294" s="203"/>
      <c r="X294" s="203"/>
      <c r="Y294" s="203"/>
      <c r="Z294" s="203"/>
      <c r="AA294" s="36"/>
      <c r="AB294" s="203"/>
      <c r="AC294" s="203"/>
      <c r="AD294" s="203"/>
      <c r="AE294" s="203"/>
      <c r="AF294" s="36"/>
      <c r="AG294" s="203"/>
      <c r="AH294" s="203"/>
      <c r="AI294" s="203"/>
      <c r="AJ294" s="203"/>
      <c r="AK294" s="36"/>
      <c r="AL294" s="35"/>
      <c r="AM294" s="35"/>
      <c r="AN294" s="311" cm="1">
        <f t="array" ref="AN294">_xll.VAData("KDP_US", AN$4, $C294, "Consensus", "CD", "IMPL","","")/100</f>
        <v>0.30370810284547406</v>
      </c>
      <c r="AO294" s="312" cm="1">
        <f t="array" ref="AO294">_xll.VAData("KDP_US", AO$4, $C294, "Consensus", "CD", "IMPL","","")/100</f>
        <v>0.29433003566160942</v>
      </c>
      <c r="AP294" s="219" cm="1">
        <f t="array" ref="AP294">_xll.VAData("KDP_US", AP$4, $C294, "Consensus", "CD", "IMPL","","")/100</f>
        <v>0.28276640814091358</v>
      </c>
      <c r="AQ294" s="312" cm="1">
        <f t="array" ref="AQ294">_xll.VAData("KDP_US", AQ$4, $C294, "Consensus", "CD", "IMPL","","")/100</f>
        <v>0.25624086041907107</v>
      </c>
      <c r="AR294" s="312" cm="1">
        <f t="array" ref="AR294">_xll.VAData("KDP_US", AR$4, $C294, "Consensus", "CD", "IMPL","","")/100</f>
        <v>0.27835847346009296</v>
      </c>
      <c r="AS294" s="312" cm="1">
        <f t="array" ref="AS294">_xll.VAData("KDP_US", AS$4, $C294, "Consensus", "CD", "IMPL","","")/100</f>
        <v>0.30793589160672985</v>
      </c>
      <c r="AT294" s="312" cm="1">
        <f t="array" ref="AT294">_xll.VAData("KDP_US", AT$4, $C294, "Consensus", "CD", "IMPL","","")/100</f>
        <v>0.29798667658803812</v>
      </c>
      <c r="AU294" s="219" cm="1">
        <f t="array" ref="AU294">_xll.VAData("KDP_US", AU$4, $C294, "Consensus", "CD", "IMPL","","")/100</f>
        <v>0.28576389442273908</v>
      </c>
      <c r="AV294" s="312" cm="1">
        <f t="array" ref="AV294">_xll.VAData("KDP_US", AV$4, $C294, "Consensus", "CD", "IMPL","","")/100</f>
        <v>0.26231410064773297</v>
      </c>
      <c r="AW294" s="312" cm="1">
        <f t="array" ref="AW294">_xll.VAData("KDP_US", AW$4, $C294, "Consensus", "CD", "IMPL","","")/100</f>
        <v>0.28495321888412006</v>
      </c>
      <c r="AX294" s="312" cm="1">
        <f t="array" ref="AX294">_xll.VAData("KDP_US", AX$4, $C294, "Consensus", "CD", "IMPL","","")/100</f>
        <v>0.31320373134328394</v>
      </c>
      <c r="AY294" s="312" cm="1">
        <f t="array" ref="AY294">_xll.VAData("KDP_US", AY$4, $C294, "Consensus", "CD", "IMPL","","")/100</f>
        <v>0.30492092574734803</v>
      </c>
      <c r="AZ294" s="219" cm="1">
        <f t="array" ref="AZ294">_xll.VAData("KDP_US", AZ$4, $C294, "Consensus", "CD", "IMPL","","")/100</f>
        <v>0.28936920878600808</v>
      </c>
      <c r="BB294" s="517"/>
    </row>
    <row r="295" spans="2:54" collapsed="1">
      <c r="B295" s="5" t="s">
        <v>740</v>
      </c>
      <c r="C295" s="6" t="s">
        <v>898</v>
      </c>
      <c r="D295" s="6"/>
      <c r="E295" s="18"/>
      <c r="F295" s="18"/>
      <c r="G295" s="18"/>
      <c r="H295" s="19"/>
      <c r="I295" s="19"/>
      <c r="J295" s="19"/>
      <c r="K295" s="19"/>
      <c r="L295" s="18"/>
      <c r="M295" s="19"/>
      <c r="N295" s="19"/>
      <c r="O295" s="19">
        <f t="shared" ref="O295:AM295" si="744">O309/O288</f>
        <v>0.38605092868658764</v>
      </c>
      <c r="P295" s="19">
        <f t="shared" si="744"/>
        <v>0.30144649564452969</v>
      </c>
      <c r="Q295" s="18">
        <f t="shared" si="744"/>
        <v>0.34558116923494364</v>
      </c>
      <c r="R295" s="19">
        <f t="shared" si="744"/>
        <v>0.37021910436286753</v>
      </c>
      <c r="S295" s="19">
        <f t="shared" si="744"/>
        <v>0.35766972046041817</v>
      </c>
      <c r="T295" s="19">
        <f t="shared" si="744"/>
        <v>0.36864286494158749</v>
      </c>
      <c r="U295" s="19">
        <f t="shared" si="744"/>
        <v>0.32711896982510097</v>
      </c>
      <c r="V295" s="18">
        <f t="shared" si="744"/>
        <v>0.35456738032842722</v>
      </c>
      <c r="W295" s="19">
        <f t="shared" si="744"/>
        <v>0.38151007433256057</v>
      </c>
      <c r="X295" s="19">
        <f t="shared" si="744"/>
        <v>0.37231599366764034</v>
      </c>
      <c r="Y295" s="19">
        <f t="shared" si="744"/>
        <v>0.36374043374106979</v>
      </c>
      <c r="Z295" s="19">
        <f t="shared" si="744"/>
        <v>0.34929527836504581</v>
      </c>
      <c r="AA295" s="18">
        <f t="shared" si="744"/>
        <v>0.36535707353411784</v>
      </c>
      <c r="AB295" s="19">
        <f t="shared" si="744"/>
        <v>0.38916750250752258</v>
      </c>
      <c r="AC295" s="19">
        <f t="shared" si="744"/>
        <v>0.38219895287958117</v>
      </c>
      <c r="AD295" s="19">
        <f t="shared" si="744"/>
        <v>0.3652694610778443</v>
      </c>
      <c r="AE295" s="19">
        <f t="shared" si="744"/>
        <v>0.32863436123348017</v>
      </c>
      <c r="AF295" s="18">
        <f t="shared" si="744"/>
        <v>0.36488138909268769</v>
      </c>
      <c r="AG295" s="19">
        <f t="shared" si="744"/>
        <v>0.31919406150583246</v>
      </c>
      <c r="AH295" s="19">
        <f t="shared" si="744"/>
        <v>0.33236151603498543</v>
      </c>
      <c r="AI295" s="19">
        <f t="shared" si="744"/>
        <v>0.30143540669856461</v>
      </c>
      <c r="AJ295" s="19">
        <f t="shared" si="744"/>
        <v>0.33852140077821014</v>
      </c>
      <c r="AK295" s="18">
        <f t="shared" si="744"/>
        <v>0.32380288238028826</v>
      </c>
      <c r="AL295" s="19">
        <f t="shared" si="744"/>
        <v>0.30612244897959184</v>
      </c>
      <c r="AM295" s="19">
        <f t="shared" si="744"/>
        <v>0.30103092783505153</v>
      </c>
      <c r="AN295" s="243">
        <f>AN204</f>
        <v>0.3077622622801936</v>
      </c>
      <c r="AO295" s="243">
        <f>AO204</f>
        <v>0.32482622336797518</v>
      </c>
      <c r="AP295" s="237">
        <f>AP309/AP288</f>
        <v>0.31085238392767467</v>
      </c>
      <c r="AQ295" s="243">
        <f t="shared" ref="AQ295:AZ295" si="745">AQ204</f>
        <v>0.28718064558354539</v>
      </c>
      <c r="AR295" s="243">
        <f t="shared" si="745"/>
        <v>0.29163061286160158</v>
      </c>
      <c r="AS295" s="243">
        <f t="shared" si="745"/>
        <v>0.29680766440760803</v>
      </c>
      <c r="AT295" s="243">
        <f t="shared" si="745"/>
        <v>0.31458695682735582</v>
      </c>
      <c r="AU295" s="237">
        <f t="shared" si="745"/>
        <v>0.29874325465140888</v>
      </c>
      <c r="AV295" s="243">
        <f t="shared" si="745"/>
        <v>0.27441640275512436</v>
      </c>
      <c r="AW295" s="243">
        <f t="shared" si="745"/>
        <v>0.27891880088049809</v>
      </c>
      <c r="AX295" s="243">
        <f t="shared" si="745"/>
        <v>0.28446264993226789</v>
      </c>
      <c r="AY295" s="243">
        <f t="shared" si="745"/>
        <v>0.30229487177721259</v>
      </c>
      <c r="AZ295" s="237">
        <f t="shared" si="745"/>
        <v>0.2862366972676858</v>
      </c>
    </row>
    <row r="296" spans="2:54" s="9" customFormat="1" hidden="1" outlineLevel="1">
      <c r="B296" s="515" t="s">
        <v>855</v>
      </c>
      <c r="C296" s="250"/>
      <c r="D296" s="250"/>
      <c r="E296" s="63"/>
      <c r="F296" s="63"/>
      <c r="G296" s="63"/>
      <c r="H296" s="60"/>
      <c r="I296" s="60"/>
      <c r="J296" s="60"/>
      <c r="K296" s="60"/>
      <c r="L296" s="63"/>
      <c r="M296" s="60"/>
      <c r="N296" s="60"/>
      <c r="O296" s="60"/>
      <c r="P296" s="60"/>
      <c r="Q296" s="36"/>
      <c r="R296" s="203"/>
      <c r="S296" s="203"/>
      <c r="T296" s="203">
        <f t="shared" ref="T296" si="746">(T295-O295)*10000</f>
        <v>-174.08063745000146</v>
      </c>
      <c r="U296" s="203">
        <f t="shared" ref="U296" si="747">(U295-P295)*10000</f>
        <v>256.72474180571282</v>
      </c>
      <c r="V296" s="36">
        <f t="shared" ref="V296" si="748">(V295-Q295)*10000</f>
        <v>89.862110934835755</v>
      </c>
      <c r="W296" s="203">
        <f t="shared" ref="W296" si="749">(W295-R295)*10000</f>
        <v>112.90969969693032</v>
      </c>
      <c r="X296" s="203">
        <f t="shared" ref="X296" si="750">(X295-S295)*10000</f>
        <v>146.46273207222171</v>
      </c>
      <c r="Y296" s="203">
        <f t="shared" ref="Y296" si="751">(Y295-T295)*10000</f>
        <v>-49.024312005176981</v>
      </c>
      <c r="Z296" s="203">
        <f t="shared" ref="Z296" si="752">(Z295-U295)*10000</f>
        <v>221.76308539944844</v>
      </c>
      <c r="AA296" s="36">
        <f t="shared" ref="AA296" si="753">(AA295-V295)*10000</f>
        <v>107.89693205690621</v>
      </c>
      <c r="AB296" s="203">
        <f t="shared" ref="AB296" si="754">(AB295-W295)*10000</f>
        <v>76.574281749620113</v>
      </c>
      <c r="AC296" s="203">
        <f t="shared" ref="AC296" si="755">(AC295-X295)*10000</f>
        <v>98.829592119408233</v>
      </c>
      <c r="AD296" s="203">
        <f t="shared" ref="AD296" si="756">(AD295-Y295)*10000</f>
        <v>15.290273367745133</v>
      </c>
      <c r="AE296" s="203">
        <f t="shared" ref="AE296" si="757">(AE295-Z295)*10000</f>
        <v>-206.60917131565648</v>
      </c>
      <c r="AF296" s="36">
        <f t="shared" ref="AF296" si="758">(AF295-AA295)*10000</f>
        <v>-4.7568444143014643</v>
      </c>
      <c r="AG296" s="203">
        <f t="shared" ref="AG296" si="759">(AG295-AB295)*10000</f>
        <v>-699.73441001690117</v>
      </c>
      <c r="AH296" s="203">
        <f t="shared" ref="AH296" si="760">(AH295-AC295)*10000</f>
        <v>-498.37436844595737</v>
      </c>
      <c r="AI296" s="203">
        <f t="shared" ref="AI296" si="761">(AI295-AD295)*10000</f>
        <v>-638.34054379279689</v>
      </c>
      <c r="AJ296" s="203">
        <f t="shared" ref="AJ296" si="762">(AJ295-AE295)*10000</f>
        <v>98.8703954472997</v>
      </c>
      <c r="AK296" s="36">
        <f t="shared" ref="AK296" si="763">(AK295-AF295)*10000</f>
        <v>-410.78506712399434</v>
      </c>
      <c r="AL296" s="35">
        <f>(AL295-AG295)*10000</f>
        <v>-130.71612526240617</v>
      </c>
      <c r="AM296" s="35">
        <f>(AM295-AH295)*10000</f>
        <v>-313.30588199933896</v>
      </c>
      <c r="AN296" s="554">
        <f t="shared" ref="AN296:AZ296" si="764">(AN295-AI295)*10000</f>
        <v>63.268555816289876</v>
      </c>
      <c r="AO296" s="554">
        <f t="shared" si="764"/>
        <v>-136.95177410234959</v>
      </c>
      <c r="AP296" s="205">
        <f>(AP295-AK295)*10000</f>
        <v>-129.5049845261359</v>
      </c>
      <c r="AQ296" s="554">
        <f t="shared" si="764"/>
        <v>-189.41803396046453</v>
      </c>
      <c r="AR296" s="554">
        <f t="shared" si="764"/>
        <v>-94.00314973449953</v>
      </c>
      <c r="AS296" s="554">
        <f t="shared" si="764"/>
        <v>-109.54597872585569</v>
      </c>
      <c r="AT296" s="554">
        <f t="shared" si="764"/>
        <v>-102.39266540619352</v>
      </c>
      <c r="AU296" s="205">
        <f t="shared" si="764"/>
        <v>-121.09129276265784</v>
      </c>
      <c r="AV296" s="554">
        <f t="shared" si="764"/>
        <v>-127.64242828421035</v>
      </c>
      <c r="AW296" s="554">
        <f t="shared" si="764"/>
        <v>-127.11811981103493</v>
      </c>
      <c r="AX296" s="554">
        <f t="shared" si="764"/>
        <v>-123.45014475340143</v>
      </c>
      <c r="AY296" s="554">
        <f t="shared" si="764"/>
        <v>-122.92085050143231</v>
      </c>
      <c r="AZ296" s="205">
        <f t="shared" si="764"/>
        <v>-125.06557383723083</v>
      </c>
      <c r="BB296" s="517"/>
    </row>
    <row r="297" spans="2:54" s="9" customFormat="1" hidden="1" outlineLevel="1">
      <c r="B297" s="515" t="s">
        <v>884</v>
      </c>
      <c r="C297" s="6" t="s">
        <v>886</v>
      </c>
      <c r="D297" s="250"/>
      <c r="E297" s="63"/>
      <c r="F297" s="63"/>
      <c r="G297" s="63"/>
      <c r="H297" s="60"/>
      <c r="I297" s="60"/>
      <c r="J297" s="60"/>
      <c r="K297" s="60"/>
      <c r="L297" s="63"/>
      <c r="M297" s="60"/>
      <c r="N297" s="60"/>
      <c r="O297" s="60"/>
      <c r="P297" s="60"/>
      <c r="Q297" s="36"/>
      <c r="R297" s="203"/>
      <c r="S297" s="203"/>
      <c r="T297" s="203"/>
      <c r="U297" s="203"/>
      <c r="V297" s="36"/>
      <c r="W297" s="203"/>
      <c r="X297" s="203"/>
      <c r="Y297" s="203"/>
      <c r="Z297" s="203"/>
      <c r="AA297" s="36"/>
      <c r="AB297" s="203"/>
      <c r="AC297" s="203"/>
      <c r="AD297" s="203"/>
      <c r="AE297" s="203"/>
      <c r="AF297" s="36"/>
      <c r="AG297" s="203"/>
      <c r="AH297" s="203"/>
      <c r="AI297" s="203"/>
      <c r="AJ297" s="203"/>
      <c r="AK297" s="36"/>
      <c r="AL297" s="35"/>
      <c r="AM297" s="35"/>
      <c r="AN297" s="311" cm="1">
        <f t="array" ref="AN297">_xll.VAData("KDP_US", AN$4, $C297, "Consensus", "CD", "IMPL","","")/100</f>
        <v>0.31282792470687232</v>
      </c>
      <c r="AO297" s="312" cm="1">
        <f t="array" ref="AO297">_xll.VAData("KDP_US", AO$4, $C297, "Consensus", "CD", "IMPL","","")/100</f>
        <v>0.37462014009940786</v>
      </c>
      <c r="AP297" s="219" cm="1">
        <f t="array" ref="AP297">_xll.VAData("KDP_US", AP$4, $C297, "Consensus", "CD", "IMPL","","")/100</f>
        <v>0.32780714835851482</v>
      </c>
      <c r="AQ297" s="312" cm="1">
        <f t="array" ref="AQ297">_xll.VAData("KDP_US", AQ$4, $C297, "Consensus", "CD", "IMPL","","")/100</f>
        <v>0.31808922452069516</v>
      </c>
      <c r="AR297" s="312" cm="1">
        <f t="array" ref="AR297">_xll.VAData("KDP_US", AR$4, $C297, "Consensus", "CD", "IMPL","","")/100</f>
        <v>0.3124111929307809</v>
      </c>
      <c r="AS297" s="312" cm="1">
        <f t="array" ref="AS297">_xll.VAData("KDP_US", AS$4, $C297, "Consensus", "CD", "IMPL","","")/100</f>
        <v>0.31872683996165802</v>
      </c>
      <c r="AT297" s="312" cm="1">
        <f t="array" ref="AT297">_xll.VAData("KDP_US", AT$4, $C297, "Consensus", "CD", "IMPL","","")/100</f>
        <v>0.37683851141680647</v>
      </c>
      <c r="AU297" s="219" cm="1">
        <f t="array" ref="AU297">_xll.VAData("KDP_US", AU$4, $C297, "Consensus", "CD", "IMPL","","")/100</f>
        <v>0.33504579902918247</v>
      </c>
      <c r="AV297" s="312" cm="1">
        <f t="array" ref="AV297">_xll.VAData("KDP_US", AV$4, $C297, "Consensus", "CD", "IMPL","","")/100</f>
        <v>0.32382244897959195</v>
      </c>
      <c r="AW297" s="312" cm="1">
        <f t="array" ref="AW297">_xll.VAData("KDP_US", AW$4, $C297, "Consensus", "CD", "IMPL","","")/100</f>
        <v>0.31793092783505189</v>
      </c>
      <c r="AX297" s="312" cm="1">
        <f t="array" ref="AX297">_xll.VAData("KDP_US", AX$4, $C297, "Consensus", "CD", "IMPL","","")/100</f>
        <v>0.32713540669856495</v>
      </c>
      <c r="AY297" s="312" cm="1">
        <f t="array" ref="AY297">_xll.VAData("KDP_US", AY$4, $C297, "Consensus", "CD", "IMPL","","")/100</f>
        <v>0.38592140077821002</v>
      </c>
      <c r="AZ297" s="219" cm="1">
        <f t="array" ref="AZ297">_xll.VAData("KDP_US", AZ$4, $C297, "Consensus", "CD", "IMPL","","")/100</f>
        <v>0.34107935879510159</v>
      </c>
      <c r="BB297" s="517"/>
    </row>
    <row r="298" spans="2:54" collapsed="1">
      <c r="B298" s="5" t="s">
        <v>52</v>
      </c>
      <c r="C298" s="6"/>
      <c r="D298" s="6"/>
      <c r="E298" s="18"/>
      <c r="F298" s="18"/>
      <c r="G298" s="18"/>
      <c r="H298" s="19"/>
      <c r="I298" s="19"/>
      <c r="J298" s="19"/>
      <c r="K298" s="19"/>
      <c r="L298" s="18"/>
      <c r="M298" s="19"/>
      <c r="N298" s="19"/>
      <c r="O298" s="19">
        <f t="shared" ref="O298:AM298" si="765">O310/O289</f>
        <v>0.21650956869465862</v>
      </c>
      <c r="P298" s="19">
        <f t="shared" si="765"/>
        <v>0.193653376729048</v>
      </c>
      <c r="Q298" s="18">
        <f t="shared" si="765"/>
        <v>6.13313388182498E-2</v>
      </c>
      <c r="R298" s="19">
        <f t="shared" si="765"/>
        <v>0.18438635184224178</v>
      </c>
      <c r="S298" s="19">
        <f t="shared" si="765"/>
        <v>0.19686310690808437</v>
      </c>
      <c r="T298" s="19">
        <f t="shared" si="765"/>
        <v>0.21654700661428006</v>
      </c>
      <c r="U298" s="19">
        <f t="shared" si="765"/>
        <v>0.21718937821003165</v>
      </c>
      <c r="V298" s="18">
        <f t="shared" si="765"/>
        <v>0.20454115696228306</v>
      </c>
      <c r="W298" s="19">
        <f t="shared" si="765"/>
        <v>0.2379830648755332</v>
      </c>
      <c r="X298" s="19">
        <f t="shared" si="765"/>
        <v>0.22927019098365561</v>
      </c>
      <c r="Y298" s="19">
        <f t="shared" si="765"/>
        <v>0.23828460262058707</v>
      </c>
      <c r="Z298" s="19">
        <f t="shared" si="765"/>
        <v>0.23859060402684559</v>
      </c>
      <c r="AA298" s="18">
        <f t="shared" si="765"/>
        <v>0.23612775603910072</v>
      </c>
      <c r="AB298" s="19">
        <f t="shared" si="765"/>
        <v>0.24539877300613497</v>
      </c>
      <c r="AC298" s="19">
        <f t="shared" si="765"/>
        <v>0.2724867724867725</v>
      </c>
      <c r="AD298" s="19">
        <f t="shared" si="765"/>
        <v>0.28877005347593582</v>
      </c>
      <c r="AE298" s="19">
        <f t="shared" si="765"/>
        <v>0.27020202020202022</v>
      </c>
      <c r="AF298" s="18">
        <f t="shared" si="765"/>
        <v>0.2700135685210312</v>
      </c>
      <c r="AG298" s="19">
        <f t="shared" si="765"/>
        <v>0.20056497175141244</v>
      </c>
      <c r="AH298" s="19">
        <f t="shared" si="765"/>
        <v>0.23582766439909297</v>
      </c>
      <c r="AI298" s="19">
        <f t="shared" si="765"/>
        <v>0.24018475750577367</v>
      </c>
      <c r="AJ298" s="19">
        <f t="shared" si="765"/>
        <v>0.27252252252252251</v>
      </c>
      <c r="AK298" s="18">
        <f t="shared" si="765"/>
        <v>0.23923444976076555</v>
      </c>
      <c r="AL298" s="19">
        <f t="shared" si="765"/>
        <v>0.20240963855421687</v>
      </c>
      <c r="AM298" s="19">
        <f t="shared" si="765"/>
        <v>0.23721881390593047</v>
      </c>
      <c r="AN298" s="312">
        <f>AN299/10000+AI298</f>
        <v>0.24018475750577367</v>
      </c>
      <c r="AO298" s="312">
        <f t="shared" ref="AO298:AZ298" si="766">AO299/10000+AJ298</f>
        <v>0.27252252252252251</v>
      </c>
      <c r="AP298" s="219">
        <f t="shared" si="766"/>
        <v>0.23923444976076555</v>
      </c>
      <c r="AQ298" s="312">
        <f t="shared" si="766"/>
        <v>0.20240963855421687</v>
      </c>
      <c r="AR298" s="312">
        <f t="shared" si="766"/>
        <v>0.23721881390593047</v>
      </c>
      <c r="AS298" s="312">
        <f t="shared" si="766"/>
        <v>0.24018475750577367</v>
      </c>
      <c r="AT298" s="312">
        <f t="shared" si="766"/>
        <v>0.27252252252252251</v>
      </c>
      <c r="AU298" s="219">
        <f t="shared" si="766"/>
        <v>0.23923444976076555</v>
      </c>
      <c r="AV298" s="312">
        <f t="shared" si="766"/>
        <v>0.20240963855421687</v>
      </c>
      <c r="AW298" s="312">
        <f t="shared" si="766"/>
        <v>0.23721881390593047</v>
      </c>
      <c r="AX298" s="312">
        <f t="shared" si="766"/>
        <v>0.24018475750577367</v>
      </c>
      <c r="AY298" s="312">
        <f t="shared" si="766"/>
        <v>0.27252252252252251</v>
      </c>
      <c r="AZ298" s="219">
        <f t="shared" si="766"/>
        <v>0.23923444976076555</v>
      </c>
    </row>
    <row r="299" spans="2:54" s="9" customFormat="1" hidden="1" outlineLevel="1">
      <c r="B299" s="515" t="s">
        <v>855</v>
      </c>
      <c r="C299" s="250"/>
      <c r="D299" s="250"/>
      <c r="E299" s="63"/>
      <c r="F299" s="63"/>
      <c r="G299" s="63"/>
      <c r="H299" s="60"/>
      <c r="I299" s="60"/>
      <c r="J299" s="60"/>
      <c r="K299" s="60"/>
      <c r="L299" s="63"/>
      <c r="M299" s="60"/>
      <c r="N299" s="60"/>
      <c r="O299" s="60"/>
      <c r="P299" s="60"/>
      <c r="Q299" s="36"/>
      <c r="R299" s="203"/>
      <c r="S299" s="203"/>
      <c r="T299" s="203">
        <f t="shared" ref="T299" si="767">(T298-O298)*10000</f>
        <v>0.37437919621435833</v>
      </c>
      <c r="U299" s="203">
        <f t="shared" ref="U299" si="768">(U298-P298)*10000</f>
        <v>235.36001480983643</v>
      </c>
      <c r="V299" s="36">
        <f t="shared" ref="V299" si="769">(V298-Q298)*10000</f>
        <v>1432.0981814403328</v>
      </c>
      <c r="W299" s="203">
        <f t="shared" ref="W299" si="770">(W298-R298)*10000</f>
        <v>535.96713033291417</v>
      </c>
      <c r="X299" s="203">
        <f t="shared" ref="X299" si="771">(X298-S298)*10000</f>
        <v>324.07084075571248</v>
      </c>
      <c r="Y299" s="203">
        <f t="shared" ref="Y299" si="772">(Y298-T298)*10000</f>
        <v>217.3759600630701</v>
      </c>
      <c r="Z299" s="203">
        <f t="shared" ref="Z299" si="773">(Z298-U298)*10000</f>
        <v>214.01225816813945</v>
      </c>
      <c r="AA299" s="36">
        <f t="shared" ref="AA299" si="774">(AA298-V298)*10000</f>
        <v>315.86599076817657</v>
      </c>
      <c r="AB299" s="203">
        <f t="shared" ref="AB299" si="775">(AB298-W298)*10000</f>
        <v>74.15708130601773</v>
      </c>
      <c r="AC299" s="203">
        <f t="shared" ref="AC299" si="776">(AC298-X298)*10000</f>
        <v>432.16581503116885</v>
      </c>
      <c r="AD299" s="203">
        <f t="shared" ref="AD299" si="777">(AD298-Y298)*10000</f>
        <v>504.85450855348751</v>
      </c>
      <c r="AE299" s="203">
        <f t="shared" ref="AE299" si="778">(AE298-Z298)*10000</f>
        <v>316.11416175174628</v>
      </c>
      <c r="AF299" s="36">
        <f t="shared" ref="AF299" si="779">(AF298-AA298)*10000</f>
        <v>338.85812481930481</v>
      </c>
      <c r="AG299" s="203">
        <f t="shared" ref="AG299" si="780">(AG298-AB298)*10000</f>
        <v>-448.33801254722528</v>
      </c>
      <c r="AH299" s="203">
        <f t="shared" ref="AH299" si="781">(AH298-AC298)*10000</f>
        <v>-366.59108087679527</v>
      </c>
      <c r="AI299" s="203">
        <f t="shared" ref="AI299" si="782">(AI298-AD298)*10000</f>
        <v>-485.85295970162144</v>
      </c>
      <c r="AJ299" s="203">
        <f t="shared" ref="AJ299" si="783">(AJ298-AE298)*10000</f>
        <v>23.205023205022933</v>
      </c>
      <c r="AK299" s="36">
        <f t="shared" ref="AK299" si="784">(AK298-AF298)*10000</f>
        <v>-307.79118760265652</v>
      </c>
      <c r="AL299" s="35">
        <f>(AL298-AG298)*10000</f>
        <v>18.446668028044289</v>
      </c>
      <c r="AM299" s="35">
        <f>(AM298-AH298)*10000</f>
        <v>13.911495068374968</v>
      </c>
      <c r="AN299" s="559">
        <v>0</v>
      </c>
      <c r="AO299" s="556">
        <v>0</v>
      </c>
      <c r="AP299" s="560">
        <v>0</v>
      </c>
      <c r="AQ299" s="556">
        <v>0</v>
      </c>
      <c r="AR299" s="556">
        <v>0</v>
      </c>
      <c r="AS299" s="556">
        <v>0</v>
      </c>
      <c r="AT299" s="556">
        <v>0</v>
      </c>
      <c r="AU299" s="560">
        <v>0</v>
      </c>
      <c r="AV299" s="556">
        <v>0</v>
      </c>
      <c r="AW299" s="556">
        <v>0</v>
      </c>
      <c r="AX299" s="556">
        <v>0</v>
      </c>
      <c r="AY299" s="556">
        <v>0</v>
      </c>
      <c r="AZ299" s="560">
        <v>0</v>
      </c>
      <c r="BB299" s="517"/>
    </row>
    <row r="300" spans="2:54" s="9" customFormat="1" hidden="1" outlineLevel="1">
      <c r="B300" s="515" t="s">
        <v>884</v>
      </c>
      <c r="C300" s="6" t="s">
        <v>887</v>
      </c>
      <c r="D300" s="250"/>
      <c r="E300" s="63"/>
      <c r="F300" s="63"/>
      <c r="G300" s="63"/>
      <c r="H300" s="60"/>
      <c r="I300" s="60"/>
      <c r="J300" s="60"/>
      <c r="K300" s="60"/>
      <c r="L300" s="63"/>
      <c r="M300" s="60"/>
      <c r="N300" s="60"/>
      <c r="O300" s="60"/>
      <c r="P300" s="60"/>
      <c r="Q300" s="36"/>
      <c r="R300" s="203"/>
      <c r="S300" s="203"/>
      <c r="T300" s="203"/>
      <c r="U300" s="203"/>
      <c r="V300" s="36"/>
      <c r="W300" s="203"/>
      <c r="X300" s="203"/>
      <c r="Y300" s="203"/>
      <c r="Z300" s="203"/>
      <c r="AA300" s="36"/>
      <c r="AB300" s="203"/>
      <c r="AC300" s="203"/>
      <c r="AD300" s="203"/>
      <c r="AE300" s="203"/>
      <c r="AF300" s="36"/>
      <c r="AG300" s="203"/>
      <c r="AH300" s="203"/>
      <c r="AI300" s="203"/>
      <c r="AJ300" s="203"/>
      <c r="AK300" s="36"/>
      <c r="AL300" s="35"/>
      <c r="AM300" s="35"/>
      <c r="AN300" s="311" cm="1">
        <f t="array" ref="AN300">_xll.VAData("KDP_US", AN$4, $C300, "Consensus", "CD", "IMPL","","")/100</f>
        <v>0.24148157871802706</v>
      </c>
      <c r="AO300" s="312" cm="1">
        <f t="array" ref="AO300">_xll.VAData("KDP_US", AO$4, $C300, "Consensus", "CD", "IMPL","","")/100</f>
        <v>0.27673671596124444</v>
      </c>
      <c r="AP300" s="219" cm="1">
        <f t="array" ref="AP300">_xll.VAData("KDP_US", AP$4, $C300, "Consensus", "CD", "IMPL","","")/100</f>
        <v>0.24079704983218053</v>
      </c>
      <c r="AQ300" s="312" cm="1">
        <f t="array" ref="AQ300">_xll.VAData("KDP_US", AQ$4, $C300, "Consensus", "CD", "IMPL","","")/100</f>
        <v>0.20624448213292229</v>
      </c>
      <c r="AR300" s="312" cm="1">
        <f t="array" ref="AR300">_xll.VAData("KDP_US", AR$4, $C300, "Consensus", "CD", "IMPL","","")/100</f>
        <v>0.24165377565267693</v>
      </c>
      <c r="AS300" s="312" cm="1">
        <f t="array" ref="AS300">_xll.VAData("KDP_US", AS$4, $C300, "Consensus", "CD", "IMPL","","")/100</f>
        <v>0.24527539798842682</v>
      </c>
      <c r="AT300" s="312" cm="1">
        <f t="array" ref="AT300">_xll.VAData("KDP_US", AT$4, $C300, "Consensus", "CD", "IMPL","","")/100</f>
        <v>0.28009857373096414</v>
      </c>
      <c r="AU300" s="219" cm="1">
        <f t="array" ref="AU300">_xll.VAData("KDP_US", AU$4, $C300, "Consensus", "CD", "IMPL","","")/100</f>
        <v>0.24473680166957379</v>
      </c>
      <c r="AV300" s="312" cm="1">
        <f t="array" ref="AV300">_xll.VAData("KDP_US", AV$4, $C300, "Consensus", "CD", "IMPL","","")/100</f>
        <v>0.21230963855421695</v>
      </c>
      <c r="AW300" s="312" cm="1">
        <f t="array" ref="AW300">_xll.VAData("KDP_US", AW$4, $C300, "Consensus", "CD", "IMPL","","")/100</f>
        <v>0.2471188139059301</v>
      </c>
      <c r="AX300" s="312" cm="1">
        <f t="array" ref="AX300">_xll.VAData("KDP_US", AX$4, $C300, "Consensus", "CD", "IMPL","","")/100</f>
        <v>0.25178475750577395</v>
      </c>
      <c r="AY300" s="312" cm="1">
        <f t="array" ref="AY300">_xll.VAData("KDP_US", AY$4, $C300, "Consensus", "CD", "IMPL","","")/100</f>
        <v>0.28692252252252287</v>
      </c>
      <c r="AZ300" s="219" cm="1">
        <f t="array" ref="AZ300">_xll.VAData("KDP_US", AZ$4, $C300, "Consensus", "CD", "IMPL","","")/100</f>
        <v>0.24830145583273336</v>
      </c>
      <c r="BB300" s="517"/>
    </row>
    <row r="301" spans="2:54" collapsed="1">
      <c r="B301" s="5" t="s">
        <v>845</v>
      </c>
      <c r="C301" s="6"/>
      <c r="D301" s="6"/>
      <c r="E301" s="18"/>
      <c r="F301" s="18"/>
      <c r="G301" s="18"/>
      <c r="H301" s="19"/>
      <c r="I301" s="19"/>
      <c r="J301" s="19"/>
      <c r="K301" s="19"/>
      <c r="L301" s="18"/>
      <c r="M301" s="19"/>
      <c r="N301" s="19"/>
      <c r="O301" s="19">
        <f t="shared" ref="O301:AM301" si="785">O311/O290</f>
        <v>-2.7310924369747899E-2</v>
      </c>
      <c r="P301" s="19">
        <f t="shared" si="785"/>
        <v>-2.630643441166015E-2</v>
      </c>
      <c r="Q301" s="18">
        <f t="shared" si="785"/>
        <v>-3.1034482758620689E-2</v>
      </c>
      <c r="R301" s="19">
        <f t="shared" si="785"/>
        <v>-3.4744408945686894E-2</v>
      </c>
      <c r="S301" s="19">
        <f t="shared" si="785"/>
        <v>-3.0227596017069702E-2</v>
      </c>
      <c r="T301" s="19">
        <f t="shared" si="785"/>
        <v>-2.8919860627177701E-2</v>
      </c>
      <c r="U301" s="19">
        <f t="shared" si="785"/>
        <v>-2.7266530334014997E-2</v>
      </c>
      <c r="V301" s="18">
        <f t="shared" si="785"/>
        <v>-3.012589928057554E-2</v>
      </c>
      <c r="W301" s="19">
        <f t="shared" si="785"/>
        <v>-3.4443168771526984E-2</v>
      </c>
      <c r="X301" s="19">
        <f t="shared" si="785"/>
        <v>-3.5614525139664802E-2</v>
      </c>
      <c r="Y301" s="19">
        <f t="shared" si="785"/>
        <v>-3.0794701986754967E-2</v>
      </c>
      <c r="Z301" s="19">
        <f t="shared" si="785"/>
        <v>-3.3643063120794618E-2</v>
      </c>
      <c r="AA301" s="18">
        <f t="shared" si="785"/>
        <v>-3.3568600447581337E-2</v>
      </c>
      <c r="AB301" s="19">
        <f t="shared" si="785"/>
        <v>-4.9276361130254999E-2</v>
      </c>
      <c r="AC301" s="19">
        <f t="shared" si="785"/>
        <v>-4.7133757961783443E-2</v>
      </c>
      <c r="AD301" s="19">
        <f t="shared" si="785"/>
        <v>-3.6615384615384612E-2</v>
      </c>
      <c r="AE301" s="19">
        <f t="shared" si="785"/>
        <v>-3.7452079032733704E-2</v>
      </c>
      <c r="AF301" s="18">
        <f t="shared" si="785"/>
        <v>-4.2340140345344161E-2</v>
      </c>
      <c r="AG301" s="19">
        <f t="shared" si="785"/>
        <v>-3.0864197530864196E-2</v>
      </c>
      <c r="AH301" s="19">
        <f t="shared" si="785"/>
        <v>-4.5301069217782777E-2</v>
      </c>
      <c r="AI301" s="19">
        <f t="shared" si="785"/>
        <v>-3.5063500828271671E-2</v>
      </c>
      <c r="AJ301" s="19">
        <f t="shared" si="785"/>
        <v>-3.2079936891927424E-2</v>
      </c>
      <c r="AK301" s="18">
        <f t="shared" si="785"/>
        <v>-3.5925161841075623E-2</v>
      </c>
      <c r="AL301" s="19">
        <f t="shared" si="785"/>
        <v>-5.3086787951088579E-2</v>
      </c>
      <c r="AM301" s="19">
        <f t="shared" si="785"/>
        <v>-4.7769860121404065E-2</v>
      </c>
      <c r="AN301" s="312">
        <f>AN302/10000+AI301</f>
        <v>-3.5063500828271671E-2</v>
      </c>
      <c r="AO301" s="312">
        <f t="shared" ref="AO301" si="786">AO302/10000+AJ301</f>
        <v>-3.2079936891927424E-2</v>
      </c>
      <c r="AP301" s="219">
        <f t="shared" ref="AP301" si="787">AP302/10000+AK301</f>
        <v>-3.5925161841075623E-2</v>
      </c>
      <c r="AQ301" s="312">
        <f t="shared" ref="AQ301" si="788">AQ302/10000+AL301</f>
        <v>-5.3086787951088579E-2</v>
      </c>
      <c r="AR301" s="312">
        <f t="shared" ref="AR301" si="789">AR302/10000+AM301</f>
        <v>-4.7769860121404065E-2</v>
      </c>
      <c r="AS301" s="312">
        <f t="shared" ref="AS301" si="790">AS302/10000+AN301</f>
        <v>-3.5063500828271671E-2</v>
      </c>
      <c r="AT301" s="312">
        <f t="shared" ref="AT301" si="791">AT302/10000+AO301</f>
        <v>-3.2079936891927424E-2</v>
      </c>
      <c r="AU301" s="219">
        <f t="shared" ref="AU301" si="792">AU302/10000+AP301</f>
        <v>-3.5925161841075623E-2</v>
      </c>
      <c r="AV301" s="312">
        <f t="shared" ref="AV301" si="793">AV302/10000+AQ301</f>
        <v>-5.3086787951088579E-2</v>
      </c>
      <c r="AW301" s="312">
        <f t="shared" ref="AW301" si="794">AW302/10000+AR301</f>
        <v>-4.7769860121404065E-2</v>
      </c>
      <c r="AX301" s="312">
        <f t="shared" ref="AX301" si="795">AX302/10000+AS301</f>
        <v>-3.5063500828271671E-2</v>
      </c>
      <c r="AY301" s="312">
        <f t="shared" ref="AY301" si="796">AY302/10000+AT301</f>
        <v>-3.2079936891927424E-2</v>
      </c>
      <c r="AZ301" s="219">
        <f t="shared" ref="AZ301" si="797">AZ302/10000+AU301</f>
        <v>-3.5925161841075623E-2</v>
      </c>
    </row>
    <row r="302" spans="2:54" s="9" customFormat="1" hidden="1" outlineLevel="1">
      <c r="B302" s="515" t="s">
        <v>855</v>
      </c>
      <c r="C302" s="250"/>
      <c r="D302" s="250"/>
      <c r="E302" s="63"/>
      <c r="F302" s="63"/>
      <c r="G302" s="63"/>
      <c r="H302" s="60"/>
      <c r="I302" s="60"/>
      <c r="J302" s="60"/>
      <c r="K302" s="60"/>
      <c r="L302" s="63"/>
      <c r="M302" s="60"/>
      <c r="N302" s="60"/>
      <c r="O302" s="60"/>
      <c r="P302" s="60"/>
      <c r="Q302" s="36"/>
      <c r="R302" s="203"/>
      <c r="S302" s="203"/>
      <c r="T302" s="203">
        <f t="shared" ref="T302" si="798">(T301-O301)*10000</f>
        <v>-16.089362574298015</v>
      </c>
      <c r="U302" s="203">
        <f t="shared" ref="U302" si="799">(U301-P301)*10000</f>
        <v>-9.6009592235484629</v>
      </c>
      <c r="V302" s="36">
        <f t="shared" ref="V302" si="800">(V301-Q301)*10000</f>
        <v>9.0858347804514956</v>
      </c>
      <c r="W302" s="203">
        <f t="shared" ref="W302" si="801">(W301-R301)*10000</f>
        <v>3.0124017415990996</v>
      </c>
      <c r="X302" s="203">
        <f t="shared" ref="X302" si="802">(X301-S301)*10000</f>
        <v>-53.869291225950995</v>
      </c>
      <c r="Y302" s="203">
        <f t="shared" ref="Y302" si="803">(Y301-T301)*10000</f>
        <v>-18.748413595772657</v>
      </c>
      <c r="Z302" s="203">
        <f t="shared" ref="Z302" si="804">(Z301-U301)*10000</f>
        <v>-63.765327867796216</v>
      </c>
      <c r="AA302" s="36">
        <f t="shared" ref="AA302" si="805">(AA301-V301)*10000</f>
        <v>-34.427011670057972</v>
      </c>
      <c r="AB302" s="203">
        <f t="shared" ref="AB302" si="806">(AB301-W301)*10000</f>
        <v>-148.33192358728016</v>
      </c>
      <c r="AC302" s="203">
        <f t="shared" ref="AC302" si="807">(AC301-X301)*10000</f>
        <v>-115.19232822118641</v>
      </c>
      <c r="AD302" s="203">
        <f t="shared" ref="AD302" si="808">(AD301-Y301)*10000</f>
        <v>-58.206826286296454</v>
      </c>
      <c r="AE302" s="203">
        <f t="shared" ref="AE302" si="809">(AE301-Z301)*10000</f>
        <v>-38.090159119390854</v>
      </c>
      <c r="AF302" s="36">
        <f t="shared" ref="AF302" si="810">(AF301-AA301)*10000</f>
        <v>-87.71539897762824</v>
      </c>
      <c r="AG302" s="203">
        <f t="shared" ref="AG302" si="811">(AG301-AB301)*10000</f>
        <v>184.12163599390803</v>
      </c>
      <c r="AH302" s="203">
        <f t="shared" ref="AH302" si="812">(AH301-AC301)*10000</f>
        <v>18.326887440006658</v>
      </c>
      <c r="AI302" s="203">
        <f t="shared" ref="AI302" si="813">(AI301-AD301)*10000</f>
        <v>15.518837871129412</v>
      </c>
      <c r="AJ302" s="203">
        <f t="shared" ref="AJ302" si="814">(AJ301-AE301)*10000</f>
        <v>53.721421408062795</v>
      </c>
      <c r="AK302" s="36">
        <f t="shared" ref="AK302" si="815">(AK301-AF301)*10000</f>
        <v>64.14978504268538</v>
      </c>
      <c r="AL302" s="35">
        <f>(AL301-AG301)*10000</f>
        <v>-222.22590420224384</v>
      </c>
      <c r="AM302" s="35">
        <f>(AM301-AH301)*10000</f>
        <v>-24.687909036212872</v>
      </c>
      <c r="AN302" s="559">
        <v>0</v>
      </c>
      <c r="AO302" s="559">
        <v>0</v>
      </c>
      <c r="AP302" s="560">
        <v>0</v>
      </c>
      <c r="AQ302" s="556">
        <v>0</v>
      </c>
      <c r="AR302" s="556">
        <v>0</v>
      </c>
      <c r="AS302" s="556">
        <v>0</v>
      </c>
      <c r="AT302" s="556">
        <v>0</v>
      </c>
      <c r="AU302" s="560">
        <v>0</v>
      </c>
      <c r="AV302" s="556">
        <v>0</v>
      </c>
      <c r="AW302" s="556">
        <v>0</v>
      </c>
      <c r="AX302" s="556">
        <v>0</v>
      </c>
      <c r="AY302" s="556">
        <v>0</v>
      </c>
      <c r="AZ302" s="560">
        <v>0</v>
      </c>
      <c r="BB302" s="517"/>
    </row>
    <row r="303" spans="2:54" s="9" customFormat="1" hidden="1" outlineLevel="1">
      <c r="B303" s="515" t="s">
        <v>884</v>
      </c>
      <c r="C303" s="6" t="s">
        <v>889</v>
      </c>
      <c r="D303" s="250"/>
      <c r="E303" s="63"/>
      <c r="F303" s="63"/>
      <c r="G303" s="63"/>
      <c r="H303" s="60"/>
      <c r="I303" s="60"/>
      <c r="J303" s="60"/>
      <c r="K303" s="60"/>
      <c r="L303" s="63"/>
      <c r="M303" s="60"/>
      <c r="N303" s="60"/>
      <c r="O303" s="60"/>
      <c r="P303" s="60"/>
      <c r="Q303" s="36"/>
      <c r="R303" s="203"/>
      <c r="S303" s="203"/>
      <c r="T303" s="203"/>
      <c r="U303" s="203"/>
      <c r="V303" s="36"/>
      <c r="W303" s="203"/>
      <c r="X303" s="203"/>
      <c r="Y303" s="203"/>
      <c r="Z303" s="203"/>
      <c r="AA303" s="36"/>
      <c r="AB303" s="203"/>
      <c r="AC303" s="203"/>
      <c r="AD303" s="203"/>
      <c r="AE303" s="203"/>
      <c r="AF303" s="36"/>
      <c r="AG303" s="203"/>
      <c r="AH303" s="203"/>
      <c r="AI303" s="203"/>
      <c r="AJ303" s="203"/>
      <c r="AK303" s="36"/>
      <c r="AL303" s="35"/>
      <c r="AM303" s="35"/>
      <c r="AN303" s="311" cm="1">
        <f t="array" ref="AN303">_xll.VAData("KDP_US", AN$4, $C303, "Consensus", "CD", "IMPL","","")/100</f>
        <v>-4.0732359983141085E-2</v>
      </c>
      <c r="AO303" s="312" cm="1">
        <f t="array" ref="AO303">_xll.VAData("KDP_US", AO$4, $C303, "Consensus", "CD", "IMPL","","")/100</f>
        <v>-3.8055044389601791E-2</v>
      </c>
      <c r="AP303" s="219" cm="1">
        <f t="array" ref="AP303">_xll.VAData("KDP_US", AP$4, $C303, "Consensus", "CD", "IMPL","","")/100</f>
        <v>-4.4594933458244723E-2</v>
      </c>
      <c r="AQ303" s="312" cm="1">
        <f t="array" ref="AQ303">_xll.VAData("KDP_US", AQ$4, $C303, "Consensus", "CD", "IMPL","","")/100</f>
        <v>-5.1059863557172375E-2</v>
      </c>
      <c r="AR303" s="312" cm="1">
        <f t="array" ref="AR303">_xll.VAData("KDP_US", AR$4, $C303, "Consensus", "CD", "IMPL","","")/100</f>
        <v>-4.6700775302072631E-2</v>
      </c>
      <c r="AS303" s="312" cm="1">
        <f t="array" ref="AS303">_xll.VAData("KDP_US", AS$4, $C303, "Consensus", "CD", "IMPL","","")/100</f>
        <v>-4.068553031375835E-2</v>
      </c>
      <c r="AT303" s="312" cm="1">
        <f t="array" ref="AT303">_xll.VAData("KDP_US", AT$4, $C303, "Consensus", "CD", "IMPL","","")/100</f>
        <v>-3.8542273566080143E-2</v>
      </c>
      <c r="AU303" s="219" cm="1">
        <f t="array" ref="AU303">_xll.VAData("KDP_US", AU$4, $C303, "Consensus", "CD", "IMPL","","")/100</f>
        <v>-4.3987866242728491E-2</v>
      </c>
      <c r="AV303" s="312" cm="1">
        <f t="array" ref="AV303">_xll.VAData("KDP_US", AV$4, $C303, "Consensus", "CD", "IMPL","","")/100</f>
        <v>-4.9346306307227597E-2</v>
      </c>
      <c r="AW303" s="312" cm="1">
        <f t="array" ref="AW303">_xll.VAData("KDP_US", AW$4, $C303, "Consensus", "CD", "IMPL","","")/100</f>
        <v>-4.5726591540618047E-2</v>
      </c>
      <c r="AX303" s="312" cm="1">
        <f t="array" ref="AX303">_xll.VAData("KDP_US", AX$4, $C303, "Consensus", "CD", "IMPL","","")/100</f>
        <v>-4.1564930993765327E-2</v>
      </c>
      <c r="AY303" s="312" cm="1">
        <f t="array" ref="AY303">_xll.VAData("KDP_US", AY$4, $C303, "Consensus", "CD", "IMPL","","")/100</f>
        <v>-4.0029215362937992E-2</v>
      </c>
      <c r="AZ303" s="219" cm="1">
        <f t="array" ref="AZ303">_xll.VAData("KDP_US", AZ$4, $C303, "Consensus", "CD", "IMPL","","")/100</f>
        <v>-4.3443096820289184E-2</v>
      </c>
      <c r="BB303" s="517"/>
    </row>
    <row r="304" spans="2:54" collapsed="1">
      <c r="B304" s="5" t="s">
        <v>70</v>
      </c>
      <c r="C304" s="6"/>
      <c r="D304" s="6"/>
      <c r="E304" s="18"/>
      <c r="F304" s="18"/>
      <c r="G304" s="18"/>
      <c r="H304" s="19"/>
      <c r="I304" s="19"/>
      <c r="J304" s="19"/>
      <c r="K304" s="19"/>
      <c r="L304" s="18"/>
      <c r="M304" s="19"/>
      <c r="N304" s="19"/>
      <c r="O304" s="19">
        <f t="shared" ref="O304:AN304" si="816">O312/O290</f>
        <v>0.24404761904761904</v>
      </c>
      <c r="P304" s="19">
        <f t="shared" si="816"/>
        <v>0.2559544969783149</v>
      </c>
      <c r="Q304" s="18">
        <f t="shared" si="816"/>
        <v>0.22063339382940109</v>
      </c>
      <c r="R304" s="19">
        <f t="shared" si="816"/>
        <v>0.24800319488817887</v>
      </c>
      <c r="S304" s="19">
        <f t="shared" si="816"/>
        <v>0.2496443812233286</v>
      </c>
      <c r="T304" s="19">
        <f t="shared" si="816"/>
        <v>0.2627177700348432</v>
      </c>
      <c r="U304" s="19">
        <f t="shared" si="816"/>
        <v>0.27709611451942739</v>
      </c>
      <c r="V304" s="18">
        <f t="shared" si="816"/>
        <v>0.25989208633093525</v>
      </c>
      <c r="W304" s="19">
        <f t="shared" si="816"/>
        <v>0.26176808266360507</v>
      </c>
      <c r="X304" s="19">
        <f t="shared" si="816"/>
        <v>0.27060055865921789</v>
      </c>
      <c r="Y304" s="19">
        <f t="shared" si="816"/>
        <v>0.2894039735099338</v>
      </c>
      <c r="Z304" s="19">
        <f t="shared" si="816"/>
        <v>0.27491188721563603</v>
      </c>
      <c r="AA304" s="18">
        <f t="shared" si="816"/>
        <v>0.27466001032880016</v>
      </c>
      <c r="AB304" s="19">
        <f t="shared" si="816"/>
        <v>0.25534114403859409</v>
      </c>
      <c r="AC304" s="19">
        <f t="shared" si="816"/>
        <v>0.26719745222929936</v>
      </c>
      <c r="AD304" s="19">
        <f t="shared" si="816"/>
        <v>0.28646153846153843</v>
      </c>
      <c r="AE304" s="19">
        <f t="shared" si="816"/>
        <v>0.26835741669124152</v>
      </c>
      <c r="AF304" s="18">
        <f t="shared" si="816"/>
        <v>0.26973113616652211</v>
      </c>
      <c r="AG304" s="19">
        <f t="shared" si="816"/>
        <v>0.23781676413255359</v>
      </c>
      <c r="AH304" s="19">
        <f t="shared" si="816"/>
        <v>0.23410241980866628</v>
      </c>
      <c r="AI304" s="19">
        <f t="shared" si="816"/>
        <v>0.26145775814467143</v>
      </c>
      <c r="AJ304" s="19">
        <f t="shared" si="816"/>
        <v>0.27004996055745462</v>
      </c>
      <c r="AK304" s="18">
        <f t="shared" si="816"/>
        <v>0.25168954969054563</v>
      </c>
      <c r="AL304" s="19">
        <f t="shared" si="816"/>
        <v>0.20847002684163435</v>
      </c>
      <c r="AM304" s="19">
        <f t="shared" si="816"/>
        <v>0.23040380047505937</v>
      </c>
      <c r="AN304" s="312">
        <f t="shared" si="816"/>
        <v>0.26912216853888388</v>
      </c>
      <c r="AO304" s="312">
        <f t="shared" ref="AO304:AZ304" si="817">AO312/AO290</f>
        <v>0.2810305584855517</v>
      </c>
      <c r="AP304" s="219">
        <f>AP312/AP290</f>
        <v>0.24869945534952329</v>
      </c>
      <c r="AQ304" s="312">
        <f t="shared" si="817"/>
        <v>0.20717333755216702</v>
      </c>
      <c r="AR304" s="312">
        <f t="shared" si="817"/>
        <v>0.22887220470822991</v>
      </c>
      <c r="AS304" s="312">
        <f t="shared" si="817"/>
        <v>0.26358598049279686</v>
      </c>
      <c r="AT304" s="312">
        <f t="shared" si="817"/>
        <v>0.2753213672494651</v>
      </c>
      <c r="AU304" s="219">
        <f t="shared" si="817"/>
        <v>0.2450338484290982</v>
      </c>
      <c r="AV304" s="312">
        <f t="shared" si="817"/>
        <v>0.20099361555792172</v>
      </c>
      <c r="AW304" s="312">
        <f t="shared" si="817"/>
        <v>0.22305591228377189</v>
      </c>
      <c r="AX304" s="312">
        <f t="shared" si="817"/>
        <v>0.25793802179019559</v>
      </c>
      <c r="AY304" s="312">
        <f t="shared" si="817"/>
        <v>0.26925672659122318</v>
      </c>
      <c r="AZ304" s="219">
        <f t="shared" si="817"/>
        <v>0.2390973537448115</v>
      </c>
    </row>
    <row r="305" spans="2:54" s="9" customFormat="1" ht="14" hidden="1" customHeight="1" outlineLevel="1">
      <c r="B305" s="515" t="s">
        <v>855</v>
      </c>
      <c r="C305" s="250"/>
      <c r="D305" s="250"/>
      <c r="E305" s="63"/>
      <c r="F305" s="63"/>
      <c r="G305" s="63"/>
      <c r="H305" s="60"/>
      <c r="I305" s="60"/>
      <c r="J305" s="60"/>
      <c r="K305" s="60"/>
      <c r="L305" s="63"/>
      <c r="M305" s="60"/>
      <c r="N305" s="60"/>
      <c r="O305" s="60"/>
      <c r="P305" s="60"/>
      <c r="Q305" s="36"/>
      <c r="R305" s="203"/>
      <c r="S305" s="203"/>
      <c r="T305" s="203">
        <f t="shared" ref="T305" si="818">(T304-O304)*10000</f>
        <v>186.70150987224159</v>
      </c>
      <c r="U305" s="203">
        <f t="shared" ref="U305" si="819">(U304-P304)*10000</f>
        <v>211.4161754111249</v>
      </c>
      <c r="V305" s="36">
        <f t="shared" ref="V305" si="820">(V304-Q304)*10000</f>
        <v>392.58692501534159</v>
      </c>
      <c r="W305" s="203">
        <f t="shared" ref="W305" si="821">(W304-R304)*10000</f>
        <v>137.648877754262</v>
      </c>
      <c r="X305" s="203">
        <f t="shared" ref="X305" si="822">(X304-S304)*10000</f>
        <v>209.5617743588929</v>
      </c>
      <c r="Y305" s="203">
        <f t="shared" ref="Y305" si="823">(Y304-T304)*10000</f>
        <v>266.86203475090599</v>
      </c>
      <c r="Z305" s="203">
        <f t="shared" ref="Z305" si="824">(Z304-U304)*10000</f>
        <v>-21.842273037913639</v>
      </c>
      <c r="AA305" s="36">
        <f t="shared" ref="AA305" si="825">(AA304-V304)*10000</f>
        <v>147.67923997864918</v>
      </c>
      <c r="AB305" s="203">
        <f t="shared" ref="AB305" si="826">(AB304-W304)*10000</f>
        <v>-64.269386250109804</v>
      </c>
      <c r="AC305" s="203">
        <f t="shared" ref="AC305" si="827">(AC304-X304)*10000</f>
        <v>-34.031064299185346</v>
      </c>
      <c r="AD305" s="203">
        <f t="shared" ref="AD305" si="828">(AD304-Y304)*10000</f>
        <v>-29.424350483953642</v>
      </c>
      <c r="AE305" s="203">
        <f t="shared" ref="AE305" si="829">(AE304-Z304)*10000</f>
        <v>-65.54470524394506</v>
      </c>
      <c r="AF305" s="36">
        <f t="shared" ref="AF305" si="830">(AF304-AA304)*10000</f>
        <v>-49.28874162278052</v>
      </c>
      <c r="AG305" s="203">
        <f t="shared" ref="AG305" si="831">(AG304-AB304)*10000</f>
        <v>-175.243799060405</v>
      </c>
      <c r="AH305" s="203">
        <f t="shared" ref="AH305" si="832">(AH304-AC304)*10000</f>
        <v>-330.95032420633078</v>
      </c>
      <c r="AI305" s="203">
        <f t="shared" ref="AI305" si="833">(AI304-AD304)*10000</f>
        <v>-250.03780316867008</v>
      </c>
      <c r="AJ305" s="203">
        <f t="shared" ref="AJ305" si="834">(AJ304-AE304)*10000</f>
        <v>16.925438662130922</v>
      </c>
      <c r="AK305" s="36">
        <f t="shared" ref="AK305" si="835">(AK304-AF304)*10000</f>
        <v>-180.41586475976479</v>
      </c>
      <c r="AL305" s="203">
        <f t="shared" ref="AL305" si="836">(AL304-AG304)*10000</f>
        <v>-293.46737290919242</v>
      </c>
      <c r="AM305" s="203">
        <f t="shared" ref="AM305" si="837">(AM304-AH304)*10000</f>
        <v>-36.986193336069064</v>
      </c>
      <c r="AN305" s="203">
        <f t="shared" ref="AN305" si="838">(AN304-AI304)*10000</f>
        <v>76.644103942124502</v>
      </c>
      <c r="AO305" s="203">
        <f t="shared" ref="AO305" si="839">(AO304-AJ304)*10000</f>
        <v>109.8059792809708</v>
      </c>
      <c r="AP305" s="205">
        <f>(AP304-AK304)*10000</f>
        <v>-29.90094341022348</v>
      </c>
      <c r="AQ305" s="554">
        <f t="shared" ref="AQ305" si="840">(AQ304-AL304)*10000</f>
        <v>-12.966892894673288</v>
      </c>
      <c r="AR305" s="554">
        <f t="shared" ref="AR305" si="841">(AR304-AM304)*10000</f>
        <v>-15.315957668294578</v>
      </c>
      <c r="AS305" s="554">
        <f t="shared" ref="AS305" si="842">(AS304-AN304)*10000</f>
        <v>-55.361880460870204</v>
      </c>
      <c r="AT305" s="554">
        <f t="shared" ref="AT305" si="843">(AT304-AO304)*10000</f>
        <v>-57.091912360865969</v>
      </c>
      <c r="AU305" s="205">
        <f t="shared" ref="AU305" si="844">(AU304-AP304)*10000</f>
        <v>-36.656069204250855</v>
      </c>
      <c r="AV305" s="554">
        <f t="shared" ref="AV305" si="845">(AV304-AQ304)*10000</f>
        <v>-61.797219942452962</v>
      </c>
      <c r="AW305" s="554">
        <f t="shared" ref="AW305" si="846">(AW304-AR304)*10000</f>
        <v>-58.162924244580253</v>
      </c>
      <c r="AX305" s="554">
        <f t="shared" ref="AX305" si="847">(AX304-AS304)*10000</f>
        <v>-56.479587026012638</v>
      </c>
      <c r="AY305" s="554">
        <f t="shared" ref="AY305" si="848">(AY304-AT304)*10000</f>
        <v>-60.646406582419154</v>
      </c>
      <c r="AZ305" s="205">
        <f t="shared" ref="AZ305" si="849">(AZ304-AU304)*10000</f>
        <v>-59.364946842866971</v>
      </c>
      <c r="BB305" s="517"/>
    </row>
    <row r="306" spans="2:54" s="9" customFormat="1" ht="14" hidden="1" customHeight="1" outlineLevel="1">
      <c r="B306" s="515" t="s">
        <v>884</v>
      </c>
      <c r="C306" s="6" t="s">
        <v>888</v>
      </c>
      <c r="D306" s="250"/>
      <c r="E306" s="63"/>
      <c r="F306" s="63"/>
      <c r="G306" s="63"/>
      <c r="H306" s="60"/>
      <c r="I306" s="60"/>
      <c r="J306" s="60"/>
      <c r="K306" s="60"/>
      <c r="L306" s="63"/>
      <c r="M306" s="60"/>
      <c r="N306" s="60"/>
      <c r="O306" s="60"/>
      <c r="P306" s="60"/>
      <c r="Q306" s="36"/>
      <c r="R306" s="203"/>
      <c r="S306" s="203"/>
      <c r="T306" s="203"/>
      <c r="U306" s="203"/>
      <c r="V306" s="36"/>
      <c r="W306" s="203"/>
      <c r="X306" s="203"/>
      <c r="Y306" s="203"/>
      <c r="Z306" s="203"/>
      <c r="AA306" s="36"/>
      <c r="AB306" s="203"/>
      <c r="AC306" s="203"/>
      <c r="AD306" s="203"/>
      <c r="AE306" s="203"/>
      <c r="AF306" s="36"/>
      <c r="AG306" s="203"/>
      <c r="AH306" s="203"/>
      <c r="AI306" s="203"/>
      <c r="AJ306" s="203"/>
      <c r="AK306" s="36"/>
      <c r="AL306" s="203"/>
      <c r="AM306" s="203"/>
      <c r="AN306" s="311" cm="1">
        <f t="array" ref="AN306">_xll.VAData("KDP_US", AN$4, $C306, "Consensus", "CD", "IMPL","","")/100</f>
        <v>0.30562672603123686</v>
      </c>
      <c r="AO306" s="312" cm="1">
        <f t="array" ref="AO306">_xll.VAData("KDP_US", AO$4, $C306, "Consensus", "CD", "IMPL","","")/100</f>
        <v>0.31277412237979935</v>
      </c>
      <c r="AP306" s="219" cm="1">
        <f t="array" ref="AP306">_xll.VAData("KDP_US", AP$4, $C306, "Consensus", "CD", "IMPL","","")/100</f>
        <v>0.28637409353118726</v>
      </c>
      <c r="AQ306" s="312" cm="1">
        <f t="array" ref="AQ306">_xll.VAData("KDP_US", AQ$4, $C306, "Consensus", "CD", "IMPL","","")/100</f>
        <v>0.25757636298910513</v>
      </c>
      <c r="AR306" s="312" cm="1">
        <f t="array" ref="AR306">_xll.VAData("KDP_US", AR$4, $C306, "Consensus", "CD", "IMPL","","")/100</f>
        <v>0.27706534534200999</v>
      </c>
      <c r="AS306" s="312" cm="1">
        <f t="array" ref="AS306">_xll.VAData("KDP_US", AS$4, $C306, "Consensus", "CD", "IMPL","","")/100</f>
        <v>0.3086818799618854</v>
      </c>
      <c r="AT306" s="312" cm="1">
        <f t="array" ref="AT306">_xll.VAData("KDP_US", AT$4, $C306, "Consensus", "CD", "IMPL","","")/100</f>
        <v>0.31716172175928631</v>
      </c>
      <c r="AU306" s="219" cm="1">
        <f t="array" ref="AU306">_xll.VAData("KDP_US", AU$4, $C306, "Consensus", "CD", "IMPL","","")/100</f>
        <v>0.29139330716070572</v>
      </c>
      <c r="AV306" s="312" cm="1">
        <f t="array" ref="AV306">_xll.VAData("KDP_US", AV$4, $C306, "Consensus", "CD", "IMPL","","")/100</f>
        <v>0.26826840716507744</v>
      </c>
      <c r="AW306" s="312" cm="1">
        <f t="array" ref="AW306">_xll.VAData("KDP_US", AW$4, $C306, "Consensus", "CD", "IMPL","","")/100</f>
        <v>0.28463689102440903</v>
      </c>
      <c r="AX306" s="312" cm="1">
        <f t="array" ref="AX306">_xll.VAData("KDP_US", AX$4, $C306, "Consensus", "CD", "IMPL","","")/100</f>
        <v>0.31385994165746312</v>
      </c>
      <c r="AY306" s="312" cm="1">
        <f t="array" ref="AY306">_xll.VAData("KDP_US", AY$4, $C306, "Consensus", "CD", "IMPL","","")/100</f>
        <v>0.32736051944264621</v>
      </c>
      <c r="AZ306" s="219" cm="1">
        <f t="array" ref="AZ306">_xll.VAData("KDP_US", AZ$4, $C306, "Consensus", "CD", "IMPL","","")/100</f>
        <v>0.29976150497129139</v>
      </c>
      <c r="BB306" s="517"/>
    </row>
    <row r="307" spans="2:54" collapsed="1">
      <c r="B307" s="10" t="s">
        <v>918</v>
      </c>
      <c r="C307" s="6"/>
      <c r="D307" s="6"/>
      <c r="E307" s="18"/>
      <c r="F307" s="18"/>
      <c r="G307" s="18"/>
      <c r="H307" s="19"/>
      <c r="I307" s="19"/>
      <c r="J307" s="19"/>
      <c r="K307" s="19"/>
      <c r="L307" s="18"/>
      <c r="M307" s="19"/>
      <c r="N307" s="19"/>
      <c r="O307" s="19"/>
      <c r="P307" s="19"/>
      <c r="Q307" s="18"/>
      <c r="R307" s="19"/>
      <c r="S307" s="19"/>
      <c r="T307" s="19"/>
      <c r="U307" s="19"/>
      <c r="V307" s="18"/>
      <c r="W307" s="19"/>
      <c r="X307" s="19"/>
      <c r="Y307" s="19"/>
      <c r="Z307" s="19"/>
      <c r="AA307" s="18"/>
      <c r="AB307" s="19"/>
      <c r="AC307" s="19"/>
      <c r="AD307" s="19"/>
      <c r="AE307" s="19"/>
      <c r="AF307" s="18"/>
      <c r="AG307" s="19"/>
      <c r="AH307" s="19"/>
      <c r="AI307" s="19"/>
      <c r="AJ307" s="19"/>
      <c r="AK307" s="18"/>
      <c r="AL307" s="19"/>
      <c r="AM307" s="19"/>
      <c r="AP307" s="199"/>
      <c r="AU307" s="199"/>
      <c r="AZ307" s="199"/>
    </row>
    <row r="308" spans="2:54">
      <c r="B308" s="5" t="s">
        <v>806</v>
      </c>
      <c r="C308" s="6" t="s">
        <v>523</v>
      </c>
      <c r="D308" s="6"/>
      <c r="E308" s="28"/>
      <c r="F308" s="28"/>
      <c r="G308" s="28"/>
      <c r="H308" s="29"/>
      <c r="I308" s="29"/>
      <c r="J308" s="29"/>
      <c r="K308" s="29"/>
      <c r="L308" s="28"/>
      <c r="M308" s="29"/>
      <c r="N308" s="29"/>
      <c r="O308" s="29">
        <f>(O316+O317)*O324</f>
        <v>349.59999999999997</v>
      </c>
      <c r="P308" s="29">
        <f t="shared" ref="P308:Z308" si="850">(P316+P317)*P324</f>
        <v>425.59999999999997</v>
      </c>
      <c r="Q308" s="28">
        <f t="shared" si="850"/>
        <v>1468.6999999999998</v>
      </c>
      <c r="R308" s="29">
        <f t="shared" si="850"/>
        <v>342.95</v>
      </c>
      <c r="S308" s="29">
        <f t="shared" si="850"/>
        <v>414.2</v>
      </c>
      <c r="T308" s="29">
        <f t="shared" si="850"/>
        <v>422.75</v>
      </c>
      <c r="U308" s="29">
        <f t="shared" si="850"/>
        <v>473.09999999999997</v>
      </c>
      <c r="V308" s="28">
        <f t="shared" si="850"/>
        <v>1653</v>
      </c>
      <c r="W308" s="29">
        <f t="shared" si="850"/>
        <v>380</v>
      </c>
      <c r="X308" s="29">
        <f t="shared" si="850"/>
        <v>466.45</v>
      </c>
      <c r="Y308" s="29">
        <f t="shared" si="850"/>
        <v>540.54999999999995</v>
      </c>
      <c r="Z308" s="29">
        <f t="shared" si="850"/>
        <v>474.04999999999995</v>
      </c>
      <c r="AA308" s="28">
        <f>(AA316+AA317)*AA324</f>
        <v>1861.05</v>
      </c>
      <c r="AB308" s="587">
        <v>416</v>
      </c>
      <c r="AC308" s="587">
        <v>519</v>
      </c>
      <c r="AD308" s="587">
        <v>576</v>
      </c>
      <c r="AE308" s="587">
        <v>557</v>
      </c>
      <c r="AF308" s="588">
        <f t="shared" ref="AF308:AF311" si="851">SUM(AB308:AE308)</f>
        <v>2068</v>
      </c>
      <c r="AG308" s="587">
        <v>455</v>
      </c>
      <c r="AH308" s="587">
        <v>547</v>
      </c>
      <c r="AI308" s="587">
        <v>655</v>
      </c>
      <c r="AJ308" s="587">
        <v>593</v>
      </c>
      <c r="AK308" s="588">
        <f t="shared" ref="AK308:AK311" si="852">SUM(AG308:AJ308)</f>
        <v>2250</v>
      </c>
      <c r="AL308" s="587">
        <v>508</v>
      </c>
      <c r="AM308" s="587">
        <f>1154-AL308</f>
        <v>646</v>
      </c>
      <c r="AN308" s="34">
        <f>AN292*AN287</f>
        <v>737.31960000000004</v>
      </c>
      <c r="AO308" s="34">
        <f>AO292*AO287</f>
        <v>700.1977280000001</v>
      </c>
      <c r="AP308" s="206">
        <f>SUM(AL308:AO308)</f>
        <v>2591.5173279999999</v>
      </c>
      <c r="AQ308" s="34">
        <f>AQ292*AQ287</f>
        <v>550.25879999999995</v>
      </c>
      <c r="AR308" s="34">
        <f>AR292*AR287</f>
        <v>676.68640000000016</v>
      </c>
      <c r="AS308" s="34">
        <f>AS292*AS287</f>
        <v>749.81091279999998</v>
      </c>
      <c r="AT308" s="34">
        <f>AT292*AT287</f>
        <v>712.06063824000012</v>
      </c>
      <c r="AU308" s="206">
        <f>SUM(AQ308:AT308)</f>
        <v>2688.8167510400003</v>
      </c>
      <c r="AV308" s="34">
        <f>AV292*AV287</f>
        <v>558.08428199999992</v>
      </c>
      <c r="AW308" s="34">
        <f>AW292*AW287</f>
        <v>687.00340800000004</v>
      </c>
      <c r="AX308" s="34">
        <f>AX292*AX287</f>
        <v>762.38811672800011</v>
      </c>
      <c r="AY308" s="34">
        <f>AY292*AY287</f>
        <v>724.00514513920018</v>
      </c>
      <c r="AZ308" s="206">
        <f>SUM(AV308:AY308)</f>
        <v>2731.4809518672</v>
      </c>
    </row>
    <row r="309" spans="2:54">
      <c r="B309" s="5" t="s">
        <v>740</v>
      </c>
      <c r="C309" s="6" t="s">
        <v>522</v>
      </c>
      <c r="D309" s="6"/>
      <c r="E309" s="28"/>
      <c r="F309" s="28"/>
      <c r="G309" s="28"/>
      <c r="H309" s="29"/>
      <c r="I309" s="29"/>
      <c r="J309" s="29"/>
      <c r="K309" s="29"/>
      <c r="L309" s="28"/>
      <c r="M309" s="29"/>
      <c r="N309" s="29"/>
      <c r="O309" s="29">
        <f>O315*O323</f>
        <v>349.6</v>
      </c>
      <c r="P309" s="29">
        <f t="shared" ref="P309:Z309" si="853">P315*P323</f>
        <v>301.76</v>
      </c>
      <c r="Q309" s="28">
        <f t="shared" si="853"/>
        <v>1222.68</v>
      </c>
      <c r="R309" s="29">
        <f t="shared" si="853"/>
        <v>308.2</v>
      </c>
      <c r="S309" s="29">
        <f t="shared" si="853"/>
        <v>304.52000000000004</v>
      </c>
      <c r="T309" s="29">
        <f t="shared" si="853"/>
        <v>337.64</v>
      </c>
      <c r="U309" s="29">
        <f t="shared" si="853"/>
        <v>340.40000000000003</v>
      </c>
      <c r="V309" s="28">
        <f t="shared" si="853"/>
        <v>1290.76</v>
      </c>
      <c r="W309" s="29">
        <f t="shared" si="853"/>
        <v>319.24</v>
      </c>
      <c r="X309" s="29">
        <f t="shared" si="853"/>
        <v>333.96000000000004</v>
      </c>
      <c r="Y309" s="29">
        <f t="shared" si="853"/>
        <v>343.16</v>
      </c>
      <c r="Z309" s="29">
        <f t="shared" si="853"/>
        <v>396.52000000000004</v>
      </c>
      <c r="AA309" s="28">
        <f>AA315*AA323</f>
        <v>1392.88</v>
      </c>
      <c r="AB309" s="587">
        <v>388</v>
      </c>
      <c r="AC309" s="587">
        <v>365</v>
      </c>
      <c r="AD309" s="587">
        <v>366</v>
      </c>
      <c r="AE309" s="587">
        <v>373</v>
      </c>
      <c r="AF309" s="588">
        <f t="shared" si="851"/>
        <v>1492</v>
      </c>
      <c r="AG309" s="587">
        <v>301</v>
      </c>
      <c r="AH309" s="587">
        <v>342</v>
      </c>
      <c r="AI309" s="587">
        <v>315</v>
      </c>
      <c r="AJ309" s="587">
        <v>435</v>
      </c>
      <c r="AK309" s="588">
        <f t="shared" si="852"/>
        <v>1393</v>
      </c>
      <c r="AL309" s="587">
        <v>285</v>
      </c>
      <c r="AM309" s="587">
        <f>577-AL309</f>
        <v>292</v>
      </c>
      <c r="AN309" s="34">
        <f>AN295*AN288</f>
        <v>304.99775377552066</v>
      </c>
      <c r="AO309" s="34">
        <f>AO295*AO288</f>
        <v>395.00164398542313</v>
      </c>
      <c r="AP309" s="206">
        <f>SUM(AL309:AO309)</f>
        <v>1276.9993977609438</v>
      </c>
      <c r="AQ309" s="34">
        <f>AQ295*AQ288</f>
        <v>250.92731395808175</v>
      </c>
      <c r="AR309" s="34">
        <f>AR295*AR288</f>
        <v>276.91248660973804</v>
      </c>
      <c r="AS309" s="34">
        <f>AS295*AS288</f>
        <v>286.24217483163835</v>
      </c>
      <c r="AT309" s="34">
        <f>AT295*AT288</f>
        <v>371.763763069265</v>
      </c>
      <c r="AU309" s="206">
        <f t="shared" ref="AU309:AU312" si="854">SUM(AQ309:AT309)</f>
        <v>1185.8457384687231</v>
      </c>
      <c r="AV309" s="34">
        <f>AV295*AV288</f>
        <v>234.34351649096669</v>
      </c>
      <c r="AW309" s="34">
        <f>AW295*AW288</f>
        <v>258.81906418423461</v>
      </c>
      <c r="AX309" s="34">
        <f>AX295*AX288</f>
        <v>268.2829442518551</v>
      </c>
      <c r="AY309" s="34">
        <f>AY295*AY288</f>
        <v>349.3516423333117</v>
      </c>
      <c r="AZ309" s="206">
        <f t="shared" ref="AZ309:AZ310" si="855">SUM(AV309:AY309)</f>
        <v>1110.797167260368</v>
      </c>
    </row>
    <row r="310" spans="2:54">
      <c r="B310" s="5" t="s">
        <v>52</v>
      </c>
      <c r="C310" s="6" t="s">
        <v>524</v>
      </c>
      <c r="D310" s="6"/>
      <c r="E310" s="28"/>
      <c r="F310" s="28"/>
      <c r="G310" s="28"/>
      <c r="H310" s="29"/>
      <c r="I310" s="29"/>
      <c r="J310" s="29"/>
      <c r="K310" s="29"/>
      <c r="L310" s="28"/>
      <c r="M310" s="29"/>
      <c r="N310" s="29"/>
      <c r="O310" s="29">
        <f>O318+O325*O315+(O316+O317)*O326</f>
        <v>75.8</v>
      </c>
      <c r="P310" s="29">
        <f t="shared" ref="P310" si="856">P318+P325*P315+(P316+P317)*P326</f>
        <v>66.640000000000015</v>
      </c>
      <c r="Q310" s="28" cm="1">
        <f t="array" ref="Q310">IFERROR(_xll.VAData("KDP_US", Q$4, $C310, "VA Actuals", "CD", "IMPL","",""), "")</f>
        <v>82</v>
      </c>
      <c r="R310" s="29">
        <f t="shared" ref="R310:U310" si="857">R318+R325*R315+(R316+R317)*R326</f>
        <v>56.849999999999994</v>
      </c>
      <c r="S310" s="29">
        <f t="shared" si="857"/>
        <v>68.28</v>
      </c>
      <c r="T310" s="29">
        <f t="shared" si="857"/>
        <v>76.610000000000014</v>
      </c>
      <c r="U310" s="29">
        <f t="shared" si="857"/>
        <v>79.5</v>
      </c>
      <c r="V310" s="28">
        <f>V318+V325*V315+(V316+V317)*V326</f>
        <v>281.24</v>
      </c>
      <c r="W310" s="29">
        <f t="shared" ref="W310:Z310" si="858">W318+W325*W315+(W316+W317)*W326</f>
        <v>74.760000000000005</v>
      </c>
      <c r="X310" s="29">
        <f t="shared" si="858"/>
        <v>76.59</v>
      </c>
      <c r="Y310" s="29">
        <f t="shared" si="858"/>
        <v>83.29000000000002</v>
      </c>
      <c r="Z310" s="29">
        <f t="shared" si="858"/>
        <v>92.43</v>
      </c>
      <c r="AA310" s="28">
        <f>AA318+AA325*AA315+(AA316+AA317)*AA326</f>
        <v>327.07000000000005</v>
      </c>
      <c r="AB310" s="587">
        <v>80</v>
      </c>
      <c r="AC310" s="587">
        <v>103</v>
      </c>
      <c r="AD310" s="587">
        <v>108</v>
      </c>
      <c r="AE310" s="587">
        <v>107</v>
      </c>
      <c r="AF310" s="588">
        <f t="shared" si="851"/>
        <v>398</v>
      </c>
      <c r="AG310" s="587">
        <v>71</v>
      </c>
      <c r="AH310" s="587">
        <v>104</v>
      </c>
      <c r="AI310" s="587">
        <v>104</v>
      </c>
      <c r="AJ310" s="587">
        <v>121</v>
      </c>
      <c r="AK310" s="588">
        <f t="shared" si="852"/>
        <v>400</v>
      </c>
      <c r="AL310" s="587">
        <v>84</v>
      </c>
      <c r="AM310" s="587">
        <f>200-AL310</f>
        <v>116</v>
      </c>
      <c r="AN310" s="34">
        <f>AN298*AN289</f>
        <v>112.56369948588898</v>
      </c>
      <c r="AO310" s="34">
        <f>AO298*AO289</f>
        <v>131.57453266380864</v>
      </c>
      <c r="AP310" s="206">
        <f>SUM(AL310:AO310)</f>
        <v>444.13823214969761</v>
      </c>
      <c r="AQ310" s="34">
        <f>AQ298*AQ289</f>
        <v>88.596704001050881</v>
      </c>
      <c r="AR310" s="34">
        <f>AR298*AR289</f>
        <v>123.71095544219159</v>
      </c>
      <c r="AS310" s="34">
        <f>AS298*AS289</f>
        <v>119.81486444371217</v>
      </c>
      <c r="AT310" s="34">
        <f>AT298*AT289</f>
        <v>139.92353482738488</v>
      </c>
      <c r="AU310" s="206">
        <f t="shared" si="854"/>
        <v>472.04605871433955</v>
      </c>
      <c r="AV310" s="34">
        <f>AV298*AV289</f>
        <v>93.823909537112868</v>
      </c>
      <c r="AW310" s="34">
        <f>AW298*AW289</f>
        <v>131.00990181328089</v>
      </c>
      <c r="AX310" s="34">
        <f>AX298*AX289</f>
        <v>126.88394144589117</v>
      </c>
      <c r="AY310" s="34">
        <f>AY298*AY289</f>
        <v>148.17902338220057</v>
      </c>
      <c r="AZ310" s="206">
        <f t="shared" si="855"/>
        <v>499.89677617848548</v>
      </c>
    </row>
    <row r="311" spans="2:54">
      <c r="B311" s="5" t="s">
        <v>520</v>
      </c>
      <c r="C311" s="6" t="s">
        <v>521</v>
      </c>
      <c r="D311" s="6"/>
      <c r="E311" s="28"/>
      <c r="F311" s="28"/>
      <c r="G311" s="28"/>
      <c r="H311" s="29"/>
      <c r="I311" s="29"/>
      <c r="J311" s="29"/>
      <c r="K311" s="29"/>
      <c r="L311" s="28"/>
      <c r="M311" s="29"/>
      <c r="N311" s="29"/>
      <c r="O311" s="29">
        <f t="shared" ref="O311:P311" si="859">O319</f>
        <v>-78</v>
      </c>
      <c r="P311" s="29">
        <f t="shared" si="859"/>
        <v>-74</v>
      </c>
      <c r="Q311" s="28" cm="1">
        <f t="array" ref="Q311">IFERROR(_xll.VAData("KDP_US", Q$4, $C311, "VA Actuals", "CD", "IMPL","",""), "")</f>
        <v>-342</v>
      </c>
      <c r="R311" s="29">
        <f t="shared" ref="R311:U311" si="860">R319</f>
        <v>-87</v>
      </c>
      <c r="S311" s="29">
        <f t="shared" si="860"/>
        <v>-85</v>
      </c>
      <c r="T311" s="29">
        <f t="shared" si="860"/>
        <v>-83</v>
      </c>
      <c r="U311" s="29">
        <f t="shared" si="860"/>
        <v>-80</v>
      </c>
      <c r="V311" s="28">
        <f>V319</f>
        <v>-335</v>
      </c>
      <c r="W311" s="29">
        <f t="shared" ref="W311:Z311" si="861">W319</f>
        <v>-90</v>
      </c>
      <c r="X311" s="29">
        <f t="shared" si="861"/>
        <v>-102</v>
      </c>
      <c r="Y311" s="29">
        <f t="shared" si="861"/>
        <v>-93</v>
      </c>
      <c r="Z311" s="29">
        <f t="shared" si="861"/>
        <v>-105</v>
      </c>
      <c r="AA311" s="28">
        <f>AA319</f>
        <v>-390</v>
      </c>
      <c r="AB311" s="587">
        <v>-143</v>
      </c>
      <c r="AC311" s="587">
        <v>-148</v>
      </c>
      <c r="AD311" s="587">
        <v>-119</v>
      </c>
      <c r="AE311" s="587">
        <v>-127</v>
      </c>
      <c r="AF311" s="588">
        <f t="shared" si="851"/>
        <v>-537</v>
      </c>
      <c r="AG311" s="587">
        <v>-95</v>
      </c>
      <c r="AH311" s="587">
        <v>-161</v>
      </c>
      <c r="AI311" s="587">
        <v>-127</v>
      </c>
      <c r="AJ311" s="587">
        <v>-122</v>
      </c>
      <c r="AK311" s="588">
        <f t="shared" si="852"/>
        <v>-505</v>
      </c>
      <c r="AL311" s="587">
        <v>-178</v>
      </c>
      <c r="AM311" s="587">
        <f>-359-AL311</f>
        <v>-181</v>
      </c>
      <c r="AN311" s="34">
        <f>AN301*AN290</f>
        <v>-133.12321008360774</v>
      </c>
      <c r="AO311" s="34">
        <f>AO301*AO290</f>
        <v>-125.68990826821513</v>
      </c>
      <c r="AP311" s="206">
        <f>SUM(AL311:AO311)</f>
        <v>-617.81311835182294</v>
      </c>
      <c r="AQ311" s="34">
        <f>AQ301*AQ290</f>
        <v>-181.49423269577133</v>
      </c>
      <c r="AR311" s="34">
        <f>AR301*AR290</f>
        <v>-186.02717014104599</v>
      </c>
      <c r="AS311" s="34">
        <f>AS301*AS290</f>
        <v>-135.70683838354148</v>
      </c>
      <c r="AT311" s="34">
        <f>AT301*AT290</f>
        <v>-127.7084906082023</v>
      </c>
      <c r="AU311" s="206">
        <f>SUM(AQ311:AT311)</f>
        <v>-630.93673182856105</v>
      </c>
      <c r="AV311" s="34">
        <f>AV301*AV290</f>
        <v>-185.17074062230179</v>
      </c>
      <c r="AW311" s="34">
        <f>AW301*AW290</f>
        <v>-189.9380971878202</v>
      </c>
      <c r="AX311" s="34">
        <f>AX301*AX290</f>
        <v>-138.52464118139366</v>
      </c>
      <c r="AY311" s="34">
        <f>AY301*AY290</f>
        <v>-130.0432256416741</v>
      </c>
      <c r="AZ311" s="206">
        <f>SUM(AV311:AY311)</f>
        <v>-643.67670463318973</v>
      </c>
    </row>
    <row r="312" spans="2:54">
      <c r="B312" s="5" t="s">
        <v>70</v>
      </c>
      <c r="C312" s="6" t="s">
        <v>442</v>
      </c>
      <c r="D312" s="6"/>
      <c r="E312" s="28"/>
      <c r="F312" s="28"/>
      <c r="G312" s="28"/>
      <c r="H312" s="29"/>
      <c r="I312" s="29"/>
      <c r="J312" s="29"/>
      <c r="K312" s="29"/>
      <c r="L312" s="28"/>
      <c r="M312" s="29"/>
      <c r="N312" s="29"/>
      <c r="O312" s="29">
        <f t="shared" ref="O312:Z312" si="862">SUM(O308:O311)</f>
        <v>697</v>
      </c>
      <c r="P312" s="29">
        <f t="shared" si="862"/>
        <v>719.99999999999989</v>
      </c>
      <c r="Q312" s="28">
        <f t="shared" si="862"/>
        <v>2431.38</v>
      </c>
      <c r="R312" s="29">
        <f t="shared" si="862"/>
        <v>621</v>
      </c>
      <c r="S312" s="29">
        <f t="shared" si="862"/>
        <v>702</v>
      </c>
      <c r="T312" s="29">
        <f t="shared" si="862"/>
        <v>754</v>
      </c>
      <c r="U312" s="29">
        <f t="shared" si="862"/>
        <v>813</v>
      </c>
      <c r="V312" s="28">
        <f t="shared" si="862"/>
        <v>2890</v>
      </c>
      <c r="W312" s="29">
        <f t="shared" si="862"/>
        <v>684</v>
      </c>
      <c r="X312" s="29">
        <f t="shared" si="862"/>
        <v>775.00000000000011</v>
      </c>
      <c r="Y312" s="29">
        <f t="shared" si="862"/>
        <v>874</v>
      </c>
      <c r="Z312" s="29">
        <f t="shared" si="862"/>
        <v>858</v>
      </c>
      <c r="AA312" s="28">
        <f>SUM(AA308:AA311)</f>
        <v>3191.0000000000005</v>
      </c>
      <c r="AB312" s="587">
        <f>SUM(AB308:AB311)</f>
        <v>741</v>
      </c>
      <c r="AC312" s="587">
        <f>SUM(AC308:AC311)</f>
        <v>839</v>
      </c>
      <c r="AD312" s="587">
        <f>SUM(AD308:AD311)</f>
        <v>931</v>
      </c>
      <c r="AE312" s="587">
        <f>SUM(AE308:AE311)</f>
        <v>910</v>
      </c>
      <c r="AF312" s="588">
        <f t="shared" ref="AF312" si="863">SUM(AB312:AE312)</f>
        <v>3421</v>
      </c>
      <c r="AG312" s="587">
        <f>SUM(AG308:AG311)</f>
        <v>732</v>
      </c>
      <c r="AH312" s="587">
        <f>SUM(AH308:AH311)</f>
        <v>832</v>
      </c>
      <c r="AI312" s="587">
        <f>SUM(AI308:AI311)</f>
        <v>947</v>
      </c>
      <c r="AJ312" s="587">
        <f>SUM(AJ308:AJ311)</f>
        <v>1027</v>
      </c>
      <c r="AK312" s="588">
        <f t="shared" ref="AK312" si="864">SUM(AG312:AJ312)</f>
        <v>3538</v>
      </c>
      <c r="AL312" s="587">
        <f>SUM(AL308:AL311)</f>
        <v>699</v>
      </c>
      <c r="AM312" s="587">
        <f>SUM(AM308:AM311)</f>
        <v>873</v>
      </c>
      <c r="AN312" s="506">
        <f>SUM(AN308:AN311)</f>
        <v>1021.7578431778018</v>
      </c>
      <c r="AO312" s="506">
        <f>SUM(AO308:AO311)</f>
        <v>1101.0839963810167</v>
      </c>
      <c r="AP312" s="206">
        <f>SUM(AL312:AO312)</f>
        <v>3694.8418395588187</v>
      </c>
      <c r="AQ312" s="506">
        <f>SUM(AQ308:AQ311)</f>
        <v>708.28858526336126</v>
      </c>
      <c r="AR312" s="506">
        <f>SUM(AR308:AR311)</f>
        <v>891.28267191088378</v>
      </c>
      <c r="AS312" s="506">
        <f>SUM(AS308:AS311)</f>
        <v>1020.1611136918091</v>
      </c>
      <c r="AT312" s="506">
        <f>SUM(AT308:AT311)</f>
        <v>1096.0394455284477</v>
      </c>
      <c r="AU312" s="206">
        <f t="shared" si="854"/>
        <v>3715.7718163945019</v>
      </c>
      <c r="AV312" s="506">
        <f>SUM(AV308:AV311)</f>
        <v>701.08096740577764</v>
      </c>
      <c r="AW312" s="506">
        <f>SUM(AW308:AW311)</f>
        <v>886.89427680969538</v>
      </c>
      <c r="AX312" s="506">
        <f>SUM(AX308:AX311)</f>
        <v>1019.0303612443527</v>
      </c>
      <c r="AY312" s="506">
        <f>SUM(AY308:AY311)</f>
        <v>1091.4925852130382</v>
      </c>
      <c r="AZ312" s="206">
        <f t="shared" ref="AZ312" si="865">SUM(AV312:AY312)</f>
        <v>3698.498190672864</v>
      </c>
    </row>
    <row r="313" spans="2:54">
      <c r="B313" s="5"/>
      <c r="C313" s="6"/>
      <c r="D313" s="6"/>
      <c r="E313" s="28"/>
      <c r="F313" s="28"/>
      <c r="G313" s="28"/>
      <c r="H313" s="29"/>
      <c r="I313" s="29"/>
      <c r="J313" s="29"/>
      <c r="K313" s="29"/>
      <c r="L313" s="28"/>
      <c r="M313" s="29"/>
      <c r="N313" s="29"/>
      <c r="O313" s="29"/>
      <c r="P313" s="29"/>
      <c r="Q313" s="28"/>
      <c r="R313" s="29"/>
      <c r="S313" s="29"/>
      <c r="T313" s="29"/>
      <c r="U313" s="29"/>
      <c r="V313" s="28"/>
      <c r="W313" s="29"/>
      <c r="X313" s="29"/>
      <c r="Y313" s="29"/>
      <c r="Z313" s="29"/>
      <c r="AA313" s="28"/>
      <c r="AB313" s="512"/>
      <c r="AC313" s="512"/>
      <c r="AD313" s="512"/>
      <c r="AE313" s="512"/>
      <c r="AF313" s="513"/>
      <c r="AG313" s="512"/>
      <c r="AH313" s="512"/>
      <c r="AI313" s="512"/>
      <c r="AJ313" s="512"/>
      <c r="AK313" s="513"/>
      <c r="AL313" s="512"/>
      <c r="AM313" s="512"/>
      <c r="AN313" s="15"/>
      <c r="AO313" s="15"/>
      <c r="AP313" s="206"/>
      <c r="AQ313" s="15"/>
      <c r="AR313" s="15"/>
      <c r="AS313" s="15"/>
      <c r="AT313" s="15"/>
      <c r="AU313" s="206"/>
      <c r="AV313" s="15"/>
      <c r="AW313" s="15"/>
      <c r="AX313" s="15"/>
      <c r="AY313" s="15"/>
      <c r="AZ313" s="206"/>
    </row>
    <row r="314" spans="2:54">
      <c r="B314" s="10" t="s">
        <v>919</v>
      </c>
      <c r="C314" s="6"/>
      <c r="D314" s="6"/>
      <c r="E314" s="28"/>
      <c r="F314" s="28"/>
      <c r="G314" s="28"/>
      <c r="H314" s="29"/>
      <c r="I314" s="29"/>
      <c r="J314" s="29"/>
      <c r="K314" s="29"/>
      <c r="L314" s="28"/>
      <c r="M314" s="29"/>
      <c r="N314" s="29"/>
      <c r="O314" s="29"/>
      <c r="P314" s="29"/>
      <c r="Q314" s="28"/>
      <c r="R314" s="29"/>
      <c r="S314" s="29"/>
      <c r="T314" s="29"/>
      <c r="U314" s="29"/>
      <c r="V314" s="28"/>
      <c r="W314" s="29"/>
      <c r="X314" s="29"/>
      <c r="Y314" s="29"/>
      <c r="Z314" s="29"/>
      <c r="AA314" s="28"/>
      <c r="AB314" s="512"/>
      <c r="AC314" s="512"/>
      <c r="AD314" s="512"/>
      <c r="AE314" s="512"/>
      <c r="AF314" s="513"/>
      <c r="AG314" s="512"/>
      <c r="AH314" s="512"/>
      <c r="AI314" s="512"/>
      <c r="AJ314" s="512"/>
      <c r="AK314" s="513"/>
      <c r="AL314" s="512"/>
      <c r="AM314" s="512"/>
      <c r="AN314" s="15"/>
      <c r="AO314" s="15"/>
      <c r="AP314" s="206"/>
      <c r="AQ314" s="15"/>
      <c r="AR314" s="15"/>
      <c r="AS314" s="15"/>
      <c r="AT314" s="15"/>
      <c r="AU314" s="206"/>
      <c r="AV314" s="15"/>
      <c r="AW314" s="15"/>
      <c r="AX314" s="15"/>
      <c r="AY314" s="15"/>
      <c r="AZ314" s="206"/>
    </row>
    <row r="315" spans="2:54" hidden="1" outlineLevel="1">
      <c r="B315" s="5" t="s">
        <v>741</v>
      </c>
      <c r="C315" s="6"/>
      <c r="D315" s="6"/>
      <c r="E315" s="28"/>
      <c r="F315" s="28"/>
      <c r="G315" s="28"/>
      <c r="H315" s="29"/>
      <c r="I315" s="29"/>
      <c r="J315" s="29"/>
      <c r="K315" s="29"/>
      <c r="L315" s="28"/>
      <c r="M315" s="29"/>
      <c r="N315" s="29"/>
      <c r="O315" s="583">
        <v>380</v>
      </c>
      <c r="P315" s="583">
        <v>328</v>
      </c>
      <c r="Q315" s="643">
        <v>1329</v>
      </c>
      <c r="R315" s="583">
        <v>335</v>
      </c>
      <c r="S315" s="583">
        <v>331</v>
      </c>
      <c r="T315" s="583">
        <v>367</v>
      </c>
      <c r="U315" s="583">
        <v>370</v>
      </c>
      <c r="V315" s="643">
        <v>1403</v>
      </c>
      <c r="W315" s="583">
        <v>347</v>
      </c>
      <c r="X315" s="583">
        <v>363</v>
      </c>
      <c r="Y315" s="583">
        <v>373</v>
      </c>
      <c r="Z315" s="583">
        <v>431</v>
      </c>
      <c r="AA315" s="643">
        <v>1514</v>
      </c>
      <c r="AB315" s="587">
        <v>421</v>
      </c>
      <c r="AC315" s="587">
        <v>404</v>
      </c>
      <c r="AD315" s="587">
        <v>408</v>
      </c>
      <c r="AE315" s="587">
        <v>410</v>
      </c>
      <c r="AF315" s="588">
        <v>1643</v>
      </c>
      <c r="AG315" s="587">
        <v>319</v>
      </c>
      <c r="AH315" s="587">
        <v>369</v>
      </c>
      <c r="AI315" s="587">
        <v>343</v>
      </c>
      <c r="AJ315" s="587">
        <v>483</v>
      </c>
      <c r="AK315" s="588">
        <v>1514</v>
      </c>
      <c r="AL315" s="512"/>
      <c r="AM315" s="512"/>
      <c r="AN315" s="15"/>
      <c r="AO315" s="15"/>
      <c r="AP315" s="206"/>
      <c r="AQ315" s="15"/>
      <c r="AR315" s="15"/>
      <c r="AS315" s="15"/>
      <c r="AT315" s="15"/>
      <c r="AU315" s="206"/>
      <c r="AV315" s="15"/>
      <c r="AW315" s="15"/>
      <c r="AX315" s="15"/>
      <c r="AY315" s="15"/>
      <c r="AZ315" s="206"/>
    </row>
    <row r="316" spans="2:54" hidden="1" outlineLevel="1">
      <c r="B316" s="5" t="s">
        <v>742</v>
      </c>
      <c r="C316" s="6"/>
      <c r="D316" s="6"/>
      <c r="E316" s="28"/>
      <c r="F316" s="28"/>
      <c r="G316" s="28"/>
      <c r="H316" s="29"/>
      <c r="I316" s="29"/>
      <c r="J316" s="29"/>
      <c r="K316" s="29"/>
      <c r="L316" s="28"/>
      <c r="M316" s="29"/>
      <c r="N316" s="29"/>
      <c r="O316" s="583">
        <v>164</v>
      </c>
      <c r="P316" s="583">
        <v>206</v>
      </c>
      <c r="Q316" s="643">
        <v>688</v>
      </c>
      <c r="R316" s="583">
        <v>160</v>
      </c>
      <c r="S316" s="583">
        <v>190</v>
      </c>
      <c r="T316" s="583">
        <v>201</v>
      </c>
      <c r="U316" s="583">
        <v>232</v>
      </c>
      <c r="V316" s="643">
        <v>783</v>
      </c>
      <c r="W316" s="583">
        <v>203</v>
      </c>
      <c r="X316" s="583">
        <v>269</v>
      </c>
      <c r="Y316" s="583">
        <v>304</v>
      </c>
      <c r="Z316" s="583">
        <v>245</v>
      </c>
      <c r="AA316" s="643">
        <v>1021</v>
      </c>
      <c r="AB316" s="587">
        <v>201</v>
      </c>
      <c r="AC316" s="587">
        <v>289</v>
      </c>
      <c r="AD316" s="587">
        <v>315</v>
      </c>
      <c r="AE316" s="587">
        <v>317</v>
      </c>
      <c r="AF316" s="588">
        <v>1122</v>
      </c>
      <c r="AG316" s="587">
        <v>235</v>
      </c>
      <c r="AH316" s="587">
        <v>247</v>
      </c>
      <c r="AI316" s="587">
        <v>340</v>
      </c>
      <c r="AJ316" s="587">
        <v>311</v>
      </c>
      <c r="AK316" s="588">
        <v>1133</v>
      </c>
      <c r="AL316" s="512"/>
      <c r="AM316" s="512"/>
      <c r="AN316" s="15"/>
      <c r="AO316" s="15"/>
      <c r="AP316" s="206"/>
      <c r="AQ316" s="15"/>
      <c r="AR316" s="15"/>
      <c r="AS316" s="15"/>
      <c r="AT316" s="15"/>
      <c r="AU316" s="206"/>
      <c r="AV316" s="15"/>
      <c r="AW316" s="15"/>
      <c r="AX316" s="15"/>
      <c r="AY316" s="15"/>
      <c r="AZ316" s="206"/>
    </row>
    <row r="317" spans="2:54" hidden="1" outlineLevel="1">
      <c r="B317" s="5" t="s">
        <v>743</v>
      </c>
      <c r="C317" s="6"/>
      <c r="D317" s="6"/>
      <c r="E317" s="28"/>
      <c r="F317" s="28"/>
      <c r="G317" s="28"/>
      <c r="H317" s="29"/>
      <c r="I317" s="29"/>
      <c r="J317" s="29"/>
      <c r="K317" s="29"/>
      <c r="L317" s="28"/>
      <c r="M317" s="29"/>
      <c r="N317" s="29"/>
      <c r="O317" s="583">
        <v>204</v>
      </c>
      <c r="P317" s="583">
        <v>242</v>
      </c>
      <c r="Q317" s="643">
        <v>858</v>
      </c>
      <c r="R317" s="583">
        <v>201</v>
      </c>
      <c r="S317" s="583">
        <v>246</v>
      </c>
      <c r="T317" s="583">
        <v>244</v>
      </c>
      <c r="U317" s="583">
        <v>266</v>
      </c>
      <c r="V317" s="643">
        <v>957</v>
      </c>
      <c r="W317" s="583">
        <v>197</v>
      </c>
      <c r="X317" s="583">
        <v>222</v>
      </c>
      <c r="Y317" s="583">
        <v>265</v>
      </c>
      <c r="Z317" s="583">
        <v>254</v>
      </c>
      <c r="AA317" s="643">
        <v>938</v>
      </c>
      <c r="AB317" s="587">
        <v>239</v>
      </c>
      <c r="AC317" s="587">
        <v>257</v>
      </c>
      <c r="AD317" s="587">
        <v>290</v>
      </c>
      <c r="AE317" s="587">
        <v>272</v>
      </c>
      <c r="AF317" s="588">
        <v>1058</v>
      </c>
      <c r="AG317" s="587">
        <v>247</v>
      </c>
      <c r="AH317" s="587">
        <v>327</v>
      </c>
      <c r="AI317" s="587">
        <v>350</v>
      </c>
      <c r="AJ317" s="587">
        <v>310</v>
      </c>
      <c r="AK317" s="588">
        <v>1234</v>
      </c>
      <c r="AL317" s="512"/>
      <c r="AM317" s="512"/>
      <c r="AN317" s="15"/>
      <c r="AO317" s="15"/>
      <c r="AP317" s="206"/>
      <c r="AQ317" s="15"/>
      <c r="AR317" s="15"/>
      <c r="AS317" s="15"/>
      <c r="AT317" s="15"/>
      <c r="AU317" s="206"/>
      <c r="AV317" s="15"/>
      <c r="AW317" s="15"/>
      <c r="AX317" s="15"/>
      <c r="AY317" s="15"/>
      <c r="AZ317" s="206"/>
    </row>
    <row r="318" spans="2:54" hidden="1" outlineLevel="1">
      <c r="B318" s="5" t="s">
        <v>744</v>
      </c>
      <c r="C318" s="6"/>
      <c r="D318" s="6"/>
      <c r="E318" s="28"/>
      <c r="F318" s="28"/>
      <c r="G318" s="28"/>
      <c r="H318" s="29"/>
      <c r="I318" s="29"/>
      <c r="J318" s="29"/>
      <c r="K318" s="29"/>
      <c r="L318" s="28"/>
      <c r="M318" s="29"/>
      <c r="N318" s="29"/>
      <c r="O318" s="583">
        <v>27</v>
      </c>
      <c r="P318" s="583">
        <v>18</v>
      </c>
      <c r="Q318" s="643">
        <v>82</v>
      </c>
      <c r="R318" s="583">
        <v>12</v>
      </c>
      <c r="S318" s="583">
        <v>20</v>
      </c>
      <c r="T318" s="583">
        <v>25</v>
      </c>
      <c r="U318" s="583">
        <v>25</v>
      </c>
      <c r="V318" s="643">
        <v>82</v>
      </c>
      <c r="W318" s="583">
        <v>27</v>
      </c>
      <c r="X318" s="583">
        <v>23</v>
      </c>
      <c r="Y318" s="583">
        <v>25</v>
      </c>
      <c r="Z318" s="583">
        <v>33</v>
      </c>
      <c r="AA318" s="643">
        <v>108</v>
      </c>
      <c r="AB318" s="587">
        <v>23</v>
      </c>
      <c r="AC318" s="587">
        <v>37</v>
      </c>
      <c r="AD318" s="587">
        <v>37</v>
      </c>
      <c r="AE318" s="587">
        <v>38</v>
      </c>
      <c r="AF318" s="588">
        <v>135</v>
      </c>
      <c r="AG318" s="587">
        <v>26</v>
      </c>
      <c r="AH318" s="587">
        <v>50</v>
      </c>
      <c r="AI318" s="587">
        <v>41</v>
      </c>
      <c r="AJ318" s="587">
        <v>45</v>
      </c>
      <c r="AK318" s="588">
        <v>162</v>
      </c>
      <c r="AL318" s="512"/>
      <c r="AM318" s="512"/>
      <c r="AN318" s="15"/>
      <c r="AO318" s="15"/>
      <c r="AP318" s="206"/>
      <c r="AQ318" s="15"/>
      <c r="AR318" s="15"/>
      <c r="AS318" s="15"/>
      <c r="AT318" s="15"/>
      <c r="AU318" s="206"/>
      <c r="AV318" s="15"/>
      <c r="AW318" s="15"/>
      <c r="AX318" s="15"/>
      <c r="AY318" s="15"/>
      <c r="AZ318" s="206"/>
    </row>
    <row r="319" spans="2:54" hidden="1" outlineLevel="1">
      <c r="B319" s="5" t="s">
        <v>520</v>
      </c>
      <c r="C319" s="6"/>
      <c r="D319" s="6"/>
      <c r="E319" s="28"/>
      <c r="F319" s="28"/>
      <c r="G319" s="28"/>
      <c r="H319" s="29"/>
      <c r="I319" s="29"/>
      <c r="J319" s="29"/>
      <c r="K319" s="29"/>
      <c r="L319" s="28"/>
      <c r="M319" s="29"/>
      <c r="N319" s="29"/>
      <c r="O319" s="583">
        <v>-78</v>
      </c>
      <c r="P319" s="583">
        <v>-74</v>
      </c>
      <c r="Q319" s="643">
        <v>-337</v>
      </c>
      <c r="R319" s="583">
        <v>-87</v>
      </c>
      <c r="S319" s="583">
        <v>-85</v>
      </c>
      <c r="T319" s="583">
        <v>-83</v>
      </c>
      <c r="U319" s="583">
        <v>-80</v>
      </c>
      <c r="V319" s="643">
        <v>-335</v>
      </c>
      <c r="W319" s="583">
        <v>-90</v>
      </c>
      <c r="X319" s="583">
        <v>-102</v>
      </c>
      <c r="Y319" s="583">
        <v>-93</v>
      </c>
      <c r="Z319" s="583">
        <v>-105</v>
      </c>
      <c r="AA319" s="643">
        <v>-390</v>
      </c>
      <c r="AB319" s="587">
        <v>-143</v>
      </c>
      <c r="AC319" s="587">
        <v>-148</v>
      </c>
      <c r="AD319" s="587">
        <v>-119</v>
      </c>
      <c r="AE319" s="587">
        <v>-127</v>
      </c>
      <c r="AF319" s="588">
        <v>-537</v>
      </c>
      <c r="AG319" s="587">
        <v>-95</v>
      </c>
      <c r="AH319" s="587">
        <v>-161</v>
      </c>
      <c r="AI319" s="587">
        <v>-127</v>
      </c>
      <c r="AJ319" s="587">
        <v>-122</v>
      </c>
      <c r="AK319" s="588">
        <v>-505</v>
      </c>
      <c r="AL319" s="512"/>
      <c r="AM319" s="512"/>
      <c r="AN319" s="15"/>
      <c r="AO319" s="15"/>
      <c r="AP319" s="206"/>
      <c r="AQ319" s="15"/>
      <c r="AR319" s="15"/>
      <c r="AS319" s="15"/>
      <c r="AT319" s="15"/>
      <c r="AU319" s="206"/>
      <c r="AV319" s="15"/>
      <c r="AW319" s="15"/>
      <c r="AX319" s="15"/>
      <c r="AY319" s="15"/>
      <c r="AZ319" s="206"/>
    </row>
    <row r="320" spans="2:54" hidden="1" outlineLevel="1">
      <c r="B320" s="5" t="s">
        <v>70</v>
      </c>
      <c r="C320" s="6"/>
      <c r="D320" s="6"/>
      <c r="E320" s="28"/>
      <c r="F320" s="28"/>
      <c r="G320" s="28"/>
      <c r="H320" s="29"/>
      <c r="I320" s="29"/>
      <c r="J320" s="29"/>
      <c r="K320" s="29"/>
      <c r="L320" s="28"/>
      <c r="M320" s="29"/>
      <c r="N320" s="29"/>
      <c r="O320" s="583">
        <v>697</v>
      </c>
      <c r="P320" s="583">
        <v>720</v>
      </c>
      <c r="Q320" s="643">
        <v>2620</v>
      </c>
      <c r="R320" s="583">
        <v>621</v>
      </c>
      <c r="S320" s="583">
        <v>702</v>
      </c>
      <c r="T320" s="583">
        <v>754</v>
      </c>
      <c r="U320" s="583">
        <v>813</v>
      </c>
      <c r="V320" s="643">
        <v>2890</v>
      </c>
      <c r="W320" s="583">
        <v>684</v>
      </c>
      <c r="X320" s="583">
        <v>775</v>
      </c>
      <c r="Y320" s="583">
        <v>874</v>
      </c>
      <c r="Z320" s="583">
        <v>858</v>
      </c>
      <c r="AA320" s="643">
        <v>3191</v>
      </c>
      <c r="AB320" s="587">
        <v>741</v>
      </c>
      <c r="AC320" s="587">
        <v>839</v>
      </c>
      <c r="AD320" s="587">
        <v>931</v>
      </c>
      <c r="AE320" s="587">
        <v>910</v>
      </c>
      <c r="AF320" s="588">
        <v>3421</v>
      </c>
      <c r="AG320" s="587">
        <v>732</v>
      </c>
      <c r="AH320" s="587">
        <v>832</v>
      </c>
      <c r="AI320" s="587">
        <v>947</v>
      </c>
      <c r="AJ320" s="587">
        <v>1027</v>
      </c>
      <c r="AK320" s="588">
        <v>3538</v>
      </c>
      <c r="AL320" s="512"/>
      <c r="AM320" s="512"/>
      <c r="AN320" s="15"/>
      <c r="AO320" s="15"/>
      <c r="AP320" s="206"/>
      <c r="AQ320" s="15"/>
      <c r="AR320" s="15"/>
      <c r="AS320" s="15"/>
      <c r="AT320" s="15"/>
      <c r="AU320" s="206"/>
      <c r="AV320" s="15"/>
      <c r="AW320" s="15"/>
      <c r="AX320" s="15"/>
      <c r="AY320" s="15"/>
      <c r="AZ320" s="206"/>
    </row>
    <row r="321" spans="2:52" hidden="1" outlineLevel="1">
      <c r="B321" s="5"/>
      <c r="C321" s="6"/>
      <c r="D321" s="6"/>
      <c r="E321" s="28"/>
      <c r="F321" s="28"/>
      <c r="G321" s="28"/>
      <c r="H321" s="29"/>
      <c r="I321" s="29"/>
      <c r="J321" s="29"/>
      <c r="K321" s="29"/>
      <c r="L321" s="28"/>
      <c r="M321" s="29"/>
      <c r="N321" s="29"/>
      <c r="O321" s="53"/>
      <c r="P321" s="53"/>
      <c r="Q321" s="54"/>
      <c r="R321" s="53"/>
      <c r="S321" s="53"/>
      <c r="T321" s="53"/>
      <c r="U321" s="53"/>
      <c r="V321" s="54"/>
      <c r="W321" s="53"/>
      <c r="X321" s="53"/>
      <c r="Y321" s="53"/>
      <c r="Z321" s="53"/>
      <c r="AA321" s="54"/>
      <c r="AB321" s="512"/>
      <c r="AC321" s="512"/>
      <c r="AD321" s="512"/>
      <c r="AE321" s="512"/>
      <c r="AF321" s="513"/>
      <c r="AG321" s="512"/>
      <c r="AH321" s="512"/>
      <c r="AI321" s="512"/>
      <c r="AJ321" s="512"/>
      <c r="AK321" s="513"/>
      <c r="AL321" s="512"/>
      <c r="AM321" s="512"/>
      <c r="AN321" s="15"/>
      <c r="AO321" s="15"/>
      <c r="AP321" s="206"/>
      <c r="AQ321" s="15"/>
      <c r="AR321" s="15"/>
      <c r="AS321" s="15"/>
      <c r="AT321" s="15"/>
      <c r="AU321" s="206"/>
      <c r="AV321" s="15"/>
      <c r="AW321" s="15"/>
      <c r="AX321" s="15"/>
      <c r="AY321" s="15"/>
      <c r="AZ321" s="206"/>
    </row>
    <row r="322" spans="2:52" hidden="1" outlineLevel="1">
      <c r="B322" s="5" t="s">
        <v>805</v>
      </c>
      <c r="C322" s="6"/>
      <c r="D322" s="6"/>
      <c r="E322" s="28"/>
      <c r="F322" s="28"/>
      <c r="G322" s="28"/>
      <c r="H322" s="29"/>
      <c r="I322" s="29"/>
      <c r="J322" s="29"/>
      <c r="K322" s="29"/>
      <c r="L322" s="28"/>
      <c r="M322" s="29"/>
      <c r="N322" s="29"/>
      <c r="O322" s="53"/>
      <c r="P322" s="53"/>
      <c r="Q322" s="54"/>
      <c r="R322" s="53"/>
      <c r="S322" s="53"/>
      <c r="T322" s="53"/>
      <c r="U322" s="53"/>
      <c r="V322" s="54"/>
      <c r="W322" s="53"/>
      <c r="X322" s="53"/>
      <c r="Y322" s="53"/>
      <c r="Z322" s="53"/>
      <c r="AA322" s="54"/>
      <c r="AB322" s="512"/>
      <c r="AC322" s="512"/>
      <c r="AD322" s="512"/>
      <c r="AE322" s="512"/>
      <c r="AF322" s="513"/>
      <c r="AG322" s="512"/>
      <c r="AH322" s="512"/>
      <c r="AI322" s="512"/>
      <c r="AJ322" s="512"/>
      <c r="AK322" s="513"/>
      <c r="AL322" s="512"/>
      <c r="AM322" s="512"/>
      <c r="AN322" s="15"/>
      <c r="AO322" s="15"/>
      <c r="AP322" s="206"/>
      <c r="AQ322" s="15"/>
      <c r="AR322" s="15"/>
      <c r="AS322" s="15"/>
      <c r="AT322" s="15"/>
      <c r="AU322" s="206"/>
      <c r="AV322" s="15"/>
      <c r="AW322" s="15"/>
      <c r="AX322" s="15"/>
      <c r="AY322" s="15"/>
      <c r="AZ322" s="206"/>
    </row>
    <row r="323" spans="2:52" hidden="1" outlineLevel="1">
      <c r="B323" s="38" t="s">
        <v>746</v>
      </c>
      <c r="C323" s="6"/>
      <c r="D323" s="6"/>
      <c r="E323" s="28"/>
      <c r="F323" s="28"/>
      <c r="G323" s="28"/>
      <c r="H323" s="29"/>
      <c r="I323" s="29"/>
      <c r="J323" s="29"/>
      <c r="K323" s="29"/>
      <c r="L323" s="28"/>
      <c r="M323" s="29"/>
      <c r="N323" s="29"/>
      <c r="O323" s="447">
        <v>0.92</v>
      </c>
      <c r="P323" s="447">
        <v>0.92</v>
      </c>
      <c r="Q323" s="497">
        <v>0.92</v>
      </c>
      <c r="R323" s="447">
        <v>0.92</v>
      </c>
      <c r="S323" s="447">
        <v>0.92</v>
      </c>
      <c r="T323" s="447">
        <v>0.92</v>
      </c>
      <c r="U323" s="447">
        <v>0.92</v>
      </c>
      <c r="V323" s="497">
        <v>0.92</v>
      </c>
      <c r="W323" s="447">
        <v>0.92</v>
      </c>
      <c r="X323" s="447">
        <v>0.92</v>
      </c>
      <c r="Y323" s="447">
        <v>0.92</v>
      </c>
      <c r="Z323" s="447">
        <v>0.92</v>
      </c>
      <c r="AA323" s="497">
        <v>0.92</v>
      </c>
      <c r="AB323" s="434">
        <f t="shared" ref="AB323:AJ323" si="866">AB309/AB315</f>
        <v>0.92161520190023749</v>
      </c>
      <c r="AC323" s="434">
        <f t="shared" si="866"/>
        <v>0.90346534653465349</v>
      </c>
      <c r="AD323" s="434">
        <f t="shared" si="866"/>
        <v>0.8970588235294118</v>
      </c>
      <c r="AE323" s="434">
        <f t="shared" si="866"/>
        <v>0.90975609756097564</v>
      </c>
      <c r="AF323" s="440">
        <f t="shared" si="866"/>
        <v>0.90809494826536818</v>
      </c>
      <c r="AG323" s="434">
        <f t="shared" si="866"/>
        <v>0.94357366771159878</v>
      </c>
      <c r="AH323" s="434">
        <f t="shared" si="866"/>
        <v>0.92682926829268297</v>
      </c>
      <c r="AI323" s="434">
        <f t="shared" si="866"/>
        <v>0.91836734693877553</v>
      </c>
      <c r="AJ323" s="434">
        <f t="shared" si="866"/>
        <v>0.90062111801242239</v>
      </c>
      <c r="AK323" s="440">
        <f>AK309/AK315</f>
        <v>0.92007926023778075</v>
      </c>
      <c r="AL323" s="512"/>
      <c r="AM323" s="512"/>
      <c r="AN323" s="15"/>
      <c r="AO323" s="15"/>
      <c r="AP323" s="206"/>
      <c r="AQ323" s="15"/>
      <c r="AR323" s="15"/>
      <c r="AS323" s="15"/>
      <c r="AT323" s="15"/>
      <c r="AU323" s="206"/>
      <c r="AV323" s="15"/>
      <c r="AW323" s="15"/>
      <c r="AX323" s="15"/>
      <c r="AY323" s="15"/>
      <c r="AZ323" s="206"/>
    </row>
    <row r="324" spans="2:52" hidden="1" outlineLevel="1">
      <c r="B324" s="38" t="s">
        <v>747</v>
      </c>
      <c r="C324" s="6"/>
      <c r="D324" s="6"/>
      <c r="E324" s="28"/>
      <c r="F324" s="28"/>
      <c r="G324" s="28"/>
      <c r="H324" s="29"/>
      <c r="I324" s="29"/>
      <c r="J324" s="29"/>
      <c r="K324" s="29"/>
      <c r="L324" s="28"/>
      <c r="M324" s="29"/>
      <c r="N324" s="29"/>
      <c r="O324" s="447">
        <v>0.95</v>
      </c>
      <c r="P324" s="447">
        <v>0.95</v>
      </c>
      <c r="Q324" s="497">
        <v>0.95</v>
      </c>
      <c r="R324" s="447">
        <v>0.95</v>
      </c>
      <c r="S324" s="447">
        <v>0.95</v>
      </c>
      <c r="T324" s="447">
        <v>0.95</v>
      </c>
      <c r="U324" s="447">
        <v>0.95</v>
      </c>
      <c r="V324" s="497">
        <v>0.95</v>
      </c>
      <c r="W324" s="447">
        <v>0.95</v>
      </c>
      <c r="X324" s="447">
        <v>0.95</v>
      </c>
      <c r="Y324" s="447">
        <v>0.95</v>
      </c>
      <c r="Z324" s="447">
        <v>0.95</v>
      </c>
      <c r="AA324" s="497">
        <v>0.95</v>
      </c>
      <c r="AB324" s="434">
        <f t="shared" ref="AB324:AJ324" si="867">AB308/(AB316+AB317)</f>
        <v>0.94545454545454544</v>
      </c>
      <c r="AC324" s="434">
        <f t="shared" si="867"/>
        <v>0.9505494505494505</v>
      </c>
      <c r="AD324" s="434">
        <f t="shared" si="867"/>
        <v>0.95206611570247934</v>
      </c>
      <c r="AE324" s="434">
        <f t="shared" si="867"/>
        <v>0.94567062818336167</v>
      </c>
      <c r="AF324" s="440">
        <f t="shared" si="867"/>
        <v>0.94862385321100917</v>
      </c>
      <c r="AG324" s="434">
        <f t="shared" si="867"/>
        <v>0.94398340248962653</v>
      </c>
      <c r="AH324" s="434">
        <f t="shared" si="867"/>
        <v>0.95296167247386765</v>
      </c>
      <c r="AI324" s="434">
        <f t="shared" si="867"/>
        <v>0.94927536231884058</v>
      </c>
      <c r="AJ324" s="434">
        <f t="shared" si="867"/>
        <v>0.95491143317230276</v>
      </c>
      <c r="AK324" s="440">
        <f>AK308/(AK316+AK317)</f>
        <v>0.95057034220532322</v>
      </c>
      <c r="AL324" s="512"/>
      <c r="AM324" s="512"/>
      <c r="AN324" s="15"/>
      <c r="AO324" s="15"/>
      <c r="AP324" s="206"/>
      <c r="AQ324" s="15"/>
      <c r="AR324" s="15"/>
      <c r="AS324" s="15"/>
      <c r="AT324" s="15"/>
      <c r="AU324" s="206"/>
      <c r="AV324" s="15"/>
      <c r="AW324" s="15"/>
      <c r="AX324" s="15"/>
      <c r="AY324" s="15"/>
      <c r="AZ324" s="206"/>
    </row>
    <row r="325" spans="2:52" hidden="1" outlineLevel="1">
      <c r="B325" s="38" t="s">
        <v>803</v>
      </c>
      <c r="C325" s="6"/>
      <c r="D325" s="6"/>
      <c r="E325" s="28"/>
      <c r="F325" s="28"/>
      <c r="G325" s="28"/>
      <c r="H325" s="29"/>
      <c r="I325" s="29"/>
      <c r="J325" s="29"/>
      <c r="K325" s="29"/>
      <c r="L325" s="28"/>
      <c r="M325" s="29"/>
      <c r="N325" s="29"/>
      <c r="O325" s="434">
        <f t="shared" ref="O325:Y326" si="868">1-O323</f>
        <v>7.999999999999996E-2</v>
      </c>
      <c r="P325" s="434">
        <f t="shared" si="868"/>
        <v>7.999999999999996E-2</v>
      </c>
      <c r="Q325" s="440">
        <f t="shared" si="868"/>
        <v>7.999999999999996E-2</v>
      </c>
      <c r="R325" s="434">
        <f t="shared" si="868"/>
        <v>7.999999999999996E-2</v>
      </c>
      <c r="S325" s="434">
        <f t="shared" si="868"/>
        <v>7.999999999999996E-2</v>
      </c>
      <c r="T325" s="434">
        <f t="shared" si="868"/>
        <v>7.999999999999996E-2</v>
      </c>
      <c r="U325" s="434">
        <f t="shared" si="868"/>
        <v>7.999999999999996E-2</v>
      </c>
      <c r="V325" s="440">
        <f t="shared" si="868"/>
        <v>7.999999999999996E-2</v>
      </c>
      <c r="W325" s="434">
        <f t="shared" si="868"/>
        <v>7.999999999999996E-2</v>
      </c>
      <c r="X325" s="434">
        <f t="shared" si="868"/>
        <v>7.999999999999996E-2</v>
      </c>
      <c r="Y325" s="434">
        <f t="shared" si="868"/>
        <v>7.999999999999996E-2</v>
      </c>
      <c r="Z325" s="434">
        <f t="shared" ref="Z325" si="869">1-Z323</f>
        <v>7.999999999999996E-2</v>
      </c>
      <c r="AA325" s="440">
        <f t="shared" ref="AA325" si="870">1-AA323</f>
        <v>7.999999999999996E-2</v>
      </c>
      <c r="AB325" s="434">
        <f t="shared" ref="AB325:AJ325" si="871">1-AB323</f>
        <v>7.8384798099762509E-2</v>
      </c>
      <c r="AC325" s="434">
        <f t="shared" si="871"/>
        <v>9.6534653465346509E-2</v>
      </c>
      <c r="AD325" s="434">
        <f t="shared" si="871"/>
        <v>0.1029411764705882</v>
      </c>
      <c r="AE325" s="434">
        <f t="shared" si="871"/>
        <v>9.0243902439024359E-2</v>
      </c>
      <c r="AF325" s="440">
        <f t="shared" si="871"/>
        <v>9.1905051734631815E-2</v>
      </c>
      <c r="AG325" s="434">
        <f t="shared" si="871"/>
        <v>5.6426332288401215E-2</v>
      </c>
      <c r="AH325" s="434">
        <f t="shared" si="871"/>
        <v>7.3170731707317027E-2</v>
      </c>
      <c r="AI325" s="434">
        <f t="shared" si="871"/>
        <v>8.1632653061224469E-2</v>
      </c>
      <c r="AJ325" s="434">
        <f t="shared" si="871"/>
        <v>9.9378881987577605E-2</v>
      </c>
      <c r="AK325" s="440">
        <f>1-AK323</f>
        <v>7.9920739762219251E-2</v>
      </c>
      <c r="AL325" s="512"/>
      <c r="AM325" s="512"/>
      <c r="AN325" s="15"/>
      <c r="AO325" s="15"/>
      <c r="AP325" s="206"/>
      <c r="AQ325" s="15"/>
      <c r="AR325" s="15"/>
      <c r="AS325" s="15"/>
      <c r="AT325" s="15"/>
      <c r="AU325" s="206"/>
      <c r="AV325" s="15"/>
      <c r="AW325" s="15"/>
      <c r="AX325" s="15"/>
      <c r="AY325" s="15"/>
      <c r="AZ325" s="206"/>
    </row>
    <row r="326" spans="2:52" hidden="1" outlineLevel="1">
      <c r="B326" s="38" t="s">
        <v>804</v>
      </c>
      <c r="C326" s="6"/>
      <c r="D326" s="6"/>
      <c r="E326" s="28"/>
      <c r="F326" s="28"/>
      <c r="G326" s="28"/>
      <c r="H326" s="29"/>
      <c r="I326" s="29"/>
      <c r="J326" s="29"/>
      <c r="K326" s="29"/>
      <c r="L326" s="28"/>
      <c r="M326" s="29"/>
      <c r="N326" s="29"/>
      <c r="O326" s="434">
        <f t="shared" si="868"/>
        <v>5.0000000000000044E-2</v>
      </c>
      <c r="P326" s="434">
        <f t="shared" si="868"/>
        <v>5.0000000000000044E-2</v>
      </c>
      <c r="Q326" s="440">
        <f t="shared" si="868"/>
        <v>5.0000000000000044E-2</v>
      </c>
      <c r="R326" s="434">
        <f t="shared" si="868"/>
        <v>5.0000000000000044E-2</v>
      </c>
      <c r="S326" s="434">
        <f t="shared" si="868"/>
        <v>5.0000000000000044E-2</v>
      </c>
      <c r="T326" s="434">
        <f t="shared" si="868"/>
        <v>5.0000000000000044E-2</v>
      </c>
      <c r="U326" s="434">
        <f t="shared" si="868"/>
        <v>5.0000000000000044E-2</v>
      </c>
      <c r="V326" s="440">
        <f t="shared" si="868"/>
        <v>5.0000000000000044E-2</v>
      </c>
      <c r="W326" s="434">
        <f t="shared" si="868"/>
        <v>5.0000000000000044E-2</v>
      </c>
      <c r="X326" s="434">
        <f t="shared" si="868"/>
        <v>5.0000000000000044E-2</v>
      </c>
      <c r="Y326" s="434">
        <f t="shared" si="868"/>
        <v>5.0000000000000044E-2</v>
      </c>
      <c r="Z326" s="434">
        <f t="shared" ref="Z326" si="872">1-Z324</f>
        <v>5.0000000000000044E-2</v>
      </c>
      <c r="AA326" s="440">
        <f t="shared" ref="AA326" si="873">1-AA324</f>
        <v>5.0000000000000044E-2</v>
      </c>
      <c r="AB326" s="434">
        <f t="shared" ref="AB326:AJ326" si="874">1-AB324</f>
        <v>5.4545454545454564E-2</v>
      </c>
      <c r="AC326" s="434">
        <f t="shared" si="874"/>
        <v>4.9450549450549497E-2</v>
      </c>
      <c r="AD326" s="434">
        <f t="shared" si="874"/>
        <v>4.7933884297520657E-2</v>
      </c>
      <c r="AE326" s="434">
        <f t="shared" si="874"/>
        <v>5.4329371816638328E-2</v>
      </c>
      <c r="AF326" s="440">
        <f t="shared" si="874"/>
        <v>5.1376146788990829E-2</v>
      </c>
      <c r="AG326" s="434">
        <f t="shared" si="874"/>
        <v>5.6016597510373467E-2</v>
      </c>
      <c r="AH326" s="434">
        <f t="shared" si="874"/>
        <v>4.7038327526132351E-2</v>
      </c>
      <c r="AI326" s="434">
        <f t="shared" si="874"/>
        <v>5.0724637681159424E-2</v>
      </c>
      <c r="AJ326" s="434">
        <f t="shared" si="874"/>
        <v>4.5088566827697241E-2</v>
      </c>
      <c r="AK326" s="440">
        <f>1-AK324</f>
        <v>4.9429657794676785E-2</v>
      </c>
      <c r="AL326" s="512"/>
      <c r="AM326" s="512"/>
      <c r="AN326" s="15"/>
      <c r="AO326" s="15"/>
      <c r="AP326" s="206"/>
      <c r="AQ326" s="15"/>
      <c r="AR326" s="15"/>
      <c r="AS326" s="15"/>
      <c r="AT326" s="15"/>
      <c r="AU326" s="206"/>
      <c r="AV326" s="15"/>
      <c r="AW326" s="15"/>
      <c r="AX326" s="15"/>
      <c r="AY326" s="15"/>
      <c r="AZ326" s="206"/>
    </row>
    <row r="327" spans="2:52" collapsed="1">
      <c r="B327" s="514"/>
      <c r="C327" s="6"/>
      <c r="D327" s="6"/>
      <c r="E327" s="28"/>
      <c r="F327" s="28"/>
      <c r="G327" s="28"/>
      <c r="H327" s="29"/>
      <c r="I327" s="29"/>
      <c r="J327" s="29"/>
      <c r="K327" s="29"/>
      <c r="L327" s="28"/>
      <c r="M327" s="29"/>
      <c r="N327" s="29"/>
      <c r="O327" s="439"/>
      <c r="P327" s="439"/>
      <c r="Q327" s="438"/>
      <c r="R327" s="439"/>
      <c r="S327" s="439"/>
      <c r="T327" s="439"/>
      <c r="U327" s="439"/>
      <c r="V327" s="438"/>
      <c r="W327" s="439"/>
      <c r="X327" s="439"/>
      <c r="Y327" s="439"/>
      <c r="Z327" s="439"/>
      <c r="AA327" s="438"/>
      <c r="AB327" s="512"/>
      <c r="AC327" s="512"/>
      <c r="AD327" s="512"/>
      <c r="AE327" s="512"/>
      <c r="AF327" s="513"/>
      <c r="AG327" s="512"/>
      <c r="AH327" s="512"/>
      <c r="AI327" s="512"/>
      <c r="AJ327" s="512"/>
      <c r="AK327" s="440"/>
      <c r="AL327" s="512"/>
      <c r="AM327" s="512"/>
      <c r="AN327" s="15"/>
      <c r="AO327" s="15"/>
      <c r="AP327" s="206"/>
      <c r="AQ327" s="15"/>
      <c r="AR327" s="15"/>
      <c r="AS327" s="15"/>
      <c r="AT327" s="15"/>
      <c r="AU327" s="206"/>
      <c r="AV327" s="15"/>
      <c r="AW327" s="15"/>
      <c r="AX327" s="15"/>
      <c r="AY327" s="15"/>
      <c r="AZ327" s="206"/>
    </row>
    <row r="328" spans="2:52">
      <c r="B328" s="10" t="s">
        <v>920</v>
      </c>
      <c r="C328" s="6"/>
      <c r="D328" s="6"/>
      <c r="E328" s="28"/>
      <c r="F328" s="28"/>
      <c r="G328" s="28"/>
      <c r="H328" s="29"/>
      <c r="I328" s="29"/>
      <c r="J328" s="29"/>
      <c r="K328" s="29"/>
      <c r="L328" s="28"/>
      <c r="M328" s="29"/>
      <c r="N328" s="29"/>
      <c r="O328" s="29"/>
      <c r="P328" s="29"/>
      <c r="Q328" s="28"/>
      <c r="R328" s="29"/>
      <c r="S328" s="29"/>
      <c r="T328" s="29"/>
      <c r="U328" s="29"/>
      <c r="V328" s="28"/>
      <c r="W328" s="29"/>
      <c r="X328" s="29"/>
      <c r="Y328" s="29"/>
      <c r="Z328" s="29"/>
      <c r="AA328" s="28"/>
      <c r="AB328" s="29"/>
      <c r="AC328" s="29"/>
      <c r="AD328" s="29"/>
      <c r="AE328" s="29"/>
      <c r="AF328" s="28"/>
      <c r="AG328" s="29"/>
      <c r="AH328" s="29"/>
      <c r="AI328" s="29"/>
      <c r="AJ328" s="29"/>
      <c r="AK328" s="28"/>
      <c r="AL328" s="29"/>
      <c r="AM328" s="29"/>
      <c r="AN328" s="15"/>
      <c r="AO328" s="15"/>
      <c r="AP328" s="206"/>
      <c r="AQ328" s="15"/>
      <c r="AR328" s="15"/>
      <c r="AS328" s="15"/>
      <c r="AT328" s="15"/>
      <c r="AU328" s="206"/>
      <c r="AV328" s="15"/>
      <c r="AW328" s="15"/>
      <c r="AX328" s="15"/>
      <c r="AY328" s="15"/>
      <c r="AZ328" s="206"/>
    </row>
    <row r="329" spans="2:52" hidden="1" outlineLevel="1">
      <c r="B329" s="5" t="s">
        <v>69</v>
      </c>
      <c r="C329" s="6" t="s">
        <v>890</v>
      </c>
      <c r="D329" s="6"/>
      <c r="E329" s="28"/>
      <c r="F329" s="28"/>
      <c r="G329" s="28"/>
      <c r="H329" s="29"/>
      <c r="I329" s="29"/>
      <c r="J329" s="29"/>
      <c r="K329" s="29"/>
      <c r="L329" s="28"/>
      <c r="M329" s="29"/>
      <c r="N329" s="29"/>
      <c r="O329" s="19">
        <f t="shared" ref="O329:AZ329" si="875">O308/O$312</f>
        <v>0.50157819225251066</v>
      </c>
      <c r="P329" s="19">
        <f t="shared" si="875"/>
        <v>0.59111111111111114</v>
      </c>
      <c r="Q329" s="18">
        <f t="shared" si="875"/>
        <v>0.60406024562182781</v>
      </c>
      <c r="R329" s="19">
        <f t="shared" si="875"/>
        <v>0.55225442834138483</v>
      </c>
      <c r="S329" s="19">
        <f t="shared" si="875"/>
        <v>0.59002849002849</v>
      </c>
      <c r="T329" s="19">
        <f t="shared" si="875"/>
        <v>0.56067639257294433</v>
      </c>
      <c r="U329" s="19">
        <f t="shared" si="875"/>
        <v>0.58191881918819188</v>
      </c>
      <c r="V329" s="18">
        <f t="shared" si="875"/>
        <v>0.57197231833910034</v>
      </c>
      <c r="W329" s="19">
        <f t="shared" si="875"/>
        <v>0.55555555555555558</v>
      </c>
      <c r="X329" s="19">
        <f t="shared" si="875"/>
        <v>0.60187096774193538</v>
      </c>
      <c r="Y329" s="19">
        <f t="shared" si="875"/>
        <v>0.61847826086956514</v>
      </c>
      <c r="Z329" s="19">
        <f t="shared" si="875"/>
        <v>0.55250582750582744</v>
      </c>
      <c r="AA329" s="18">
        <f t="shared" si="875"/>
        <v>0.58321842682544645</v>
      </c>
      <c r="AB329" s="19">
        <f t="shared" si="875"/>
        <v>0.56140350877192979</v>
      </c>
      <c r="AC329" s="19">
        <f t="shared" si="875"/>
        <v>0.61859356376638852</v>
      </c>
      <c r="AD329" s="19">
        <f t="shared" si="875"/>
        <v>0.61868958109559613</v>
      </c>
      <c r="AE329" s="19">
        <f t="shared" si="875"/>
        <v>0.61208791208791213</v>
      </c>
      <c r="AF329" s="18">
        <f t="shared" si="875"/>
        <v>0.60450160771704176</v>
      </c>
      <c r="AG329" s="19">
        <f t="shared" si="875"/>
        <v>0.62158469945355188</v>
      </c>
      <c r="AH329" s="19">
        <f t="shared" si="875"/>
        <v>0.65745192307692313</v>
      </c>
      <c r="AI329" s="19">
        <f t="shared" si="875"/>
        <v>0.6916578669482577</v>
      </c>
      <c r="AJ329" s="19">
        <f t="shared" si="875"/>
        <v>0.57740993184031164</v>
      </c>
      <c r="AK329" s="18">
        <f t="shared" si="875"/>
        <v>0.63595251554550591</v>
      </c>
      <c r="AL329" s="19">
        <f t="shared" si="875"/>
        <v>0.72675250357653787</v>
      </c>
      <c r="AM329" s="19">
        <f t="shared" si="875"/>
        <v>0.73997709049255445</v>
      </c>
      <c r="AN329" s="165">
        <f t="shared" si="875"/>
        <v>0.72161873277805122</v>
      </c>
      <c r="AO329" s="165">
        <f t="shared" si="875"/>
        <v>0.63591672415671474</v>
      </c>
      <c r="AP329" s="237">
        <f t="shared" si="875"/>
        <v>0.70138789169645188</v>
      </c>
      <c r="AQ329" s="165">
        <f t="shared" si="875"/>
        <v>0.77688503167871681</v>
      </c>
      <c r="AR329" s="165">
        <f t="shared" si="875"/>
        <v>0.75922759560578512</v>
      </c>
      <c r="AS329" s="165">
        <f t="shared" si="875"/>
        <v>0.73499264257049313</v>
      </c>
      <c r="AT329" s="165">
        <f t="shared" si="875"/>
        <v>0.64966698155346503</v>
      </c>
      <c r="AU329" s="237">
        <f t="shared" si="875"/>
        <v>0.7236226775757777</v>
      </c>
      <c r="AV329" s="165">
        <f t="shared" si="875"/>
        <v>0.7960339931421746</v>
      </c>
      <c r="AW329" s="165">
        <f t="shared" si="875"/>
        <v>0.77461702703874058</v>
      </c>
      <c r="AX329" s="165">
        <f t="shared" si="875"/>
        <v>0.74815054165514461</v>
      </c>
      <c r="AY329" s="165">
        <f t="shared" si="875"/>
        <v>0.66331659504392182</v>
      </c>
      <c r="AZ329" s="237">
        <f t="shared" si="875"/>
        <v>0.73853786349163109</v>
      </c>
    </row>
    <row r="330" spans="2:52" hidden="1" outlineLevel="1">
      <c r="B330" s="5" t="s">
        <v>58</v>
      </c>
      <c r="C330" s="6" t="s">
        <v>891</v>
      </c>
      <c r="D330" s="6"/>
      <c r="E330" s="28"/>
      <c r="F330" s="28"/>
      <c r="G330" s="28"/>
      <c r="H330" s="29"/>
      <c r="I330" s="29"/>
      <c r="J330" s="29"/>
      <c r="K330" s="29"/>
      <c r="L330" s="28"/>
      <c r="M330" s="29"/>
      <c r="N330" s="29"/>
      <c r="O330" s="19">
        <f>O309/O$312</f>
        <v>0.50157819225251077</v>
      </c>
      <c r="P330" s="19">
        <f t="shared" ref="P330:AZ330" si="876">P309/P$312</f>
        <v>0.41911111111111116</v>
      </c>
      <c r="Q330" s="18">
        <f t="shared" si="876"/>
        <v>0.50287491054462896</v>
      </c>
      <c r="R330" s="19">
        <f t="shared" si="876"/>
        <v>0.49629629629629629</v>
      </c>
      <c r="S330" s="19">
        <f t="shared" si="876"/>
        <v>0.43378917378917387</v>
      </c>
      <c r="T330" s="19">
        <f t="shared" si="876"/>
        <v>0.44779840848806363</v>
      </c>
      <c r="U330" s="19">
        <f t="shared" si="876"/>
        <v>0.41869618696186967</v>
      </c>
      <c r="V330" s="18">
        <f t="shared" si="876"/>
        <v>0.44662975778546715</v>
      </c>
      <c r="W330" s="19">
        <f t="shared" si="876"/>
        <v>0.46672514619883043</v>
      </c>
      <c r="X330" s="19">
        <f t="shared" si="876"/>
        <v>0.43091612903225807</v>
      </c>
      <c r="Y330" s="19">
        <f t="shared" si="876"/>
        <v>0.39263157894736844</v>
      </c>
      <c r="Z330" s="19">
        <f t="shared" si="876"/>
        <v>0.46214452214452217</v>
      </c>
      <c r="AA330" s="18">
        <f t="shared" si="876"/>
        <v>0.43650266374177371</v>
      </c>
      <c r="AB330" s="19">
        <f t="shared" si="876"/>
        <v>0.52361673414304988</v>
      </c>
      <c r="AC330" s="19">
        <f t="shared" si="876"/>
        <v>0.43504171632896305</v>
      </c>
      <c r="AD330" s="19">
        <f t="shared" si="876"/>
        <v>0.39312567132116005</v>
      </c>
      <c r="AE330" s="19">
        <f t="shared" si="876"/>
        <v>0.40989010989010988</v>
      </c>
      <c r="AF330" s="18">
        <f t="shared" si="876"/>
        <v>0.43612978661210172</v>
      </c>
      <c r="AG330" s="19">
        <f t="shared" si="876"/>
        <v>0.41120218579234974</v>
      </c>
      <c r="AH330" s="19">
        <f t="shared" si="876"/>
        <v>0.41105769230769229</v>
      </c>
      <c r="AI330" s="19">
        <f t="shared" si="876"/>
        <v>0.33262935586061249</v>
      </c>
      <c r="AJ330" s="19">
        <f t="shared" si="876"/>
        <v>0.42356377799415773</v>
      </c>
      <c r="AK330" s="18">
        <f t="shared" si="876"/>
        <v>0.39372526851328432</v>
      </c>
      <c r="AL330" s="19">
        <f t="shared" si="876"/>
        <v>0.40772532188841204</v>
      </c>
      <c r="AM330" s="19">
        <f t="shared" si="876"/>
        <v>0.33447880870561281</v>
      </c>
      <c r="AN330" s="165">
        <f t="shared" si="876"/>
        <v>0.29850297290298983</v>
      </c>
      <c r="AO330" s="165">
        <f t="shared" si="876"/>
        <v>0.35873888393954789</v>
      </c>
      <c r="AP330" s="237">
        <f t="shared" si="876"/>
        <v>0.34561679585002847</v>
      </c>
      <c r="AQ330" s="165">
        <f t="shared" si="876"/>
        <v>0.35427270632178837</v>
      </c>
      <c r="AR330" s="165">
        <f t="shared" si="876"/>
        <v>0.31068985781586644</v>
      </c>
      <c r="AS330" s="165">
        <f t="shared" si="876"/>
        <v>0.28058526343527362</v>
      </c>
      <c r="AT330" s="165">
        <f t="shared" si="876"/>
        <v>0.33918830621102486</v>
      </c>
      <c r="AU330" s="237">
        <f t="shared" si="876"/>
        <v>0.31913847164581172</v>
      </c>
      <c r="AV330" s="165">
        <f t="shared" si="876"/>
        <v>0.33426027432767452</v>
      </c>
      <c r="AW330" s="165">
        <f t="shared" si="876"/>
        <v>0.29182628747504086</v>
      </c>
      <c r="AX330" s="165">
        <f t="shared" si="876"/>
        <v>0.26327276836408575</v>
      </c>
      <c r="AY330" s="165">
        <f t="shared" si="876"/>
        <v>0.32006781087305786</v>
      </c>
      <c r="AZ330" s="237">
        <f t="shared" si="876"/>
        <v>0.30033735586559307</v>
      </c>
    </row>
    <row r="331" spans="2:52" hidden="1" outlineLevel="1">
      <c r="B331" s="5" t="s">
        <v>52</v>
      </c>
      <c r="C331" s="6"/>
      <c r="D331" s="6"/>
      <c r="E331" s="28"/>
      <c r="F331" s="28"/>
      <c r="G331" s="28"/>
      <c r="H331" s="29"/>
      <c r="I331" s="29"/>
      <c r="J331" s="29"/>
      <c r="K331" s="29"/>
      <c r="L331" s="28"/>
      <c r="M331" s="29"/>
      <c r="N331" s="29"/>
      <c r="O331" s="19">
        <f>O310/O$312</f>
        <v>0.10875179340028694</v>
      </c>
      <c r="P331" s="19">
        <f t="shared" ref="P331:AZ331" si="877">P310/P$312</f>
        <v>9.2555555555555585E-2</v>
      </c>
      <c r="Q331" s="18">
        <f t="shared" si="877"/>
        <v>3.3725703098651791E-2</v>
      </c>
      <c r="R331" s="19">
        <f t="shared" si="877"/>
        <v>9.1545893719806759E-2</v>
      </c>
      <c r="S331" s="19">
        <f t="shared" si="877"/>
        <v>9.7264957264957264E-2</v>
      </c>
      <c r="T331" s="19">
        <f t="shared" si="877"/>
        <v>0.10160477453580903</v>
      </c>
      <c r="U331" s="19">
        <f t="shared" si="877"/>
        <v>9.7785977859778592E-2</v>
      </c>
      <c r="V331" s="18">
        <f t="shared" si="877"/>
        <v>9.7314878892733561E-2</v>
      </c>
      <c r="W331" s="19">
        <f t="shared" si="877"/>
        <v>0.10929824561403509</v>
      </c>
      <c r="X331" s="19">
        <f t="shared" si="877"/>
        <v>9.8825806451612888E-2</v>
      </c>
      <c r="Y331" s="19">
        <f t="shared" si="877"/>
        <v>9.5297482837528633E-2</v>
      </c>
      <c r="Z331" s="19">
        <f t="shared" si="877"/>
        <v>0.10772727272727274</v>
      </c>
      <c r="AA331" s="18">
        <f t="shared" si="877"/>
        <v>0.1024976496396114</v>
      </c>
      <c r="AB331" s="19">
        <f t="shared" si="877"/>
        <v>0.10796221322537113</v>
      </c>
      <c r="AC331" s="19">
        <f t="shared" si="877"/>
        <v>0.12276519666269368</v>
      </c>
      <c r="AD331" s="19">
        <f t="shared" si="877"/>
        <v>0.11600429645542427</v>
      </c>
      <c r="AE331" s="19">
        <f t="shared" si="877"/>
        <v>0.11758241758241758</v>
      </c>
      <c r="AF331" s="18">
        <f t="shared" si="877"/>
        <v>0.1163402513884829</v>
      </c>
      <c r="AG331" s="19">
        <f t="shared" si="877"/>
        <v>9.699453551912568E-2</v>
      </c>
      <c r="AH331" s="19">
        <f t="shared" si="877"/>
        <v>0.125</v>
      </c>
      <c r="AI331" s="19">
        <f t="shared" si="877"/>
        <v>0.10982048574445617</v>
      </c>
      <c r="AJ331" s="19">
        <f t="shared" si="877"/>
        <v>0.11781888997078871</v>
      </c>
      <c r="AK331" s="18">
        <f t="shared" si="877"/>
        <v>0.11305822498586772</v>
      </c>
      <c r="AL331" s="19">
        <f t="shared" si="877"/>
        <v>0.12017167381974249</v>
      </c>
      <c r="AM331" s="19">
        <f t="shared" si="877"/>
        <v>0.13287514318442153</v>
      </c>
      <c r="AN331" s="165">
        <f t="shared" si="877"/>
        <v>0.11016670949723371</v>
      </c>
      <c r="AO331" s="165">
        <f t="shared" si="877"/>
        <v>0.1194954545668275</v>
      </c>
      <c r="AP331" s="237">
        <f t="shared" si="877"/>
        <v>0.12020493743318923</v>
      </c>
      <c r="AQ331" s="165">
        <f t="shared" si="877"/>
        <v>0.12508560189221202</v>
      </c>
      <c r="AR331" s="165">
        <f t="shared" si="877"/>
        <v>0.13880103287205051</v>
      </c>
      <c r="AS331" s="165">
        <f t="shared" si="877"/>
        <v>0.11744700208197532</v>
      </c>
      <c r="AT331" s="165">
        <f t="shared" si="877"/>
        <v>0.12766286414073513</v>
      </c>
      <c r="AU331" s="237">
        <f t="shared" si="877"/>
        <v>0.12703849483749424</v>
      </c>
      <c r="AV331" s="165">
        <f t="shared" si="877"/>
        <v>0.13382749482458658</v>
      </c>
      <c r="AW331" s="165">
        <f t="shared" si="877"/>
        <v>0.14771760878257673</v>
      </c>
      <c r="AX331" s="165">
        <f t="shared" si="877"/>
        <v>0.12451438766844136</v>
      </c>
      <c r="AY331" s="165">
        <f t="shared" si="877"/>
        <v>0.13575815849750267</v>
      </c>
      <c r="AZ331" s="237">
        <f t="shared" si="877"/>
        <v>0.13516209834552867</v>
      </c>
    </row>
    <row r="332" spans="2:52" hidden="1" outlineLevel="1">
      <c r="B332" s="5" t="s">
        <v>520</v>
      </c>
      <c r="C332" s="6"/>
      <c r="D332" s="6"/>
      <c r="E332" s="28"/>
      <c r="F332" s="28"/>
      <c r="G332" s="28"/>
      <c r="H332" s="29"/>
      <c r="I332" s="29"/>
      <c r="J332" s="29"/>
      <c r="K332" s="29"/>
      <c r="L332" s="28"/>
      <c r="M332" s="29"/>
      <c r="N332" s="29"/>
      <c r="O332" s="19">
        <f>O311/O$312</f>
        <v>-0.11190817790530846</v>
      </c>
      <c r="P332" s="19">
        <f t="shared" ref="P332:AZ332" si="878">P311/P$312</f>
        <v>-0.10277777777777779</v>
      </c>
      <c r="Q332" s="18">
        <f t="shared" si="878"/>
        <v>-0.14066085926510868</v>
      </c>
      <c r="R332" s="19">
        <f t="shared" si="878"/>
        <v>-0.14009661835748793</v>
      </c>
      <c r="S332" s="19">
        <f t="shared" si="878"/>
        <v>-0.12108262108262108</v>
      </c>
      <c r="T332" s="19">
        <f t="shared" si="878"/>
        <v>-0.11007957559681697</v>
      </c>
      <c r="U332" s="19">
        <f t="shared" si="878"/>
        <v>-9.8400984009840098E-2</v>
      </c>
      <c r="V332" s="18">
        <f t="shared" si="878"/>
        <v>-0.11591695501730104</v>
      </c>
      <c r="W332" s="19">
        <f t="shared" si="878"/>
        <v>-0.13157894736842105</v>
      </c>
      <c r="X332" s="19">
        <f t="shared" si="878"/>
        <v>-0.13161290322580643</v>
      </c>
      <c r="Y332" s="19">
        <f t="shared" si="878"/>
        <v>-0.10640732265446225</v>
      </c>
      <c r="Z332" s="19">
        <f t="shared" si="878"/>
        <v>-0.12237762237762238</v>
      </c>
      <c r="AA332" s="18">
        <f t="shared" si="878"/>
        <v>-0.1222187402068317</v>
      </c>
      <c r="AB332" s="19">
        <f t="shared" si="878"/>
        <v>-0.19298245614035087</v>
      </c>
      <c r="AC332" s="19">
        <f t="shared" si="878"/>
        <v>-0.17640047675804529</v>
      </c>
      <c r="AD332" s="19">
        <f t="shared" si="878"/>
        <v>-0.12781954887218044</v>
      </c>
      <c r="AE332" s="19">
        <f t="shared" si="878"/>
        <v>-0.13956043956043956</v>
      </c>
      <c r="AF332" s="18">
        <f t="shared" si="878"/>
        <v>-0.15697164571762642</v>
      </c>
      <c r="AG332" s="19">
        <f t="shared" si="878"/>
        <v>-0.12978142076502733</v>
      </c>
      <c r="AH332" s="19">
        <f t="shared" si="878"/>
        <v>-0.19350961538461539</v>
      </c>
      <c r="AI332" s="19">
        <f t="shared" si="878"/>
        <v>-0.13410770855332629</v>
      </c>
      <c r="AJ332" s="19">
        <f t="shared" si="878"/>
        <v>-0.11879259980525804</v>
      </c>
      <c r="AK332" s="18">
        <f t="shared" si="878"/>
        <v>-0.142736009044658</v>
      </c>
      <c r="AL332" s="19">
        <f t="shared" si="878"/>
        <v>-0.25464949928469244</v>
      </c>
      <c r="AM332" s="19">
        <f t="shared" si="878"/>
        <v>-0.20733104238258879</v>
      </c>
      <c r="AN332" s="165">
        <f t="shared" si="878"/>
        <v>-0.13028841517827452</v>
      </c>
      <c r="AO332" s="165">
        <f t="shared" si="878"/>
        <v>-0.11415106266309012</v>
      </c>
      <c r="AP332" s="237">
        <f t="shared" si="878"/>
        <v>-0.16720962497966968</v>
      </c>
      <c r="AQ332" s="165">
        <f t="shared" si="878"/>
        <v>-0.25624333989271725</v>
      </c>
      <c r="AR332" s="165">
        <f t="shared" si="878"/>
        <v>-0.2087184862937021</v>
      </c>
      <c r="AS332" s="165">
        <f t="shared" si="878"/>
        <v>-0.13302490808774206</v>
      </c>
      <c r="AT332" s="165">
        <f t="shared" si="878"/>
        <v>-0.11651815190522505</v>
      </c>
      <c r="AU332" s="237">
        <f t="shared" si="878"/>
        <v>-0.16979964405908363</v>
      </c>
      <c r="AV332" s="165">
        <f t="shared" si="878"/>
        <v>-0.26412176229443568</v>
      </c>
      <c r="AW332" s="165">
        <f t="shared" si="878"/>
        <v>-0.21416092329635814</v>
      </c>
      <c r="AX332" s="165">
        <f t="shared" si="878"/>
        <v>-0.13593769768767167</v>
      </c>
      <c r="AY332" s="165">
        <f t="shared" si="878"/>
        <v>-0.11914256441448219</v>
      </c>
      <c r="AZ332" s="237">
        <f t="shared" si="878"/>
        <v>-0.17403731770275283</v>
      </c>
    </row>
    <row r="333" spans="2:52" hidden="1" outlineLevel="1">
      <c r="B333" s="5" t="s">
        <v>70</v>
      </c>
      <c r="C333" s="6"/>
      <c r="D333" s="6"/>
      <c r="E333" s="28"/>
      <c r="F333" s="28"/>
      <c r="G333" s="28"/>
      <c r="H333" s="29"/>
      <c r="I333" s="29"/>
      <c r="J333" s="29"/>
      <c r="K333" s="29"/>
      <c r="L333" s="28"/>
      <c r="M333" s="29"/>
      <c r="N333" s="29"/>
      <c r="O333" s="19">
        <f>SUM(O329:O332)</f>
        <v>0.99999999999999967</v>
      </c>
      <c r="P333" s="19">
        <f t="shared" ref="P333:AZ333" si="879">SUM(P329:P332)</f>
        <v>1</v>
      </c>
      <c r="Q333" s="18">
        <f t="shared" si="879"/>
        <v>0.99999999999999978</v>
      </c>
      <c r="R333" s="19">
        <f t="shared" si="879"/>
        <v>1</v>
      </c>
      <c r="S333" s="19">
        <f t="shared" si="879"/>
        <v>1.0000000000000002</v>
      </c>
      <c r="T333" s="19">
        <f t="shared" si="879"/>
        <v>1</v>
      </c>
      <c r="U333" s="19">
        <f t="shared" si="879"/>
        <v>1</v>
      </c>
      <c r="V333" s="18">
        <f t="shared" si="879"/>
        <v>1</v>
      </c>
      <c r="W333" s="19">
        <f t="shared" si="879"/>
        <v>1</v>
      </c>
      <c r="X333" s="19">
        <f t="shared" si="879"/>
        <v>1</v>
      </c>
      <c r="Y333" s="19">
        <f t="shared" si="879"/>
        <v>0.99999999999999989</v>
      </c>
      <c r="Z333" s="19">
        <f t="shared" si="879"/>
        <v>0.99999999999999989</v>
      </c>
      <c r="AA333" s="18">
        <f t="shared" si="879"/>
        <v>0.99999999999999989</v>
      </c>
      <c r="AB333" s="19">
        <f t="shared" si="879"/>
        <v>1</v>
      </c>
      <c r="AC333" s="19">
        <f t="shared" si="879"/>
        <v>1</v>
      </c>
      <c r="AD333" s="19">
        <f t="shared" si="879"/>
        <v>1</v>
      </c>
      <c r="AE333" s="19">
        <f t="shared" si="879"/>
        <v>1</v>
      </c>
      <c r="AF333" s="18">
        <f t="shared" si="879"/>
        <v>0.99999999999999978</v>
      </c>
      <c r="AG333" s="19">
        <f t="shared" si="879"/>
        <v>1</v>
      </c>
      <c r="AH333" s="19">
        <f t="shared" si="879"/>
        <v>1</v>
      </c>
      <c r="AI333" s="19">
        <f t="shared" si="879"/>
        <v>1.0000000000000002</v>
      </c>
      <c r="AJ333" s="19">
        <f t="shared" si="879"/>
        <v>0.99999999999999989</v>
      </c>
      <c r="AK333" s="18">
        <f t="shared" si="879"/>
        <v>1</v>
      </c>
      <c r="AL333" s="19">
        <f t="shared" si="879"/>
        <v>1</v>
      </c>
      <c r="AM333" s="19">
        <f t="shared" si="879"/>
        <v>0.99999999999999989</v>
      </c>
      <c r="AN333" s="165">
        <f t="shared" si="879"/>
        <v>1</v>
      </c>
      <c r="AO333" s="165">
        <f t="shared" si="879"/>
        <v>1</v>
      </c>
      <c r="AP333" s="237">
        <f t="shared" si="879"/>
        <v>1</v>
      </c>
      <c r="AQ333" s="165">
        <f t="shared" si="879"/>
        <v>0.99999999999999978</v>
      </c>
      <c r="AR333" s="165">
        <f t="shared" si="879"/>
        <v>1</v>
      </c>
      <c r="AS333" s="165">
        <f t="shared" si="879"/>
        <v>1</v>
      </c>
      <c r="AT333" s="165">
        <f t="shared" si="879"/>
        <v>0.99999999999999989</v>
      </c>
      <c r="AU333" s="237">
        <f t="shared" si="879"/>
        <v>1</v>
      </c>
      <c r="AV333" s="165">
        <f t="shared" si="879"/>
        <v>1</v>
      </c>
      <c r="AW333" s="165">
        <f t="shared" si="879"/>
        <v>1</v>
      </c>
      <c r="AX333" s="165">
        <f t="shared" si="879"/>
        <v>1.0000000000000002</v>
      </c>
      <c r="AY333" s="165">
        <f t="shared" si="879"/>
        <v>1.0000000000000002</v>
      </c>
      <c r="AZ333" s="237">
        <f t="shared" si="879"/>
        <v>1</v>
      </c>
    </row>
    <row r="334" spans="2:52" hidden="1" outlineLevel="1">
      <c r="B334" s="5" t="s">
        <v>905</v>
      </c>
      <c r="C334" s="6" t="str">
        <f>B334</f>
        <v>US Beverages EBIT / US Coffee and Beverages EBIT</v>
      </c>
      <c r="D334" s="6"/>
      <c r="E334" s="28"/>
      <c r="F334" s="28"/>
      <c r="G334" s="28"/>
      <c r="H334" s="29"/>
      <c r="I334" s="29"/>
      <c r="J334" s="29"/>
      <c r="K334" s="29"/>
      <c r="L334" s="28"/>
      <c r="M334" s="29"/>
      <c r="N334" s="29"/>
      <c r="O334" s="19">
        <f>O308/SUM(O308:O309)</f>
        <v>0.49999999999999994</v>
      </c>
      <c r="P334" s="19">
        <f t="shared" ref="P334:AZ334" si="880">P308/SUM(P308:P309)</f>
        <v>0.58512978442586894</v>
      </c>
      <c r="Q334" s="18">
        <f t="shared" si="880"/>
        <v>0.5457051772696534</v>
      </c>
      <c r="R334" s="19">
        <f t="shared" si="880"/>
        <v>0.52668355985563997</v>
      </c>
      <c r="S334" s="19">
        <f t="shared" si="880"/>
        <v>0.57630231522707032</v>
      </c>
      <c r="T334" s="19">
        <f t="shared" si="880"/>
        <v>0.55596470232380757</v>
      </c>
      <c r="U334" s="19">
        <f t="shared" si="880"/>
        <v>0.58156115550092191</v>
      </c>
      <c r="V334" s="18">
        <f t="shared" si="880"/>
        <v>0.56152675489849713</v>
      </c>
      <c r="W334" s="19">
        <f t="shared" si="880"/>
        <v>0.5434471712144614</v>
      </c>
      <c r="X334" s="19">
        <f t="shared" si="880"/>
        <v>0.58276383353531303</v>
      </c>
      <c r="Y334" s="19">
        <f t="shared" si="880"/>
        <v>0.61168256554752121</v>
      </c>
      <c r="Z334" s="19">
        <f t="shared" si="880"/>
        <v>0.54452829755217846</v>
      </c>
      <c r="AA334" s="18">
        <f t="shared" si="880"/>
        <v>0.57193916279698698</v>
      </c>
      <c r="AB334" s="19">
        <f t="shared" si="880"/>
        <v>0.51741293532338306</v>
      </c>
      <c r="AC334" s="19">
        <f t="shared" si="880"/>
        <v>0.58710407239819007</v>
      </c>
      <c r="AD334" s="19">
        <f t="shared" si="880"/>
        <v>0.61146496815286622</v>
      </c>
      <c r="AE334" s="19">
        <f t="shared" si="880"/>
        <v>0.59892473118279566</v>
      </c>
      <c r="AF334" s="18">
        <f t="shared" si="880"/>
        <v>0.58089887640449434</v>
      </c>
      <c r="AG334" s="19">
        <f t="shared" si="880"/>
        <v>0.60185185185185186</v>
      </c>
      <c r="AH334" s="19">
        <f t="shared" si="880"/>
        <v>0.61529808773903261</v>
      </c>
      <c r="AI334" s="19">
        <f t="shared" si="880"/>
        <v>0.67525773195876293</v>
      </c>
      <c r="AJ334" s="19">
        <f t="shared" si="880"/>
        <v>0.5768482490272373</v>
      </c>
      <c r="AK334" s="18">
        <f t="shared" si="880"/>
        <v>0.61762283832006593</v>
      </c>
      <c r="AL334" s="19">
        <f t="shared" si="880"/>
        <v>0.64060529634300123</v>
      </c>
      <c r="AM334" s="19">
        <f t="shared" si="880"/>
        <v>0.68869936034115142</v>
      </c>
      <c r="AN334" s="165">
        <f t="shared" si="880"/>
        <v>0.70738494118826056</v>
      </c>
      <c r="AO334" s="165">
        <f t="shared" si="880"/>
        <v>0.63933357332980612</v>
      </c>
      <c r="AP334" s="237">
        <f t="shared" si="880"/>
        <v>0.66989947613325729</v>
      </c>
      <c r="AQ334" s="165">
        <f t="shared" si="880"/>
        <v>0.68680521343732337</v>
      </c>
      <c r="AR334" s="165">
        <f t="shared" si="880"/>
        <v>0.70961324462717745</v>
      </c>
      <c r="AS334" s="165">
        <f t="shared" si="880"/>
        <v>0.72371862190385183</v>
      </c>
      <c r="AT334" s="165">
        <f t="shared" si="880"/>
        <v>0.65698893416666704</v>
      </c>
      <c r="AU334" s="237">
        <f t="shared" si="880"/>
        <v>0.69394863638327398</v>
      </c>
      <c r="AV334" s="165">
        <f t="shared" si="880"/>
        <v>0.70427145925820511</v>
      </c>
      <c r="AW334" s="165">
        <f t="shared" si="880"/>
        <v>0.7263555563587627</v>
      </c>
      <c r="AX334" s="165">
        <f t="shared" si="880"/>
        <v>0.73970071111068214</v>
      </c>
      <c r="AY334" s="165">
        <f t="shared" si="880"/>
        <v>0.67452421560965969</v>
      </c>
      <c r="AZ334" s="237">
        <f t="shared" si="880"/>
        <v>0.71090141504056792</v>
      </c>
    </row>
    <row r="335" spans="2:52" hidden="1" outlineLevel="1">
      <c r="B335" s="5" t="s">
        <v>904</v>
      </c>
      <c r="C335" s="6" t="str">
        <f>B335</f>
        <v>US Coffee EBIT / US Coffee and Beverages EBIT</v>
      </c>
      <c r="D335" s="6"/>
      <c r="E335" s="28"/>
      <c r="F335" s="28"/>
      <c r="G335" s="28"/>
      <c r="H335" s="29"/>
      <c r="I335" s="29"/>
      <c r="J335" s="29"/>
      <c r="K335" s="29"/>
      <c r="L335" s="28"/>
      <c r="M335" s="29"/>
      <c r="N335" s="29"/>
      <c r="O335" s="19">
        <f>O309/SUM(O308:O309)</f>
        <v>0.5</v>
      </c>
      <c r="P335" s="19">
        <f t="shared" ref="P335:AZ335" si="881">P309/SUM(P308:P309)</f>
        <v>0.41487021557413117</v>
      </c>
      <c r="Q335" s="18">
        <f t="shared" si="881"/>
        <v>0.45429482273034649</v>
      </c>
      <c r="R335" s="19">
        <f t="shared" si="881"/>
        <v>0.47331644014435997</v>
      </c>
      <c r="S335" s="19">
        <f t="shared" si="881"/>
        <v>0.42369768477292968</v>
      </c>
      <c r="T335" s="19">
        <f t="shared" si="881"/>
        <v>0.44403529767619249</v>
      </c>
      <c r="U335" s="19">
        <f t="shared" si="881"/>
        <v>0.41843884449907809</v>
      </c>
      <c r="V335" s="18">
        <f t="shared" si="881"/>
        <v>0.43847324510150282</v>
      </c>
      <c r="W335" s="19">
        <f t="shared" si="881"/>
        <v>0.4565528287855386</v>
      </c>
      <c r="X335" s="19">
        <f t="shared" si="881"/>
        <v>0.41723616646468686</v>
      </c>
      <c r="Y335" s="19">
        <f t="shared" si="881"/>
        <v>0.38831743445247879</v>
      </c>
      <c r="Z335" s="19">
        <f t="shared" si="881"/>
        <v>0.45547170244782165</v>
      </c>
      <c r="AA335" s="18">
        <f t="shared" si="881"/>
        <v>0.42806083720301297</v>
      </c>
      <c r="AB335" s="19">
        <f t="shared" si="881"/>
        <v>0.48258706467661694</v>
      </c>
      <c r="AC335" s="19">
        <f t="shared" si="881"/>
        <v>0.41289592760180993</v>
      </c>
      <c r="AD335" s="19">
        <f t="shared" si="881"/>
        <v>0.38853503184713378</v>
      </c>
      <c r="AE335" s="19">
        <f t="shared" si="881"/>
        <v>0.40107526881720429</v>
      </c>
      <c r="AF335" s="18">
        <f t="shared" si="881"/>
        <v>0.41910112359550561</v>
      </c>
      <c r="AG335" s="19">
        <f t="shared" si="881"/>
        <v>0.39814814814814814</v>
      </c>
      <c r="AH335" s="19">
        <f t="shared" si="881"/>
        <v>0.38470191226096739</v>
      </c>
      <c r="AI335" s="19">
        <f t="shared" si="881"/>
        <v>0.32474226804123713</v>
      </c>
      <c r="AJ335" s="19">
        <f t="shared" si="881"/>
        <v>0.42315175097276264</v>
      </c>
      <c r="AK335" s="18">
        <f t="shared" si="881"/>
        <v>0.38237716167993413</v>
      </c>
      <c r="AL335" s="19">
        <f t="shared" si="881"/>
        <v>0.35939470365699872</v>
      </c>
      <c r="AM335" s="19">
        <f t="shared" si="881"/>
        <v>0.31130063965884863</v>
      </c>
      <c r="AN335" s="165">
        <f t="shared" si="881"/>
        <v>0.29261505881173949</v>
      </c>
      <c r="AO335" s="165">
        <f t="shared" si="881"/>
        <v>0.360666426670194</v>
      </c>
      <c r="AP335" s="237">
        <f t="shared" si="881"/>
        <v>0.33010052386674271</v>
      </c>
      <c r="AQ335" s="165">
        <f t="shared" si="881"/>
        <v>0.31319478656267669</v>
      </c>
      <c r="AR335" s="165">
        <f t="shared" si="881"/>
        <v>0.2903867553728226</v>
      </c>
      <c r="AS335" s="165">
        <f t="shared" si="881"/>
        <v>0.27628137809614811</v>
      </c>
      <c r="AT335" s="165">
        <f t="shared" si="881"/>
        <v>0.34301106583333296</v>
      </c>
      <c r="AU335" s="237">
        <f t="shared" si="881"/>
        <v>0.30605136361672597</v>
      </c>
      <c r="AV335" s="165">
        <f t="shared" si="881"/>
        <v>0.29572854074179494</v>
      </c>
      <c r="AW335" s="165">
        <f t="shared" si="881"/>
        <v>0.27364444364123741</v>
      </c>
      <c r="AX335" s="165">
        <f t="shared" si="881"/>
        <v>0.26029928888931791</v>
      </c>
      <c r="AY335" s="165">
        <f t="shared" si="881"/>
        <v>0.32547578439034042</v>
      </c>
      <c r="AZ335" s="237">
        <f t="shared" si="881"/>
        <v>0.28909858495943208</v>
      </c>
    </row>
    <row r="336" spans="2:52" hidden="1" outlineLevel="1">
      <c r="B336" s="5"/>
      <c r="C336" s="6"/>
      <c r="D336" s="6"/>
      <c r="E336" s="28"/>
      <c r="F336" s="28"/>
      <c r="G336" s="28"/>
      <c r="H336" s="29"/>
      <c r="I336" s="29"/>
      <c r="J336" s="29"/>
      <c r="K336" s="29"/>
      <c r="L336" s="28"/>
      <c r="M336" s="29"/>
      <c r="N336" s="29"/>
      <c r="O336" s="19"/>
      <c r="P336" s="19"/>
      <c r="Q336" s="18"/>
      <c r="R336" s="19"/>
      <c r="S336" s="19"/>
      <c r="T336" s="19"/>
      <c r="U336" s="19"/>
      <c r="V336" s="18"/>
      <c r="W336" s="19"/>
      <c r="X336" s="19"/>
      <c r="Y336" s="19"/>
      <c r="Z336" s="19"/>
      <c r="AA336" s="18"/>
      <c r="AB336" s="19"/>
      <c r="AC336" s="19"/>
      <c r="AD336" s="19"/>
      <c r="AE336" s="19"/>
      <c r="AF336" s="18"/>
      <c r="AG336" s="19"/>
      <c r="AH336" s="19"/>
      <c r="AI336" s="19"/>
      <c r="AJ336" s="19"/>
      <c r="AK336" s="18"/>
      <c r="AL336" s="19"/>
      <c r="AM336" s="19"/>
      <c r="AN336" s="165"/>
      <c r="AO336" s="165"/>
      <c r="AP336" s="237"/>
      <c r="AQ336" s="165"/>
      <c r="AR336" s="165"/>
      <c r="AS336" s="165"/>
      <c r="AT336" s="165"/>
      <c r="AU336" s="237"/>
      <c r="AV336" s="165"/>
      <c r="AW336" s="165"/>
      <c r="AX336" s="165"/>
      <c r="AY336" s="165"/>
      <c r="AZ336" s="237"/>
    </row>
    <row r="337" spans="2:54" hidden="1" outlineLevel="1">
      <c r="B337" s="5"/>
      <c r="C337" s="6"/>
      <c r="D337" s="6"/>
      <c r="E337" s="28"/>
      <c r="F337" s="28"/>
      <c r="G337" s="28"/>
      <c r="H337" s="29"/>
      <c r="I337" s="29"/>
      <c r="J337" s="29"/>
      <c r="K337" s="29"/>
      <c r="L337" s="28"/>
      <c r="M337" s="29"/>
      <c r="N337" s="29"/>
      <c r="O337" s="19"/>
      <c r="P337" s="19"/>
      <c r="Q337" s="18"/>
      <c r="R337" s="19"/>
      <c r="S337" s="19"/>
      <c r="T337" s="19"/>
      <c r="U337" s="19"/>
      <c r="V337" s="18"/>
      <c r="W337" s="19"/>
      <c r="X337" s="19"/>
      <c r="Y337" s="19"/>
      <c r="Z337" s="19"/>
      <c r="AA337" s="18"/>
      <c r="AB337" s="19"/>
      <c r="AC337" s="19"/>
      <c r="AD337" s="19"/>
      <c r="AE337" s="19"/>
      <c r="AF337" s="18"/>
      <c r="AG337" s="19"/>
      <c r="AH337" s="19"/>
      <c r="AI337" s="19"/>
      <c r="AJ337" s="19"/>
      <c r="AK337" s="18"/>
      <c r="AL337" s="19"/>
      <c r="AM337" s="19"/>
      <c r="AN337" s="165"/>
      <c r="AO337" s="165"/>
      <c r="AP337" s="237"/>
      <c r="AQ337" s="165"/>
      <c r="AR337" s="165"/>
      <c r="AS337" s="165"/>
      <c r="AT337" s="165"/>
      <c r="AU337" s="237"/>
      <c r="AV337" s="165"/>
      <c r="AW337" s="165"/>
      <c r="AX337" s="165"/>
      <c r="AY337" s="165"/>
      <c r="AZ337" s="237"/>
    </row>
    <row r="338" spans="2:54" collapsed="1">
      <c r="B338" s="5"/>
      <c r="C338" s="6"/>
      <c r="D338" s="6"/>
      <c r="E338" s="28"/>
      <c r="F338" s="28"/>
      <c r="G338" s="28"/>
      <c r="H338" s="29"/>
      <c r="I338" s="29"/>
      <c r="J338" s="29"/>
      <c r="K338" s="29"/>
      <c r="L338" s="28"/>
      <c r="M338" s="29"/>
      <c r="N338" s="29"/>
      <c r="O338" s="29"/>
      <c r="P338" s="29"/>
      <c r="Q338" s="28"/>
      <c r="R338" s="29"/>
      <c r="S338" s="29"/>
      <c r="T338" s="29"/>
      <c r="U338" s="29"/>
      <c r="V338" s="28"/>
      <c r="W338" s="29"/>
      <c r="X338" s="29"/>
      <c r="Y338" s="29"/>
      <c r="Z338" s="29"/>
      <c r="AA338" s="28"/>
      <c r="AB338" s="29"/>
      <c r="AC338" s="29"/>
      <c r="AD338" s="29"/>
      <c r="AE338" s="29"/>
      <c r="AF338" s="28"/>
      <c r="AG338" s="29"/>
      <c r="AH338" s="29"/>
      <c r="AI338" s="29"/>
      <c r="AJ338" s="29"/>
      <c r="AK338" s="28"/>
      <c r="AL338" s="29"/>
      <c r="AM338" s="29"/>
      <c r="AN338" s="15"/>
      <c r="AO338" s="15"/>
      <c r="AP338" s="206"/>
      <c r="AQ338" s="15"/>
      <c r="AR338" s="15"/>
      <c r="AS338" s="15"/>
      <c r="AT338" s="15"/>
      <c r="AU338" s="206"/>
      <c r="AV338" s="15"/>
      <c r="AW338" s="15"/>
      <c r="AX338" s="15"/>
      <c r="AY338" s="15"/>
      <c r="AZ338" s="206"/>
    </row>
    <row r="339" spans="2:54">
      <c r="B339" s="6" t="s">
        <v>864</v>
      </c>
      <c r="C339" s="6"/>
      <c r="D339" s="6"/>
      <c r="E339" s="14"/>
      <c r="F339" s="14"/>
      <c r="G339" s="14"/>
      <c r="H339" s="15"/>
      <c r="I339" s="15"/>
      <c r="J339" s="15"/>
      <c r="K339" s="15"/>
      <c r="L339" s="14"/>
      <c r="M339" s="15"/>
      <c r="N339" s="15"/>
      <c r="O339" s="15">
        <f>O312</f>
        <v>697</v>
      </c>
      <c r="P339" s="15">
        <f t="shared" ref="P339:AZ339" si="882">P312</f>
        <v>719.99999999999989</v>
      </c>
      <c r="Q339" s="14">
        <f t="shared" si="882"/>
        <v>2431.38</v>
      </c>
      <c r="R339" s="15">
        <f t="shared" si="882"/>
        <v>621</v>
      </c>
      <c r="S339" s="15">
        <f t="shared" si="882"/>
        <v>702</v>
      </c>
      <c r="T339" s="15">
        <f t="shared" si="882"/>
        <v>754</v>
      </c>
      <c r="U339" s="15">
        <f t="shared" si="882"/>
        <v>813</v>
      </c>
      <c r="V339" s="14">
        <f t="shared" si="882"/>
        <v>2890</v>
      </c>
      <c r="W339" s="15">
        <f t="shared" si="882"/>
        <v>684</v>
      </c>
      <c r="X339" s="15">
        <f t="shared" si="882"/>
        <v>775.00000000000011</v>
      </c>
      <c r="Y339" s="15">
        <f t="shared" si="882"/>
        <v>874</v>
      </c>
      <c r="Z339" s="15">
        <f t="shared" si="882"/>
        <v>858</v>
      </c>
      <c r="AA339" s="14">
        <f t="shared" si="882"/>
        <v>3191.0000000000005</v>
      </c>
      <c r="AB339" s="15">
        <f t="shared" si="882"/>
        <v>741</v>
      </c>
      <c r="AC339" s="15">
        <f t="shared" si="882"/>
        <v>839</v>
      </c>
      <c r="AD339" s="15">
        <f t="shared" si="882"/>
        <v>931</v>
      </c>
      <c r="AE339" s="15">
        <f t="shared" si="882"/>
        <v>910</v>
      </c>
      <c r="AF339" s="14">
        <f t="shared" si="882"/>
        <v>3421</v>
      </c>
      <c r="AG339" s="15">
        <f t="shared" si="882"/>
        <v>732</v>
      </c>
      <c r="AH339" s="15">
        <f t="shared" si="882"/>
        <v>832</v>
      </c>
      <c r="AI339" s="15">
        <f t="shared" si="882"/>
        <v>947</v>
      </c>
      <c r="AJ339" s="15">
        <f t="shared" si="882"/>
        <v>1027</v>
      </c>
      <c r="AK339" s="14">
        <f t="shared" si="882"/>
        <v>3538</v>
      </c>
      <c r="AL339" s="15">
        <f t="shared" si="882"/>
        <v>699</v>
      </c>
      <c r="AM339" s="15">
        <f t="shared" si="882"/>
        <v>873</v>
      </c>
      <c r="AN339" s="15">
        <f t="shared" si="882"/>
        <v>1021.7578431778018</v>
      </c>
      <c r="AO339" s="15">
        <f t="shared" si="882"/>
        <v>1101.0839963810167</v>
      </c>
      <c r="AP339" s="206">
        <f>AP312</f>
        <v>3694.8418395588187</v>
      </c>
      <c r="AQ339" s="15">
        <f t="shared" si="882"/>
        <v>708.28858526336126</v>
      </c>
      <c r="AR339" s="15">
        <f t="shared" si="882"/>
        <v>891.28267191088378</v>
      </c>
      <c r="AS339" s="15">
        <f t="shared" si="882"/>
        <v>1020.1611136918091</v>
      </c>
      <c r="AT339" s="15">
        <f t="shared" si="882"/>
        <v>1096.0394455284477</v>
      </c>
      <c r="AU339" s="206">
        <f t="shared" si="882"/>
        <v>3715.7718163945019</v>
      </c>
      <c r="AV339" s="15">
        <f t="shared" si="882"/>
        <v>701.08096740577764</v>
      </c>
      <c r="AW339" s="15">
        <f t="shared" si="882"/>
        <v>886.89427680969538</v>
      </c>
      <c r="AX339" s="15">
        <f t="shared" si="882"/>
        <v>1019.0303612443527</v>
      </c>
      <c r="AY339" s="15">
        <f t="shared" si="882"/>
        <v>1091.4925852130382</v>
      </c>
      <c r="AZ339" s="206">
        <f t="shared" si="882"/>
        <v>3698.498190672864</v>
      </c>
    </row>
    <row r="340" spans="2:54">
      <c r="B340" t="s">
        <v>12</v>
      </c>
      <c r="C340" t="s">
        <v>444</v>
      </c>
      <c r="E340" s="14"/>
      <c r="F340" s="14"/>
      <c r="G340" s="14"/>
      <c r="H340" s="15"/>
      <c r="I340" s="15"/>
      <c r="J340" s="15"/>
      <c r="K340" s="15"/>
      <c r="L340" s="14"/>
      <c r="M340" s="15"/>
      <c r="N340" s="15"/>
      <c r="O340" s="585">
        <v>-162</v>
      </c>
      <c r="P340" s="585">
        <v>-133</v>
      </c>
      <c r="Q340" s="586">
        <v>-635</v>
      </c>
      <c r="R340" s="585">
        <v>-131</v>
      </c>
      <c r="S340" s="585">
        <v>-138</v>
      </c>
      <c r="T340" s="585">
        <v>-145</v>
      </c>
      <c r="U340" s="585">
        <v>-146</v>
      </c>
      <c r="V340" s="586">
        <v>-553</v>
      </c>
      <c r="W340" s="585">
        <v>-120</v>
      </c>
      <c r="X340" s="585">
        <v>-145</v>
      </c>
      <c r="Y340" s="585">
        <v>-139</v>
      </c>
      <c r="Z340" s="585">
        <v>-138</v>
      </c>
      <c r="AA340" s="586">
        <v>-542</v>
      </c>
      <c r="AB340" s="585">
        <v>-139</v>
      </c>
      <c r="AC340" s="585">
        <v>-119</v>
      </c>
      <c r="AD340" s="585">
        <v>-110</v>
      </c>
      <c r="AE340" s="585">
        <v>-112</v>
      </c>
      <c r="AF340" s="586">
        <v>-480</v>
      </c>
      <c r="AG340" s="585">
        <v>-111</v>
      </c>
      <c r="AH340" s="585">
        <v>-107</v>
      </c>
      <c r="AI340" s="585">
        <v>-89</v>
      </c>
      <c r="AJ340" s="585">
        <v>-116</v>
      </c>
      <c r="AK340" s="586">
        <v>-423</v>
      </c>
      <c r="AL340" s="585">
        <v>-112</v>
      </c>
      <c r="AM340" s="585">
        <v>-113</v>
      </c>
      <c r="AN340" s="15">
        <f>-Debt!$E$37</f>
        <v>-105.51919431500001</v>
      </c>
      <c r="AO340" s="15">
        <f>-Debt!$E$37</f>
        <v>-105.51919431500001</v>
      </c>
      <c r="AP340" s="206">
        <f>SUM(AL340:AO340)</f>
        <v>-436.03838862999999</v>
      </c>
      <c r="AQ340" s="15">
        <f>-Debt!$E$37</f>
        <v>-105.51919431500001</v>
      </c>
      <c r="AR340" s="15">
        <f>-Debt!$E$39</f>
        <v>-103.36294431500001</v>
      </c>
      <c r="AS340" s="15">
        <f>-Debt!$E$39</f>
        <v>-103.36294431500001</v>
      </c>
      <c r="AT340" s="15">
        <f>-Debt!$E$39</f>
        <v>-103.36294431500001</v>
      </c>
      <c r="AU340" s="206">
        <f>SUM(AQ340:AT340)</f>
        <v>-415.60802726000003</v>
      </c>
      <c r="AV340" s="15">
        <f>-Debt!$E$39</f>
        <v>-103.36294431500001</v>
      </c>
      <c r="AW340" s="15">
        <f>-Debt!$E$39</f>
        <v>-103.36294431500001</v>
      </c>
      <c r="AX340" s="15">
        <f>-Debt!$E$40</f>
        <v>-97.517994470000005</v>
      </c>
      <c r="AY340" s="15">
        <f>-Debt!$E$40</f>
        <v>-97.517994470000005</v>
      </c>
      <c r="AZ340" s="206">
        <f>SUM(AV340:AY340)</f>
        <v>-401.76187757000002</v>
      </c>
    </row>
    <row r="341" spans="2:54" s="9" customFormat="1">
      <c r="B341" s="251" t="s">
        <v>457</v>
      </c>
      <c r="E341" s="36"/>
      <c r="F341" s="36"/>
      <c r="G341" s="36"/>
      <c r="H341" s="60"/>
      <c r="I341" s="60"/>
      <c r="J341" s="60"/>
      <c r="K341" s="60"/>
      <c r="L341" s="62"/>
      <c r="M341" s="60"/>
      <c r="N341" s="60"/>
      <c r="O341" s="60">
        <f>(-O340*4)/SUM(O402,O407)</f>
        <v>4.0336134453781515E-2</v>
      </c>
      <c r="P341" s="60">
        <f>(-P340*4)/SUM(P402,P407)</f>
        <v>3.3974072418417524E-2</v>
      </c>
      <c r="Q341" s="62">
        <f>(-Q340)/SUM(Q402,Q407)</f>
        <v>4.0551759371607383E-2</v>
      </c>
      <c r="R341" s="60">
        <f>(-R340*4)/SUM(R402,R407)</f>
        <v>3.4329140461215935E-2</v>
      </c>
      <c r="S341" s="60">
        <f>(-S340*4)/SUM(S402,S407)</f>
        <v>3.6873747494989978E-2</v>
      </c>
      <c r="T341" s="60">
        <f>(-T340*4)/SUM(T402,T407)</f>
        <v>3.8905285752616044E-2</v>
      </c>
      <c r="U341" s="60">
        <f>(-U340*4)/SUM(U402,U407)</f>
        <v>4.0499306518723993E-2</v>
      </c>
      <c r="V341" s="62">
        <f>(-V340)/SUM(V402,V407)</f>
        <v>3.8349514563106799E-2</v>
      </c>
      <c r="W341" s="60">
        <f>(-W340*4)/SUM(W402,W407)</f>
        <v>3.336113427856547E-2</v>
      </c>
      <c r="X341" s="60">
        <f>(-X340*4)/SUM(X402,X407)</f>
        <v>4.112017015242822E-2</v>
      </c>
      <c r="Y341" s="60">
        <f>(-Y340*4)/SUM(Y402,Y407)</f>
        <v>4.0031679746562028E-2</v>
      </c>
      <c r="Z341" s="60">
        <f>(-Z340*4)/SUM(Z402,Z407)</f>
        <v>4.0925266903914591E-2</v>
      </c>
      <c r="AA341" s="62">
        <f>(-AA340)/SUM(AA402,AA407)</f>
        <v>4.0183867141162517E-2</v>
      </c>
      <c r="AB341" s="60">
        <f>(-AB340*4)/SUM(AB402,AB407)</f>
        <v>4.1292239138507242E-2</v>
      </c>
      <c r="AC341" s="60">
        <f>(-AC340*4)/SUM(AC402,AC407)</f>
        <v>3.6491873658386999E-2</v>
      </c>
      <c r="AD341" s="60">
        <f>(-AD340*4)/SUM(AD402,AD407)</f>
        <v>3.457760314341847E-2</v>
      </c>
      <c r="AE341" s="60">
        <f>(-AE340*4)/SUM(AE402,AE407)</f>
        <v>3.7704090220501599E-2</v>
      </c>
      <c r="AF341" s="62">
        <f>(-AF340)/SUM(AF402,AF407)</f>
        <v>4.0397239521966E-2</v>
      </c>
      <c r="AG341" s="60">
        <f>(-AG340*4)/SUM(AG402,AG407)</f>
        <v>3.8328729281767955E-2</v>
      </c>
      <c r="AH341" s="60">
        <f>(-AH340*4)/SUM(AH402,AH407)</f>
        <v>3.7040242319342276E-2</v>
      </c>
      <c r="AI341" s="60">
        <f>(-AI340*4)/SUM(AI402,AI407)</f>
        <v>3.0793183980624514E-2</v>
      </c>
      <c r="AJ341" s="60">
        <f>(-AJ340*4)/SUM(AJ402,AJ407)</f>
        <v>3.8773293223029998E-2</v>
      </c>
      <c r="AK341" s="62">
        <f>(-AK340)/SUM(AK402,AK407)</f>
        <v>3.5347204813236402E-2</v>
      </c>
      <c r="AL341" s="60">
        <f>(-AL340*4)/SUM(AL402,AL407)</f>
        <v>3.6604297736743195E-2</v>
      </c>
      <c r="AM341" s="60">
        <f>(-AM340*4)/SUM(AM402,AM407)</f>
        <v>3.596149256106293E-2</v>
      </c>
      <c r="AN341" s="218">
        <v>3.5999999999999997E-2</v>
      </c>
      <c r="AO341" s="218">
        <f>AN341</f>
        <v>3.5999999999999997E-2</v>
      </c>
      <c r="AP341" s="575"/>
      <c r="AU341" s="575"/>
      <c r="AZ341" s="575"/>
      <c r="BB341" s="517"/>
    </row>
    <row r="342" spans="2:54">
      <c r="B342" t="s">
        <v>19</v>
      </c>
      <c r="C342" t="s">
        <v>445</v>
      </c>
      <c r="E342" s="14"/>
      <c r="F342" s="14"/>
      <c r="G342" s="14"/>
      <c r="H342" s="15"/>
      <c r="I342" s="15"/>
      <c r="J342" s="15"/>
      <c r="K342" s="15"/>
      <c r="L342" s="14"/>
      <c r="M342" s="15"/>
      <c r="N342" s="15"/>
      <c r="O342" s="585">
        <v>36</v>
      </c>
      <c r="P342" s="585">
        <v>-9</v>
      </c>
      <c r="Q342" s="586">
        <v>-4</v>
      </c>
      <c r="R342" s="585">
        <v>-7</v>
      </c>
      <c r="S342" s="585">
        <v>1</v>
      </c>
      <c r="T342" s="585">
        <v>-9</v>
      </c>
      <c r="U342" s="585">
        <v>-4</v>
      </c>
      <c r="V342" s="586">
        <v>-19</v>
      </c>
      <c r="W342" s="585">
        <v>-20</v>
      </c>
      <c r="X342" s="585">
        <v>4</v>
      </c>
      <c r="Y342" s="585">
        <v>-5</v>
      </c>
      <c r="Z342" s="585">
        <v>4</v>
      </c>
      <c r="AA342" s="586">
        <v>-17</v>
      </c>
      <c r="AB342" s="585">
        <v>3</v>
      </c>
      <c r="AC342" s="585">
        <v>4</v>
      </c>
      <c r="AD342" s="585">
        <v>-1</v>
      </c>
      <c r="AE342" s="585">
        <v>2</v>
      </c>
      <c r="AF342" s="586">
        <v>8</v>
      </c>
      <c r="AG342" s="585">
        <v>-6</v>
      </c>
      <c r="AH342" s="585">
        <v>-10</v>
      </c>
      <c r="AI342" s="585">
        <v>-6</v>
      </c>
      <c r="AJ342" s="585">
        <v>4</v>
      </c>
      <c r="AK342" s="586">
        <v>-18</v>
      </c>
      <c r="AL342" s="585">
        <v>11</v>
      </c>
      <c r="AM342" s="585">
        <v>7</v>
      </c>
      <c r="AN342" s="20">
        <f ca="1">AN342</f>
        <v>0</v>
      </c>
      <c r="AO342" s="247">
        <f ca="1">AN342</f>
        <v>0</v>
      </c>
      <c r="AP342" s="206">
        <f ca="1">SUM(AL342:AO342)</f>
        <v>18</v>
      </c>
      <c r="AQ342" s="20">
        <v>0</v>
      </c>
      <c r="AR342" s="20">
        <v>0</v>
      </c>
      <c r="AS342" s="20">
        <v>0</v>
      </c>
      <c r="AT342" s="20">
        <v>0</v>
      </c>
      <c r="AU342" s="206">
        <f>SUM(AQ342:AT342)</f>
        <v>0</v>
      </c>
      <c r="AV342" s="20">
        <v>0</v>
      </c>
      <c r="AW342" s="20">
        <v>0</v>
      </c>
      <c r="AX342" s="20">
        <v>0</v>
      </c>
      <c r="AY342" s="20">
        <v>0</v>
      </c>
      <c r="AZ342" s="206">
        <f>SUM(AV342:AY342)</f>
        <v>0</v>
      </c>
    </row>
    <row r="343" spans="2:54">
      <c r="B343" t="s">
        <v>446</v>
      </c>
      <c r="E343" s="14"/>
      <c r="F343" s="14"/>
      <c r="G343" s="14"/>
      <c r="H343" s="15"/>
      <c r="I343" s="15"/>
      <c r="J343" s="15"/>
      <c r="K343" s="15"/>
      <c r="L343" s="14"/>
      <c r="M343" s="15"/>
      <c r="N343" s="15"/>
      <c r="O343" s="15">
        <f t="shared" ref="O343:AZ343" si="883">O312+O340+O342</f>
        <v>571</v>
      </c>
      <c r="P343" s="15">
        <f t="shared" si="883"/>
        <v>577.99999999999989</v>
      </c>
      <c r="Q343" s="14">
        <f t="shared" si="883"/>
        <v>1792.38</v>
      </c>
      <c r="R343" s="15">
        <f t="shared" si="883"/>
        <v>483</v>
      </c>
      <c r="S343" s="15">
        <f t="shared" si="883"/>
        <v>565</v>
      </c>
      <c r="T343" s="15">
        <f t="shared" si="883"/>
        <v>600</v>
      </c>
      <c r="U343" s="15">
        <f t="shared" si="883"/>
        <v>663</v>
      </c>
      <c r="V343" s="14">
        <f t="shared" si="883"/>
        <v>2318</v>
      </c>
      <c r="W343" s="15">
        <f t="shared" si="883"/>
        <v>544</v>
      </c>
      <c r="X343" s="15">
        <f t="shared" si="883"/>
        <v>634.00000000000011</v>
      </c>
      <c r="Y343" s="15">
        <f t="shared" si="883"/>
        <v>730</v>
      </c>
      <c r="Z343" s="15">
        <f t="shared" si="883"/>
        <v>724</v>
      </c>
      <c r="AA343" s="14">
        <f t="shared" si="883"/>
        <v>2632.0000000000005</v>
      </c>
      <c r="AB343" s="15">
        <f t="shared" si="883"/>
        <v>605</v>
      </c>
      <c r="AC343" s="15">
        <f t="shared" si="883"/>
        <v>724</v>
      </c>
      <c r="AD343" s="15">
        <f t="shared" si="883"/>
        <v>820</v>
      </c>
      <c r="AE343" s="15">
        <f t="shared" si="883"/>
        <v>800</v>
      </c>
      <c r="AF343" s="14">
        <f t="shared" si="883"/>
        <v>2949</v>
      </c>
      <c r="AG343" s="15">
        <f t="shared" si="883"/>
        <v>615</v>
      </c>
      <c r="AH343" s="15">
        <f t="shared" si="883"/>
        <v>715</v>
      </c>
      <c r="AI343" s="15">
        <f t="shared" si="883"/>
        <v>852</v>
      </c>
      <c r="AJ343" s="15">
        <f t="shared" si="883"/>
        <v>915</v>
      </c>
      <c r="AK343" s="14">
        <f t="shared" si="883"/>
        <v>3097</v>
      </c>
      <c r="AL343" s="15">
        <f t="shared" si="883"/>
        <v>598</v>
      </c>
      <c r="AM343" s="15">
        <f t="shared" si="883"/>
        <v>767</v>
      </c>
      <c r="AN343" s="15">
        <f t="shared" ca="1" si="883"/>
        <v>921.81752962580072</v>
      </c>
      <c r="AO343" s="15">
        <f t="shared" ca="1" si="883"/>
        <v>1001.1333432402209</v>
      </c>
      <c r="AP343" s="206">
        <f ca="1">AP312+AP340+AP342</f>
        <v>3287.9508728660217</v>
      </c>
      <c r="AQ343" s="15">
        <f t="shared" si="883"/>
        <v>602.76939094836121</v>
      </c>
      <c r="AR343" s="15">
        <f t="shared" si="883"/>
        <v>787.91972759588373</v>
      </c>
      <c r="AS343" s="15">
        <f t="shared" si="883"/>
        <v>916.79816937680903</v>
      </c>
      <c r="AT343" s="15">
        <f t="shared" si="883"/>
        <v>992.67650121344764</v>
      </c>
      <c r="AU343" s="206">
        <f t="shared" si="883"/>
        <v>3300.1637891345017</v>
      </c>
      <c r="AV343" s="15">
        <f t="shared" si="883"/>
        <v>597.71802309077759</v>
      </c>
      <c r="AW343" s="15">
        <f t="shared" si="883"/>
        <v>783.53133249469533</v>
      </c>
      <c r="AX343" s="15">
        <f t="shared" si="883"/>
        <v>921.5123667743527</v>
      </c>
      <c r="AY343" s="15">
        <f t="shared" si="883"/>
        <v>993.97459074303822</v>
      </c>
      <c r="AZ343" s="206">
        <f t="shared" si="883"/>
        <v>3296.7363131028642</v>
      </c>
    </row>
    <row r="344" spans="2:54">
      <c r="B344" t="s">
        <v>447</v>
      </c>
      <c r="C344" t="s">
        <v>449</v>
      </c>
      <c r="E344" s="14"/>
      <c r="F344" s="14"/>
      <c r="G344" s="14"/>
      <c r="H344" s="15"/>
      <c r="I344" s="15"/>
      <c r="J344" s="15"/>
      <c r="K344" s="15"/>
      <c r="L344" s="14"/>
      <c r="M344" s="15"/>
      <c r="N344" s="15"/>
      <c r="O344" s="585">
        <v>155</v>
      </c>
      <c r="P344" s="585">
        <v>151</v>
      </c>
      <c r="Q344" s="586">
        <v>524</v>
      </c>
      <c r="R344" s="585">
        <v>127</v>
      </c>
      <c r="S344" s="585">
        <v>142</v>
      </c>
      <c r="T344" s="585">
        <v>149</v>
      </c>
      <c r="U344" s="585">
        <v>172</v>
      </c>
      <c r="V344" s="586">
        <v>591</v>
      </c>
      <c r="W344" s="585">
        <v>136</v>
      </c>
      <c r="X344" s="585">
        <v>165</v>
      </c>
      <c r="Y344" s="585">
        <v>173</v>
      </c>
      <c r="Z344" s="585">
        <v>170</v>
      </c>
      <c r="AA344" s="586">
        <v>644</v>
      </c>
      <c r="AB344" s="585">
        <v>134</v>
      </c>
      <c r="AC344" s="585">
        <v>186</v>
      </c>
      <c r="AD344" s="585">
        <v>190</v>
      </c>
      <c r="AE344" s="585">
        <v>160</v>
      </c>
      <c r="AF344" s="586">
        <v>670</v>
      </c>
      <c r="AG344" s="585">
        <v>141</v>
      </c>
      <c r="AH344" s="585">
        <v>161</v>
      </c>
      <c r="AI344" s="585">
        <v>197</v>
      </c>
      <c r="AJ344" s="585">
        <v>201</v>
      </c>
      <c r="AK344" s="586">
        <v>700</v>
      </c>
      <c r="AL344" s="585">
        <v>119</v>
      </c>
      <c r="AM344" s="585">
        <v>171</v>
      </c>
      <c r="AN344" s="15">
        <f ca="1">AN343*AN345</f>
        <v>202.79985651767615</v>
      </c>
      <c r="AO344" s="15">
        <f ca="1">AO343*AO345</f>
        <v>220.2493355128486</v>
      </c>
      <c r="AP344" s="206">
        <f ca="1">SUM(AL344:AO344)</f>
        <v>713.04919203052475</v>
      </c>
      <c r="AQ344" s="15">
        <f t="shared" ref="AQ344:AT344" si="884">AQ343*AQ345</f>
        <v>132.60926600863948</v>
      </c>
      <c r="AR344" s="15">
        <f t="shared" si="884"/>
        <v>173.34234007109441</v>
      </c>
      <c r="AS344" s="15">
        <f t="shared" si="884"/>
        <v>201.69559726289799</v>
      </c>
      <c r="AT344" s="15">
        <f t="shared" si="884"/>
        <v>218.38883026695848</v>
      </c>
      <c r="AU344" s="206">
        <f>SUM(AQ344:AT344)</f>
        <v>726.03603360959039</v>
      </c>
      <c r="AV344" s="15">
        <f t="shared" ref="AV344" si="885">AV343*AV345</f>
        <v>131.49796507997107</v>
      </c>
      <c r="AW344" s="15">
        <f t="shared" ref="AW344" si="886">AW343*AW345</f>
        <v>172.37689314883298</v>
      </c>
      <c r="AX344" s="15">
        <f t="shared" ref="AX344" si="887">AX343*AX345</f>
        <v>202.73272069035758</v>
      </c>
      <c r="AY344" s="15">
        <f t="shared" ref="AY344" si="888">AY343*AY345</f>
        <v>218.67440996346841</v>
      </c>
      <c r="AZ344" s="206">
        <f>SUM(AV344:AY344)</f>
        <v>725.28198888263</v>
      </c>
    </row>
    <row r="345" spans="2:54">
      <c r="B345" s="5" t="s">
        <v>448</v>
      </c>
      <c r="E345" s="177"/>
      <c r="F345" s="177"/>
      <c r="G345" s="177"/>
      <c r="H345" s="165"/>
      <c r="I345" s="165"/>
      <c r="J345" s="165"/>
      <c r="K345" s="165"/>
      <c r="L345" s="177"/>
      <c r="M345" s="165"/>
      <c r="N345" s="165"/>
      <c r="O345" s="165">
        <f t="shared" ref="O345:AL345" si="889">O344/O343</f>
        <v>0.27145359019264448</v>
      </c>
      <c r="P345" s="165">
        <f t="shared" si="889"/>
        <v>0.26124567474048449</v>
      </c>
      <c r="Q345" s="177">
        <f t="shared" si="889"/>
        <v>0.29234872069538825</v>
      </c>
      <c r="R345" s="165">
        <f t="shared" si="889"/>
        <v>0.26293995859213248</v>
      </c>
      <c r="S345" s="165">
        <f t="shared" si="889"/>
        <v>0.25132743362831861</v>
      </c>
      <c r="T345" s="165">
        <f t="shared" si="889"/>
        <v>0.24833333333333332</v>
      </c>
      <c r="U345" s="165">
        <f t="shared" si="889"/>
        <v>0.2594268476621418</v>
      </c>
      <c r="V345" s="177">
        <f t="shared" si="889"/>
        <v>0.25496117342536667</v>
      </c>
      <c r="W345" s="165">
        <f t="shared" si="889"/>
        <v>0.25</v>
      </c>
      <c r="X345" s="165">
        <f t="shared" si="889"/>
        <v>0.26025236593059931</v>
      </c>
      <c r="Y345" s="165">
        <f t="shared" si="889"/>
        <v>0.23698630136986301</v>
      </c>
      <c r="Z345" s="165">
        <f t="shared" si="889"/>
        <v>0.23480662983425415</v>
      </c>
      <c r="AA345" s="177">
        <f t="shared" si="889"/>
        <v>0.24468085106382975</v>
      </c>
      <c r="AB345" s="165">
        <f t="shared" si="889"/>
        <v>0.22148760330578512</v>
      </c>
      <c r="AC345" s="165">
        <f t="shared" si="889"/>
        <v>0.25690607734806631</v>
      </c>
      <c r="AD345" s="165">
        <f t="shared" si="889"/>
        <v>0.23170731707317074</v>
      </c>
      <c r="AE345" s="165">
        <f t="shared" si="889"/>
        <v>0.2</v>
      </c>
      <c r="AF345" s="177">
        <f t="shared" si="889"/>
        <v>0.22719565954560869</v>
      </c>
      <c r="AG345" s="165">
        <f t="shared" si="889"/>
        <v>0.22926829268292684</v>
      </c>
      <c r="AH345" s="165">
        <f t="shared" si="889"/>
        <v>0.22517482517482518</v>
      </c>
      <c r="AI345" s="165">
        <f t="shared" si="889"/>
        <v>0.23122065727699531</v>
      </c>
      <c r="AJ345" s="165">
        <f t="shared" si="889"/>
        <v>0.21967213114754097</v>
      </c>
      <c r="AK345" s="177">
        <f t="shared" si="889"/>
        <v>0.22602518566354537</v>
      </c>
      <c r="AL345" s="165">
        <f t="shared" si="889"/>
        <v>0.19899665551839466</v>
      </c>
      <c r="AM345" s="19">
        <f>AM344/AM343</f>
        <v>0.22294654498044328</v>
      </c>
      <c r="AN345" s="241">
        <v>0.22</v>
      </c>
      <c r="AO345" s="241">
        <v>0.22</v>
      </c>
      <c r="AP345" s="242">
        <f ca="1">AP344/AP343</f>
        <v>0.21686734978767436</v>
      </c>
      <c r="AQ345" s="241">
        <v>0.22</v>
      </c>
      <c r="AR345" s="241">
        <v>0.22</v>
      </c>
      <c r="AS345" s="241">
        <v>0.22</v>
      </c>
      <c r="AT345" s="241">
        <v>0.22</v>
      </c>
      <c r="AU345" s="242">
        <f>AU344/AU343</f>
        <v>0.22</v>
      </c>
      <c r="AV345" s="241">
        <v>0.22</v>
      </c>
      <c r="AW345" s="241">
        <v>0.22</v>
      </c>
      <c r="AX345" s="241">
        <v>0.22</v>
      </c>
      <c r="AY345" s="241">
        <v>0.22</v>
      </c>
      <c r="AZ345" s="242">
        <f>AZ344/AZ343</f>
        <v>0.21999999999999997</v>
      </c>
    </row>
    <row r="346" spans="2:54">
      <c r="B346" s="6" t="s">
        <v>452</v>
      </c>
      <c r="E346" s="14"/>
      <c r="F346" s="14"/>
      <c r="G346" s="14"/>
      <c r="H346" s="15"/>
      <c r="I346" s="15"/>
      <c r="J346" s="15"/>
      <c r="K346" s="15"/>
      <c r="L346" s="14"/>
      <c r="M346" s="15"/>
      <c r="N346" s="15"/>
      <c r="O346" s="15">
        <f t="shared" ref="O346:AL346" si="890">O349-O347</f>
        <v>305</v>
      </c>
      <c r="P346" s="15">
        <f t="shared" si="890"/>
        <v>265.99999999999989</v>
      </c>
      <c r="Q346" s="14">
        <f t="shared" si="890"/>
        <v>399.38000000000011</v>
      </c>
      <c r="R346" s="15">
        <f t="shared" si="890"/>
        <v>224</v>
      </c>
      <c r="S346" s="15">
        <f t="shared" si="890"/>
        <v>314</v>
      </c>
      <c r="T346" s="15">
        <f t="shared" si="890"/>
        <v>304</v>
      </c>
      <c r="U346" s="15">
        <f t="shared" si="890"/>
        <v>406</v>
      </c>
      <c r="V346" s="14">
        <f t="shared" si="890"/>
        <v>1254</v>
      </c>
      <c r="W346" s="15">
        <f t="shared" si="890"/>
        <v>156</v>
      </c>
      <c r="X346" s="15">
        <f t="shared" si="890"/>
        <v>298.00000000000011</v>
      </c>
      <c r="Y346" s="15">
        <f t="shared" si="890"/>
        <v>443</v>
      </c>
      <c r="Z346" s="15">
        <f t="shared" si="890"/>
        <v>428</v>
      </c>
      <c r="AA346" s="14">
        <f t="shared" si="890"/>
        <v>1325.0000000000005</v>
      </c>
      <c r="AB346" s="15">
        <f t="shared" si="890"/>
        <v>325</v>
      </c>
      <c r="AC346" s="15">
        <f t="shared" si="890"/>
        <v>448</v>
      </c>
      <c r="AD346" s="15">
        <f t="shared" si="890"/>
        <v>528</v>
      </c>
      <c r="AE346" s="15">
        <f t="shared" si="890"/>
        <v>843</v>
      </c>
      <c r="AF346" s="14">
        <f t="shared" si="890"/>
        <v>2144</v>
      </c>
      <c r="AG346" s="15">
        <f t="shared" si="890"/>
        <v>585</v>
      </c>
      <c r="AH346" s="15">
        <f t="shared" si="890"/>
        <v>218</v>
      </c>
      <c r="AI346" s="15">
        <f t="shared" si="890"/>
        <v>178</v>
      </c>
      <c r="AJ346" s="15">
        <f t="shared" si="890"/>
        <v>453</v>
      </c>
      <c r="AK346" s="14">
        <f t="shared" si="890"/>
        <v>1434</v>
      </c>
      <c r="AL346" s="15">
        <f t="shared" si="890"/>
        <v>467</v>
      </c>
      <c r="AM346" s="15">
        <f>AM349-AM347</f>
        <v>503</v>
      </c>
      <c r="AN346" s="15">
        <f ca="1">AN349-AN347</f>
        <v>719.01767310812454</v>
      </c>
      <c r="AO346" s="15">
        <f t="shared" ref="AO346:AU346" ca="1" si="891">AO349-AO347</f>
        <v>780.88400772737236</v>
      </c>
      <c r="AP346" s="206">
        <f ca="1">AP349-AP347</f>
        <v>2469.9016808354968</v>
      </c>
      <c r="AQ346" s="15">
        <f t="shared" si="891"/>
        <v>470.16012493972175</v>
      </c>
      <c r="AR346" s="15">
        <f t="shared" si="891"/>
        <v>614.57738752478929</v>
      </c>
      <c r="AS346" s="15">
        <f t="shared" si="891"/>
        <v>715.10257211391104</v>
      </c>
      <c r="AT346" s="15">
        <f t="shared" si="891"/>
        <v>774.28767094648913</v>
      </c>
      <c r="AU346" s="206">
        <f t="shared" si="891"/>
        <v>2574.1277555249112</v>
      </c>
      <c r="AV346" s="15">
        <f t="shared" ref="AV346" si="892">AV349-AV347</f>
        <v>466.2200580108065</v>
      </c>
      <c r="AW346" s="15">
        <f t="shared" ref="AW346" si="893">AW349-AW347</f>
        <v>611.15443934586233</v>
      </c>
      <c r="AX346" s="15">
        <f t="shared" ref="AX346" si="894">AX349-AX347</f>
        <v>718.77964608399509</v>
      </c>
      <c r="AY346" s="15">
        <f t="shared" ref="AY346" si="895">AY349-AY347</f>
        <v>775.30018077956981</v>
      </c>
      <c r="AZ346" s="206">
        <f t="shared" ref="AZ346" si="896">AZ349-AZ347</f>
        <v>2571.4543242202344</v>
      </c>
    </row>
    <row r="347" spans="2:54">
      <c r="B347" s="5" t="s">
        <v>453</v>
      </c>
      <c r="E347" s="12"/>
      <c r="F347" s="14"/>
      <c r="G347" s="14"/>
      <c r="H347" s="15"/>
      <c r="I347" s="15"/>
      <c r="J347" s="15"/>
      <c r="K347" s="15"/>
      <c r="L347" s="14"/>
      <c r="M347" s="15"/>
      <c r="N347" s="15"/>
      <c r="O347" s="585">
        <v>111</v>
      </c>
      <c r="P347" s="585">
        <v>161</v>
      </c>
      <c r="Q347" s="586">
        <v>869</v>
      </c>
      <c r="R347" s="585">
        <v>132</v>
      </c>
      <c r="S347" s="585">
        <v>109</v>
      </c>
      <c r="T347" s="585">
        <v>147</v>
      </c>
      <c r="U347" s="585">
        <v>85</v>
      </c>
      <c r="V347" s="586">
        <v>473</v>
      </c>
      <c r="W347" s="585">
        <v>252</v>
      </c>
      <c r="X347" s="585">
        <v>171</v>
      </c>
      <c r="Y347" s="585">
        <v>114</v>
      </c>
      <c r="Z347" s="585">
        <v>126</v>
      </c>
      <c r="AA347" s="586">
        <v>663</v>
      </c>
      <c r="AB347" s="585">
        <v>146</v>
      </c>
      <c r="AC347" s="585">
        <v>90</v>
      </c>
      <c r="AD347" s="585">
        <v>102</v>
      </c>
      <c r="AE347" s="585">
        <v>-203</v>
      </c>
      <c r="AF347" s="586">
        <v>135</v>
      </c>
      <c r="AG347" s="585">
        <v>-111</v>
      </c>
      <c r="AH347" s="585">
        <v>336</v>
      </c>
      <c r="AI347" s="585">
        <v>477</v>
      </c>
      <c r="AJ347" s="585">
        <v>261</v>
      </c>
      <c r="AK347" s="586">
        <v>963</v>
      </c>
      <c r="AL347" s="585">
        <v>12</v>
      </c>
      <c r="AM347" s="585">
        <v>93</v>
      </c>
      <c r="AN347" s="20">
        <v>0</v>
      </c>
      <c r="AO347" s="20">
        <v>0</v>
      </c>
      <c r="AP347" s="206">
        <f>SUM(AL347:AO347)</f>
        <v>105</v>
      </c>
      <c r="AQ347" s="20">
        <v>0</v>
      </c>
      <c r="AR347" s="20">
        <v>0</v>
      </c>
      <c r="AS347" s="20">
        <v>0</v>
      </c>
      <c r="AT347" s="20">
        <v>0</v>
      </c>
      <c r="AU347" s="206">
        <f>SUM(AQ347:AT347)</f>
        <v>0</v>
      </c>
      <c r="AV347" s="20">
        <v>0</v>
      </c>
      <c r="AW347" s="20">
        <v>0</v>
      </c>
      <c r="AX347" s="20">
        <v>0</v>
      </c>
      <c r="AY347" s="20">
        <v>0</v>
      </c>
      <c r="AZ347" s="206">
        <f>SUM(AV347:AY347)</f>
        <v>0</v>
      </c>
    </row>
    <row r="348" spans="2:54">
      <c r="B348" s="5"/>
      <c r="E348" s="12"/>
      <c r="F348" s="14"/>
      <c r="G348" s="14"/>
      <c r="H348" s="15"/>
      <c r="I348" s="15"/>
      <c r="J348" s="15"/>
      <c r="K348" s="15"/>
      <c r="L348" s="14"/>
      <c r="M348" s="15"/>
      <c r="N348" s="15"/>
      <c r="O348" s="15"/>
      <c r="P348" s="15"/>
      <c r="Q348" s="14"/>
      <c r="R348" s="15"/>
      <c r="S348" s="15"/>
      <c r="T348" s="15"/>
      <c r="U348" s="15"/>
      <c r="V348" s="14"/>
      <c r="W348" s="15"/>
      <c r="X348" s="15"/>
      <c r="Y348" s="15"/>
      <c r="Z348" s="15"/>
      <c r="AA348" s="14"/>
      <c r="AB348" s="15"/>
      <c r="AC348" s="15"/>
      <c r="AD348" s="15"/>
      <c r="AE348" s="15"/>
      <c r="AF348" s="14"/>
      <c r="AG348" s="15"/>
      <c r="AH348" s="15"/>
      <c r="AI348" s="15"/>
      <c r="AJ348" s="15"/>
      <c r="AK348" s="14"/>
      <c r="AL348" s="15"/>
      <c r="AM348" s="15"/>
      <c r="AN348" s="20"/>
      <c r="AO348" s="20"/>
      <c r="AP348" s="206"/>
      <c r="AQ348" s="20"/>
      <c r="AR348" s="20"/>
      <c r="AS348" s="20"/>
      <c r="AT348" s="20"/>
      <c r="AU348" s="206"/>
      <c r="AV348" s="20"/>
      <c r="AW348" s="20"/>
      <c r="AX348" s="20"/>
      <c r="AY348" s="20"/>
      <c r="AZ348" s="206"/>
    </row>
    <row r="349" spans="2:54" s="11" customFormat="1">
      <c r="B349" s="185" t="s">
        <v>454</v>
      </c>
      <c r="C349" s="185"/>
      <c r="D349" s="185"/>
      <c r="E349" s="186"/>
      <c r="F349" s="186"/>
      <c r="G349" s="186"/>
      <c r="H349" s="187"/>
      <c r="I349" s="187"/>
      <c r="J349" s="187"/>
      <c r="K349" s="187"/>
      <c r="L349" s="186"/>
      <c r="M349" s="187"/>
      <c r="N349" s="187"/>
      <c r="O349" s="187">
        <f t="shared" ref="O349:AL349" si="897">O343-O344</f>
        <v>416</v>
      </c>
      <c r="P349" s="187">
        <f t="shared" si="897"/>
        <v>426.99999999999989</v>
      </c>
      <c r="Q349" s="186">
        <f t="shared" si="897"/>
        <v>1268.3800000000001</v>
      </c>
      <c r="R349" s="187">
        <f t="shared" si="897"/>
        <v>356</v>
      </c>
      <c r="S349" s="187">
        <f t="shared" si="897"/>
        <v>423</v>
      </c>
      <c r="T349" s="187">
        <f t="shared" si="897"/>
        <v>451</v>
      </c>
      <c r="U349" s="187">
        <f t="shared" si="897"/>
        <v>491</v>
      </c>
      <c r="V349" s="186">
        <f t="shared" si="897"/>
        <v>1727</v>
      </c>
      <c r="W349" s="187">
        <f t="shared" si="897"/>
        <v>408</v>
      </c>
      <c r="X349" s="187">
        <f t="shared" si="897"/>
        <v>469.00000000000011</v>
      </c>
      <c r="Y349" s="187">
        <f t="shared" si="897"/>
        <v>557</v>
      </c>
      <c r="Z349" s="187">
        <f t="shared" si="897"/>
        <v>554</v>
      </c>
      <c r="AA349" s="186">
        <f t="shared" si="897"/>
        <v>1988.0000000000005</v>
      </c>
      <c r="AB349" s="187">
        <f t="shared" si="897"/>
        <v>471</v>
      </c>
      <c r="AC349" s="187">
        <f t="shared" si="897"/>
        <v>538</v>
      </c>
      <c r="AD349" s="187">
        <f t="shared" si="897"/>
        <v>630</v>
      </c>
      <c r="AE349" s="187">
        <f t="shared" si="897"/>
        <v>640</v>
      </c>
      <c r="AF349" s="186">
        <f t="shared" si="897"/>
        <v>2279</v>
      </c>
      <c r="AG349" s="187">
        <f t="shared" si="897"/>
        <v>474</v>
      </c>
      <c r="AH349" s="187">
        <f t="shared" si="897"/>
        <v>554</v>
      </c>
      <c r="AI349" s="187">
        <f t="shared" si="897"/>
        <v>655</v>
      </c>
      <c r="AJ349" s="187">
        <f t="shared" si="897"/>
        <v>714</v>
      </c>
      <c r="AK349" s="186">
        <f t="shared" si="897"/>
        <v>2397</v>
      </c>
      <c r="AL349" s="187">
        <f t="shared" si="897"/>
        <v>479</v>
      </c>
      <c r="AM349" s="187">
        <f t="shared" ref="AM349:AU349" si="898">AM343-AM344</f>
        <v>596</v>
      </c>
      <c r="AN349" s="187">
        <f t="shared" ca="1" si="898"/>
        <v>719.01767310812454</v>
      </c>
      <c r="AO349" s="187">
        <f t="shared" ca="1" si="898"/>
        <v>780.88400772737236</v>
      </c>
      <c r="AP349" s="249">
        <f ca="1">AP343-AP344</f>
        <v>2574.9016808354968</v>
      </c>
      <c r="AQ349" s="187">
        <f t="shared" si="898"/>
        <v>470.16012493972175</v>
      </c>
      <c r="AR349" s="187">
        <f t="shared" si="898"/>
        <v>614.57738752478929</v>
      </c>
      <c r="AS349" s="187">
        <f t="shared" si="898"/>
        <v>715.10257211391104</v>
      </c>
      <c r="AT349" s="187">
        <f t="shared" si="898"/>
        <v>774.28767094648913</v>
      </c>
      <c r="AU349" s="249">
        <f t="shared" si="898"/>
        <v>2574.1277555249112</v>
      </c>
      <c r="AV349" s="187">
        <f t="shared" ref="AV349:AZ349" si="899">AV343-AV344</f>
        <v>466.2200580108065</v>
      </c>
      <c r="AW349" s="187">
        <f t="shared" si="899"/>
        <v>611.15443934586233</v>
      </c>
      <c r="AX349" s="187">
        <f t="shared" si="899"/>
        <v>718.77964608399509</v>
      </c>
      <c r="AY349" s="187">
        <f t="shared" si="899"/>
        <v>775.30018077956981</v>
      </c>
      <c r="AZ349" s="249">
        <f t="shared" si="899"/>
        <v>2571.4543242202344</v>
      </c>
      <c r="BB349" s="257"/>
    </row>
    <row r="350" spans="2:54" s="11" customFormat="1">
      <c r="B350" s="171"/>
      <c r="C350" s="171"/>
      <c r="D350" s="171"/>
      <c r="E350" s="383"/>
      <c r="F350" s="383"/>
      <c r="G350" s="383"/>
      <c r="H350" s="384"/>
      <c r="I350" s="384"/>
      <c r="J350" s="384"/>
      <c r="K350" s="384"/>
      <c r="L350" s="383"/>
      <c r="M350" s="384"/>
      <c r="N350" s="384"/>
      <c r="O350" s="384"/>
      <c r="P350" s="384"/>
      <c r="Q350" s="383"/>
      <c r="R350" s="384"/>
      <c r="S350" s="384"/>
      <c r="T350" s="384"/>
      <c r="U350" s="384"/>
      <c r="V350" s="383"/>
      <c r="W350" s="384"/>
      <c r="X350" s="384"/>
      <c r="Y350" s="384"/>
      <c r="Z350" s="384"/>
      <c r="AA350" s="383"/>
      <c r="AB350" s="384"/>
      <c r="AC350" s="384"/>
      <c r="AD350" s="384"/>
      <c r="AE350" s="384"/>
      <c r="AF350" s="383"/>
      <c r="AG350" s="384"/>
      <c r="AH350" s="384"/>
      <c r="AI350" s="384"/>
      <c r="AJ350" s="384"/>
      <c r="AK350" s="383"/>
      <c r="AL350" s="384"/>
      <c r="AM350" s="384"/>
      <c r="AN350" s="384"/>
      <c r="AO350" s="384"/>
      <c r="AP350" s="385"/>
      <c r="AQ350" s="384"/>
      <c r="AR350" s="384"/>
      <c r="AS350" s="384"/>
      <c r="AT350" s="384"/>
      <c r="AU350" s="385"/>
      <c r="AV350" s="384"/>
      <c r="AW350" s="384"/>
      <c r="AX350" s="384"/>
      <c r="AY350" s="384"/>
      <c r="AZ350" s="385"/>
      <c r="BB350" s="257"/>
    </row>
    <row r="351" spans="2:54">
      <c r="B351" s="10" t="s">
        <v>858</v>
      </c>
      <c r="E351" s="12"/>
      <c r="F351" s="14"/>
      <c r="G351" s="14"/>
      <c r="H351" s="15"/>
      <c r="I351" s="15"/>
      <c r="J351" s="15"/>
      <c r="K351" s="15"/>
      <c r="L351" s="14"/>
      <c r="M351" s="15"/>
      <c r="N351" s="15"/>
      <c r="O351" s="15"/>
      <c r="P351" s="15"/>
      <c r="Q351" s="14"/>
      <c r="R351" s="15"/>
      <c r="S351" s="15"/>
      <c r="T351" s="15"/>
      <c r="U351" s="15"/>
      <c r="V351" s="14"/>
      <c r="W351" s="15"/>
      <c r="X351" s="15"/>
      <c r="Y351" s="15"/>
      <c r="Z351" s="15"/>
      <c r="AA351" s="14"/>
      <c r="AB351" s="15"/>
      <c r="AC351" s="15"/>
      <c r="AD351" s="15"/>
      <c r="AE351" s="15"/>
      <c r="AF351" s="14"/>
      <c r="AG351" s="15"/>
      <c r="AH351" s="15"/>
      <c r="AI351" s="15"/>
      <c r="AJ351" s="15"/>
      <c r="AK351" s="14"/>
      <c r="AL351" s="15"/>
      <c r="AM351" s="15"/>
      <c r="AP351" s="199"/>
      <c r="AU351" s="199"/>
      <c r="AZ351" s="199"/>
    </row>
    <row r="352" spans="2:54" outlineLevel="1">
      <c r="B352" t="s">
        <v>13</v>
      </c>
      <c r="E352" s="12"/>
      <c r="F352" s="14"/>
      <c r="G352" s="14"/>
      <c r="H352" s="15"/>
      <c r="I352" s="15"/>
      <c r="J352" s="15"/>
      <c r="K352" s="15"/>
      <c r="L352" s="14"/>
      <c r="M352" s="15"/>
      <c r="N352" s="15"/>
      <c r="O352" s="585">
        <v>1382.2</v>
      </c>
      <c r="P352" s="585">
        <v>1394.8</v>
      </c>
      <c r="Q352" s="586">
        <v>1086.3</v>
      </c>
      <c r="R352" s="585">
        <v>1406.3</v>
      </c>
      <c r="S352" s="585">
        <v>1406.7</v>
      </c>
      <c r="T352" s="585">
        <v>1406.8</v>
      </c>
      <c r="U352" s="585">
        <v>1406.9</v>
      </c>
      <c r="V352" s="586">
        <v>1406.7</v>
      </c>
      <c r="W352" s="585">
        <v>1407</v>
      </c>
      <c r="X352" s="585">
        <v>1407.2</v>
      </c>
      <c r="Y352" s="585">
        <v>1407.3</v>
      </c>
      <c r="Z352" s="585">
        <v>1407.3</v>
      </c>
      <c r="AA352" s="586">
        <v>1407.2</v>
      </c>
      <c r="AB352" s="585">
        <v>1409.2</v>
      </c>
      <c r="AC352" s="585">
        <v>1417.4</v>
      </c>
      <c r="AD352" s="585">
        <v>1417.6</v>
      </c>
      <c r="AE352" s="585">
        <v>1418</v>
      </c>
      <c r="AF352" s="586">
        <v>1415.7</v>
      </c>
      <c r="AG352" s="585">
        <v>1418.2</v>
      </c>
      <c r="AH352" s="585">
        <v>1417.5</v>
      </c>
      <c r="AI352" s="585">
        <v>1416.1</v>
      </c>
      <c r="AJ352" s="585">
        <v>1415.5</v>
      </c>
      <c r="AK352" s="586">
        <v>1416.8</v>
      </c>
      <c r="AL352" s="585">
        <v>1406.2</v>
      </c>
      <c r="AM352" s="585">
        <v>1400.3</v>
      </c>
      <c r="AP352" s="199"/>
      <c r="AU352" s="199"/>
      <c r="AZ352" s="199"/>
      <c r="BB352" s="20" t="s">
        <v>571</v>
      </c>
    </row>
    <row r="353" spans="2:54" outlineLevel="1">
      <c r="B353" s="5" t="s">
        <v>450</v>
      </c>
      <c r="E353" s="12"/>
      <c r="F353" s="14"/>
      <c r="G353" s="14"/>
      <c r="H353" s="15"/>
      <c r="I353" s="15"/>
      <c r="J353" s="15"/>
      <c r="K353" s="15"/>
      <c r="L353" s="175"/>
      <c r="M353" s="162"/>
      <c r="N353" s="162"/>
      <c r="O353" s="162">
        <f t="shared" ref="O353:AL353" si="900">O349/O352</f>
        <v>0.30096946896252352</v>
      </c>
      <c r="P353" s="162">
        <f t="shared" si="900"/>
        <v>0.30613708058503003</v>
      </c>
      <c r="Q353" s="175">
        <f t="shared" si="900"/>
        <v>1.1676148393629753</v>
      </c>
      <c r="R353" s="162">
        <f t="shared" si="900"/>
        <v>0.25314655478916304</v>
      </c>
      <c r="S353" s="162">
        <f t="shared" si="900"/>
        <v>0.3007037747920665</v>
      </c>
      <c r="T353" s="162">
        <f t="shared" si="900"/>
        <v>0.32058572647142453</v>
      </c>
      <c r="U353" s="162">
        <f t="shared" si="900"/>
        <v>0.34899424266116991</v>
      </c>
      <c r="V353" s="175">
        <f t="shared" si="900"/>
        <v>1.2276960261605174</v>
      </c>
      <c r="W353" s="162">
        <f t="shared" si="900"/>
        <v>0.28997867803837951</v>
      </c>
      <c r="X353" s="162">
        <f t="shared" si="900"/>
        <v>0.33328595793064247</v>
      </c>
      <c r="Y353" s="162">
        <f t="shared" si="900"/>
        <v>0.39579336317771618</v>
      </c>
      <c r="Z353" s="162">
        <f t="shared" si="900"/>
        <v>0.39366162154480211</v>
      </c>
      <c r="AA353" s="175">
        <f t="shared" si="900"/>
        <v>1.4127345082433203</v>
      </c>
      <c r="AB353" s="162">
        <f t="shared" si="900"/>
        <v>0.33423218847573088</v>
      </c>
      <c r="AC353" s="162">
        <f t="shared" si="900"/>
        <v>0.3795682235078312</v>
      </c>
      <c r="AD353" s="162">
        <f t="shared" si="900"/>
        <v>0.44441309255079009</v>
      </c>
      <c r="AE353" s="162">
        <f t="shared" si="900"/>
        <v>0.45133991537376589</v>
      </c>
      <c r="AF353" s="175">
        <f t="shared" si="900"/>
        <v>1.6098043370770643</v>
      </c>
      <c r="AG353" s="162">
        <f t="shared" si="900"/>
        <v>0.33422648427584262</v>
      </c>
      <c r="AH353" s="162">
        <f t="shared" si="900"/>
        <v>0.39082892416225751</v>
      </c>
      <c r="AI353" s="162">
        <f t="shared" si="900"/>
        <v>0.46253795635901424</v>
      </c>
      <c r="AJ353" s="162">
        <f t="shared" si="900"/>
        <v>0.50441540091840342</v>
      </c>
      <c r="AK353" s="175">
        <f t="shared" si="900"/>
        <v>1.6918407679277245</v>
      </c>
      <c r="AL353" s="162">
        <f t="shared" si="900"/>
        <v>0.34063433366519696</v>
      </c>
      <c r="AM353" s="174">
        <f>AM349/AM352</f>
        <v>0.42562308076840677</v>
      </c>
      <c r="AP353" s="199"/>
      <c r="AU353" s="199"/>
      <c r="AZ353" s="199"/>
    </row>
    <row r="354" spans="2:54" outlineLevel="1">
      <c r="B354" s="5" t="s">
        <v>570</v>
      </c>
      <c r="E354" s="12"/>
      <c r="F354" s="14"/>
      <c r="G354" s="14"/>
      <c r="H354" s="15"/>
      <c r="I354" s="15"/>
      <c r="J354" s="15"/>
      <c r="K354" s="15"/>
      <c r="L354" s="14"/>
      <c r="M354" s="15"/>
      <c r="N354" s="15"/>
      <c r="O354" s="15"/>
      <c r="P354" s="15"/>
      <c r="Q354" s="14"/>
      <c r="R354" s="15"/>
      <c r="S354" s="15"/>
      <c r="T354" s="15"/>
      <c r="U354" s="15"/>
      <c r="V354" s="14"/>
      <c r="W354" s="15"/>
      <c r="X354" s="15"/>
      <c r="Y354" s="15"/>
      <c r="Z354" s="15"/>
      <c r="AA354" s="14"/>
      <c r="AB354" s="15"/>
      <c r="AC354" s="15"/>
      <c r="AD354" s="15"/>
      <c r="AE354" s="15"/>
      <c r="AF354" s="14"/>
      <c r="AG354" s="15"/>
      <c r="AH354" s="15"/>
      <c r="AI354" s="15"/>
      <c r="AJ354" s="15"/>
      <c r="AK354" s="14"/>
      <c r="AL354" s="15"/>
      <c r="AM354" s="15"/>
      <c r="AN354" s="20">
        <v>1</v>
      </c>
      <c r="AO354" s="20">
        <v>1</v>
      </c>
      <c r="AP354" s="199">
        <f>SUM(AL354:AO354)</f>
        <v>2</v>
      </c>
      <c r="AQ354" s="20">
        <v>1</v>
      </c>
      <c r="AR354" s="20">
        <v>1</v>
      </c>
      <c r="AS354" s="20">
        <v>1</v>
      </c>
      <c r="AT354" s="20">
        <v>1</v>
      </c>
      <c r="AU354" s="199">
        <f>SUM(AQ354:AT354)</f>
        <v>4</v>
      </c>
      <c r="AV354" s="20">
        <v>1</v>
      </c>
      <c r="AW354" s="20">
        <v>1</v>
      </c>
      <c r="AX354" s="20">
        <v>1</v>
      </c>
      <c r="AY354" s="20">
        <v>1</v>
      </c>
      <c r="AZ354" s="199">
        <f>SUM(AV354:AY354)</f>
        <v>4</v>
      </c>
    </row>
    <row r="355" spans="2:54" outlineLevel="1">
      <c r="B355" s="5" t="s">
        <v>568</v>
      </c>
      <c r="E355" s="12"/>
      <c r="F355" s="14"/>
      <c r="G355" s="14"/>
      <c r="H355" s="15"/>
      <c r="I355" s="15"/>
      <c r="J355" s="15"/>
      <c r="K355" s="15"/>
      <c r="L355" s="14"/>
      <c r="M355" s="15"/>
      <c r="N355" s="15"/>
      <c r="O355" s="15"/>
      <c r="P355" s="15"/>
      <c r="Q355" s="14"/>
      <c r="R355" s="15"/>
      <c r="S355" s="15"/>
      <c r="T355" s="15"/>
      <c r="U355" s="15"/>
      <c r="V355" s="14"/>
      <c r="W355" s="15"/>
      <c r="X355" s="15"/>
      <c r="Y355" s="15"/>
      <c r="Z355" s="15"/>
      <c r="AA355" s="14"/>
      <c r="AB355" s="15"/>
      <c r="AC355" s="15"/>
      <c r="AD355" s="15"/>
      <c r="AE355" s="15"/>
      <c r="AF355" s="14"/>
      <c r="AG355" s="15"/>
      <c r="AH355" s="15"/>
      <c r="AI355" s="15"/>
      <c r="AJ355" s="15"/>
      <c r="AK355" s="14"/>
      <c r="AL355" s="15"/>
      <c r="AM355" s="15"/>
      <c r="AN355" s="252">
        <v>37</v>
      </c>
      <c r="AO355" s="252">
        <v>37</v>
      </c>
      <c r="AP355" s="199"/>
      <c r="AQ355" s="252">
        <v>37</v>
      </c>
      <c r="AR355" s="252">
        <v>37</v>
      </c>
      <c r="AS355" s="252">
        <v>37</v>
      </c>
      <c r="AT355" s="252">
        <v>37</v>
      </c>
      <c r="AU355" s="199"/>
      <c r="AV355" s="252">
        <v>37</v>
      </c>
      <c r="AW355" s="252">
        <v>37</v>
      </c>
      <c r="AX355" s="252">
        <v>37</v>
      </c>
      <c r="AY355" s="252">
        <v>37</v>
      </c>
      <c r="AZ355" s="199"/>
    </row>
    <row r="356" spans="2:54" outlineLevel="1">
      <c r="B356" s="5" t="s">
        <v>569</v>
      </c>
      <c r="E356" s="12"/>
      <c r="F356" s="14"/>
      <c r="G356" s="14"/>
      <c r="H356" s="15"/>
      <c r="I356" s="15"/>
      <c r="J356" s="15"/>
      <c r="K356" s="15"/>
      <c r="L356" s="14"/>
      <c r="M356" s="15"/>
      <c r="N356" s="15"/>
      <c r="O356" s="15"/>
      <c r="P356" s="15"/>
      <c r="Q356" s="14"/>
      <c r="R356" s="15"/>
      <c r="S356" s="15"/>
      <c r="T356" s="15"/>
      <c r="U356" s="15"/>
      <c r="V356" s="14"/>
      <c r="W356" s="15"/>
      <c r="X356" s="15"/>
      <c r="Y356" s="15"/>
      <c r="Z356" s="15"/>
      <c r="AA356" s="14"/>
      <c r="AB356" s="15"/>
      <c r="AC356" s="15"/>
      <c r="AD356" s="15"/>
      <c r="AE356" s="15"/>
      <c r="AF356" s="14"/>
      <c r="AG356" s="15"/>
      <c r="AH356" s="15"/>
      <c r="AI356" s="15"/>
      <c r="AJ356" s="15"/>
      <c r="AK356" s="14"/>
      <c r="AL356" s="15"/>
      <c r="AM356" s="15"/>
      <c r="AN356" s="15">
        <f>AN354*AN355</f>
        <v>37</v>
      </c>
      <c r="AO356" s="15">
        <f>AO354*AO355</f>
        <v>37</v>
      </c>
      <c r="AP356" s="199">
        <f>SUM(AL356:AO356)</f>
        <v>74</v>
      </c>
      <c r="AQ356" s="15">
        <f t="shared" ref="AQ356:AT356" si="901">AQ354*AQ355</f>
        <v>37</v>
      </c>
      <c r="AR356" s="15">
        <f t="shared" si="901"/>
        <v>37</v>
      </c>
      <c r="AS356" s="15">
        <f t="shared" si="901"/>
        <v>37</v>
      </c>
      <c r="AT356" s="15">
        <f t="shared" si="901"/>
        <v>37</v>
      </c>
      <c r="AU356" s="199">
        <f>SUM(AQ356:AT356)</f>
        <v>148</v>
      </c>
      <c r="AV356" s="15">
        <f t="shared" ref="AV356" si="902">AV354*AV355</f>
        <v>37</v>
      </c>
      <c r="AW356" s="15">
        <f t="shared" ref="AW356" si="903">AW354*AW355</f>
        <v>37</v>
      </c>
      <c r="AX356" s="15">
        <f t="shared" ref="AX356" si="904">AX354*AX355</f>
        <v>37</v>
      </c>
      <c r="AY356" s="15">
        <f t="shared" ref="AY356" si="905">AY354*AY355</f>
        <v>37</v>
      </c>
      <c r="AZ356" s="199">
        <f>SUM(AV356:AY356)</f>
        <v>148</v>
      </c>
    </row>
    <row r="357" spans="2:54">
      <c r="B357" s="4" t="s">
        <v>14</v>
      </c>
      <c r="E357" s="12"/>
      <c r="F357" s="14"/>
      <c r="G357" s="14"/>
      <c r="H357" s="15"/>
      <c r="I357" s="15"/>
      <c r="J357" s="15"/>
      <c r="K357" s="15"/>
      <c r="L357" s="14"/>
      <c r="M357" s="15"/>
      <c r="N357" s="15"/>
      <c r="O357" s="585">
        <v>1400.7</v>
      </c>
      <c r="P357" s="585">
        <v>1406.2</v>
      </c>
      <c r="Q357" s="586">
        <v>1401.1</v>
      </c>
      <c r="R357" s="585">
        <v>1417.7</v>
      </c>
      <c r="S357" s="585">
        <v>1419.2</v>
      </c>
      <c r="T357" s="585">
        <v>1419.4</v>
      </c>
      <c r="U357" s="585">
        <v>1419.9</v>
      </c>
      <c r="V357" s="586">
        <v>1419.1</v>
      </c>
      <c r="W357" s="585">
        <v>1420.1</v>
      </c>
      <c r="X357" s="585">
        <v>1421.5</v>
      </c>
      <c r="Y357" s="585">
        <v>1422.9</v>
      </c>
      <c r="Z357" s="585">
        <v>1423.8</v>
      </c>
      <c r="AA357" s="586">
        <v>1422.1</v>
      </c>
      <c r="AB357" s="585">
        <v>1425.6</v>
      </c>
      <c r="AC357" s="585">
        <v>1428.1</v>
      </c>
      <c r="AD357" s="585">
        <v>1428.5</v>
      </c>
      <c r="AE357" s="585">
        <v>1429</v>
      </c>
      <c r="AF357" s="586">
        <v>1427.8</v>
      </c>
      <c r="AG357" s="585">
        <v>1429.7</v>
      </c>
      <c r="AH357" s="585">
        <v>1428.6</v>
      </c>
      <c r="AI357" s="585">
        <v>1427.2</v>
      </c>
      <c r="AJ357" s="585">
        <v>1427.5</v>
      </c>
      <c r="AK357" s="586">
        <v>1428.25</v>
      </c>
      <c r="AL357" s="585">
        <v>1417</v>
      </c>
      <c r="AM357" s="585">
        <v>1409.1</v>
      </c>
      <c r="AN357" s="15">
        <f>AM357-AN354</f>
        <v>1408.1</v>
      </c>
      <c r="AO357" s="15">
        <f>AN357-AO354</f>
        <v>1407.1</v>
      </c>
      <c r="AP357" s="206">
        <f>AO357</f>
        <v>1407.1</v>
      </c>
      <c r="AQ357" s="15">
        <f>AO357-AQ354</f>
        <v>1406.1</v>
      </c>
      <c r="AR357" s="15">
        <f t="shared" ref="AR357:AT357" si="906">AQ357-AR354</f>
        <v>1405.1</v>
      </c>
      <c r="AS357" s="15">
        <f t="shared" si="906"/>
        <v>1404.1</v>
      </c>
      <c r="AT357" s="15">
        <f t="shared" si="906"/>
        <v>1403.1</v>
      </c>
      <c r="AU357" s="206">
        <f>AT357</f>
        <v>1403.1</v>
      </c>
      <c r="AV357" s="15">
        <f>AT357-AV354</f>
        <v>1402.1</v>
      </c>
      <c r="AW357" s="15">
        <f t="shared" ref="AW357:AY357" si="907">AV357-AW354</f>
        <v>1401.1</v>
      </c>
      <c r="AX357" s="15">
        <f t="shared" si="907"/>
        <v>1400.1</v>
      </c>
      <c r="AY357" s="15">
        <f t="shared" si="907"/>
        <v>1399.1</v>
      </c>
      <c r="AZ357" s="206">
        <f>AY357</f>
        <v>1399.1</v>
      </c>
    </row>
    <row r="358" spans="2:54">
      <c r="E358" s="12"/>
      <c r="F358" s="14"/>
      <c r="G358" s="14"/>
      <c r="H358" s="15"/>
      <c r="I358" s="15"/>
      <c r="J358" s="15"/>
      <c r="K358" s="15"/>
      <c r="L358" s="14"/>
      <c r="M358" s="15"/>
      <c r="N358" s="15"/>
      <c r="O358" s="15"/>
      <c r="P358" s="15"/>
      <c r="Q358" s="14"/>
      <c r="R358" s="15"/>
      <c r="S358" s="15"/>
      <c r="T358" s="15"/>
      <c r="U358" s="15"/>
      <c r="V358" s="14"/>
      <c r="W358" s="15"/>
      <c r="X358" s="15"/>
      <c r="Y358" s="15"/>
      <c r="Z358" s="15"/>
      <c r="AA358" s="14"/>
      <c r="AB358" s="15"/>
      <c r="AC358" s="15"/>
      <c r="AD358" s="15"/>
      <c r="AE358" s="15"/>
      <c r="AF358" s="14"/>
      <c r="AG358" s="15"/>
      <c r="AH358" s="15"/>
      <c r="AI358" s="15"/>
      <c r="AJ358" s="15"/>
      <c r="AK358" s="14"/>
      <c r="AL358" s="15"/>
      <c r="AM358" s="15"/>
      <c r="AP358" s="199"/>
      <c r="AU358" s="199"/>
      <c r="AZ358" s="199"/>
    </row>
    <row r="359" spans="2:54" s="11" customFormat="1">
      <c r="B359" s="10" t="s">
        <v>451</v>
      </c>
      <c r="C359" s="11" t="s">
        <v>484</v>
      </c>
      <c r="E359" s="39"/>
      <c r="F359" s="39"/>
      <c r="G359" s="39"/>
      <c r="L359" s="561"/>
      <c r="M359" s="562"/>
      <c r="N359" s="562"/>
      <c r="O359" s="562">
        <f t="shared" ref="O359:AN359" si="908">O349/O357</f>
        <v>0.29699435996287571</v>
      </c>
      <c r="P359" s="562">
        <f t="shared" si="908"/>
        <v>0.30365524107523811</v>
      </c>
      <c r="Q359" s="561">
        <f t="shared" si="908"/>
        <v>0.90527442723574347</v>
      </c>
      <c r="R359" s="562">
        <f t="shared" si="908"/>
        <v>0.25111095436270015</v>
      </c>
      <c r="S359" s="562">
        <f t="shared" si="908"/>
        <v>0.29805524239007891</v>
      </c>
      <c r="T359" s="562">
        <f t="shared" si="908"/>
        <v>0.31773989009440606</v>
      </c>
      <c r="U359" s="562">
        <f t="shared" si="908"/>
        <v>0.34579899992957247</v>
      </c>
      <c r="V359" s="561">
        <f t="shared" si="908"/>
        <v>1.2169685011627089</v>
      </c>
      <c r="W359" s="562">
        <f t="shared" si="908"/>
        <v>0.28730371100626717</v>
      </c>
      <c r="X359" s="562">
        <f t="shared" si="908"/>
        <v>0.32993316918747811</v>
      </c>
      <c r="Y359" s="562">
        <f t="shared" si="908"/>
        <v>0.39145407266849391</v>
      </c>
      <c r="Z359" s="562">
        <f t="shared" si="908"/>
        <v>0.38909959263941568</v>
      </c>
      <c r="AA359" s="561">
        <f t="shared" si="908"/>
        <v>1.3979326348358065</v>
      </c>
      <c r="AB359" s="562">
        <f t="shared" si="908"/>
        <v>0.3303872053872054</v>
      </c>
      <c r="AC359" s="562">
        <f t="shared" si="908"/>
        <v>0.37672431902527836</v>
      </c>
      <c r="AD359" s="562">
        <f t="shared" si="908"/>
        <v>0.4410220511025551</v>
      </c>
      <c r="AE359" s="562">
        <f t="shared" si="908"/>
        <v>0.44786564030790765</v>
      </c>
      <c r="AF359" s="561">
        <f t="shared" si="908"/>
        <v>1.5961619274408181</v>
      </c>
      <c r="AG359" s="562">
        <f t="shared" si="908"/>
        <v>0.33153808491291881</v>
      </c>
      <c r="AH359" s="562">
        <f t="shared" si="908"/>
        <v>0.38779224415511693</v>
      </c>
      <c r="AI359" s="562">
        <f t="shared" si="908"/>
        <v>0.45894058295964124</v>
      </c>
      <c r="AJ359" s="562">
        <f t="shared" si="908"/>
        <v>0.50017513134851144</v>
      </c>
      <c r="AK359" s="561">
        <f t="shared" si="908"/>
        <v>1.678277612462804</v>
      </c>
      <c r="AL359" s="562">
        <f t="shared" si="908"/>
        <v>0.33803810868031053</v>
      </c>
      <c r="AM359" s="562">
        <f t="shared" si="908"/>
        <v>0.42296501312894758</v>
      </c>
      <c r="AN359" s="562">
        <f t="shared" ca="1" si="908"/>
        <v>0.51062969470074893</v>
      </c>
      <c r="AO359" s="562">
        <f ca="1">AO349/AO357</f>
        <v>0.5549598519844875</v>
      </c>
      <c r="AP359" s="563">
        <f t="shared" ref="AP359:AU359" ca="1" si="909">AP349/AP357</f>
        <v>1.8299351011552107</v>
      </c>
      <c r="AQ359" s="562">
        <f t="shared" si="909"/>
        <v>0.33437175516657547</v>
      </c>
      <c r="AR359" s="562">
        <f t="shared" si="909"/>
        <v>0.43739049713528527</v>
      </c>
      <c r="AS359" s="562">
        <f t="shared" si="909"/>
        <v>0.50929604167360665</v>
      </c>
      <c r="AT359" s="562">
        <f t="shared" si="909"/>
        <v>0.55184068915008855</v>
      </c>
      <c r="AU359" s="563">
        <f t="shared" si="909"/>
        <v>1.8346003531643584</v>
      </c>
      <c r="AV359" s="562">
        <f t="shared" ref="AV359:AZ359" si="910">AV349/AV357</f>
        <v>0.33251555381984632</v>
      </c>
      <c r="AW359" s="562">
        <f t="shared" si="910"/>
        <v>0.43619615969300007</v>
      </c>
      <c r="AX359" s="562">
        <f t="shared" si="910"/>
        <v>0.51337736310548898</v>
      </c>
      <c r="AY359" s="562">
        <f t="shared" si="910"/>
        <v>0.55414207760672562</v>
      </c>
      <c r="AZ359" s="563">
        <f t="shared" si="910"/>
        <v>1.8379346181261058</v>
      </c>
      <c r="BB359" s="257"/>
    </row>
    <row r="360" spans="2:54">
      <c r="B360" s="6" t="s">
        <v>486</v>
      </c>
      <c r="E360" s="12"/>
      <c r="F360" s="12"/>
      <c r="G360" s="12"/>
      <c r="L360" s="175"/>
      <c r="M360" s="162"/>
      <c r="N360" s="162"/>
      <c r="O360" s="162"/>
      <c r="P360" s="162"/>
      <c r="Q360" s="177"/>
      <c r="R360" s="165"/>
      <c r="S360" s="165"/>
      <c r="T360" s="165">
        <f t="shared" ref="T360:AL360" si="911">T359/O359-1</f>
        <v>6.985159628662152E-2</v>
      </c>
      <c r="U360" s="165">
        <f t="shared" si="911"/>
        <v>0.13878818196947296</v>
      </c>
      <c r="V360" s="177">
        <f t="shared" si="911"/>
        <v>0.34430893500297333</v>
      </c>
      <c r="W360" s="165">
        <f t="shared" si="911"/>
        <v>0.14413053677973298</v>
      </c>
      <c r="X360" s="165">
        <f t="shared" si="911"/>
        <v>0.10695308205879184</v>
      </c>
      <c r="Y360" s="165">
        <f t="shared" si="911"/>
        <v>0.23199536750700722</v>
      </c>
      <c r="Z360" s="165">
        <f t="shared" si="911"/>
        <v>0.12521896453911685</v>
      </c>
      <c r="AA360" s="177">
        <f t="shared" si="911"/>
        <v>0.14870075396380589</v>
      </c>
      <c r="AB360" s="165">
        <f t="shared" si="911"/>
        <v>0.14995801561365285</v>
      </c>
      <c r="AC360" s="165">
        <f t="shared" si="911"/>
        <v>0.14182008420987846</v>
      </c>
      <c r="AD360" s="165">
        <f t="shared" si="911"/>
        <v>0.1266252720176404</v>
      </c>
      <c r="AE360" s="165">
        <f t="shared" si="911"/>
        <v>0.15103086402599075</v>
      </c>
      <c r="AF360" s="177">
        <f t="shared" si="911"/>
        <v>0.14180174900079812</v>
      </c>
      <c r="AG360" s="165">
        <f t="shared" si="911"/>
        <v>3.4834264370637857E-3</v>
      </c>
      <c r="AH360" s="165">
        <f t="shared" si="911"/>
        <v>2.9379375237774008E-2</v>
      </c>
      <c r="AI360" s="165">
        <f t="shared" si="911"/>
        <v>4.0629559933091253E-2</v>
      </c>
      <c r="AJ360" s="165">
        <f t="shared" si="911"/>
        <v>0.11679728546409818</v>
      </c>
      <c r="AK360" s="177">
        <f>AK359/AF359-1</f>
        <v>5.1445710870729133E-2</v>
      </c>
      <c r="AL360" s="165">
        <f t="shared" si="911"/>
        <v>1.9605662405569602E-2</v>
      </c>
      <c r="AM360" s="165">
        <f>AM359/AH359-1</f>
        <v>9.0700032050567536E-2</v>
      </c>
      <c r="AN360" s="165">
        <f ca="1">AN359/AI359-1</f>
        <v>0.11262702332352492</v>
      </c>
      <c r="AO360" s="218">
        <f t="shared" ref="AO360:AU360" ca="1" si="912">AO359/AJ359-1</f>
        <v>0.10953107662164685</v>
      </c>
      <c r="AP360" s="207">
        <f t="shared" ca="1" si="912"/>
        <v>9.0364959626587416E-2</v>
      </c>
      <c r="AQ360" s="218">
        <f t="shared" si="912"/>
        <v>-1.0845976887187025E-2</v>
      </c>
      <c r="AR360" s="218">
        <f t="shared" si="912"/>
        <v>3.4105619988809455E-2</v>
      </c>
      <c r="AS360" s="218">
        <f t="shared" ca="1" si="912"/>
        <v>3.3702714099717035E-3</v>
      </c>
      <c r="AT360" s="218">
        <f t="shared" ca="1" si="912"/>
        <v>-1.9947901127459478E-4</v>
      </c>
      <c r="AU360" s="237">
        <f t="shared" ca="1" si="912"/>
        <v>5.863870652458969E-3</v>
      </c>
      <c r="AV360" s="218">
        <f t="shared" ref="AV360" si="913">AV359/AQ359-1</f>
        <v>-5.5513102349342702E-3</v>
      </c>
      <c r="AW360" s="218">
        <f t="shared" ref="AW360" si="914">AW359/AR359-1</f>
        <v>-2.7305976012454991E-3</v>
      </c>
      <c r="AX360" s="218">
        <f t="shared" ref="AX360" si="915">AX359/AS359-1</f>
        <v>8.0136523709679608E-3</v>
      </c>
      <c r="AY360" s="218">
        <f t="shared" ref="AY360" si="916">AY359/AT359-1</f>
        <v>4.1703855875172557E-3</v>
      </c>
      <c r="AZ360" s="237">
        <f t="shared" ref="AZ360" si="917">AZ359/AU359-1</f>
        <v>1.8174339473968626E-3</v>
      </c>
    </row>
    <row r="361" spans="2:54">
      <c r="B361" s="5"/>
      <c r="E361" s="12"/>
      <c r="F361" s="12"/>
      <c r="G361" s="12"/>
      <c r="L361" s="175"/>
      <c r="M361" s="162"/>
      <c r="N361" s="162"/>
      <c r="O361" s="162"/>
      <c r="P361" s="162"/>
      <c r="Q361" s="175"/>
      <c r="R361" s="162"/>
      <c r="S361" s="162"/>
      <c r="T361" s="162"/>
      <c r="U361" s="162"/>
      <c r="V361" s="175"/>
      <c r="W361" s="162"/>
      <c r="X361" s="162"/>
      <c r="Y361" s="162"/>
      <c r="Z361" s="162"/>
      <c r="AA361" s="175"/>
      <c r="AB361" s="162"/>
      <c r="AC361" s="162"/>
      <c r="AD361" s="162"/>
      <c r="AE361" s="162"/>
      <c r="AF361" s="175"/>
      <c r="AG361" s="162"/>
      <c r="AH361" s="162"/>
      <c r="AI361" s="162"/>
      <c r="AJ361" s="162"/>
      <c r="AK361" s="175"/>
      <c r="AL361" s="162"/>
      <c r="AM361" s="162"/>
      <c r="AP361" s="199"/>
      <c r="AU361" s="199"/>
      <c r="AZ361" s="199"/>
    </row>
    <row r="362" spans="2:54">
      <c r="B362" s="250" t="s">
        <v>482</v>
      </c>
      <c r="C362" t="s">
        <v>484</v>
      </c>
      <c r="E362" s="214"/>
      <c r="F362" s="214"/>
      <c r="G362" s="214"/>
      <c r="H362" s="213"/>
      <c r="I362" s="213"/>
      <c r="J362" s="213"/>
      <c r="K362" s="213"/>
      <c r="L362" s="214"/>
      <c r="M362" s="213"/>
      <c r="N362" s="213"/>
      <c r="O362" s="213" cm="1">
        <f t="array" ref="O362">_xll.VAData(va_ticker, O$4, $C362, "consensus", "CD", "IMPL","PreQ", "","")</f>
        <v>0.27841211870677701</v>
      </c>
      <c r="P362" s="213" cm="1">
        <f t="array" ref="P362">_xll.VAData(va_ticker, P$4, $C362, "consensus", "CD", "IMPL","PreQ", "","")</f>
        <v>0.297823660785621</v>
      </c>
      <c r="Q362" s="214" cm="1">
        <f t="array" ref="Q362">_xll.VAData(va_ticker, Q$4, $C362, "consensus", "CD", "IMPL","PreQ", "","")</f>
        <v>1.0444345807066471</v>
      </c>
      <c r="R362" s="213" cm="1">
        <f t="array" ref="R362">_xll.VAData(va_ticker, R$4, $C362, "consensus", "CD", "IMPL","PreQ", "","")</f>
        <v>0.23498695201906</v>
      </c>
      <c r="S362" s="213" cm="1">
        <f t="array" ref="S362">_xll.VAData(va_ticker, S$4, $C362, "consensus", "CD", "IMPL","PreQ", "","")</f>
        <v>0.28797813916104997</v>
      </c>
      <c r="T362" s="213" cm="1">
        <f t="array" ref="T362">_xll.VAData(va_ticker, T$4, $C362, "consensus", "CD", "IMPL","PreQ", "","")</f>
        <v>0.31787771368116902</v>
      </c>
      <c r="U362" s="213" cm="1">
        <f t="array" ref="U362">_xll.VAData(va_ticker, U$4, $C362, "consensus", "CD", "IMPL","PreQ", "","")</f>
        <v>0.35035058556663701</v>
      </c>
      <c r="V362" s="214" cm="1">
        <f t="array" ref="V362">_xll.VAData(va_ticker, V$4, $C362, "consensus", "CD", "IMPL","PreQ", "","")</f>
        <v>1.2177991510957831</v>
      </c>
      <c r="W362" s="213" cm="1">
        <f t="array" ref="W362">_xll.VAData(va_ticker, W$4, $C362, "consensus", "CD", "IMPL","PreQ", "","")</f>
        <v>0.273382154733186</v>
      </c>
      <c r="X362" s="213" cm="1">
        <f t="array" ref="X362">_xll.VAData(va_ticker, X$4, $C362, "consensus", "CD", "IMPL","PreQ", "","")</f>
        <v>0.31431443524407499</v>
      </c>
      <c r="Y362" s="213" cm="1">
        <f t="array" ref="Y362">_xll.VAData(va_ticker, Y$4, $C362, "consensus", "CD", "IMPL","PreQ", "","")</f>
        <v>0.37056354415236797</v>
      </c>
      <c r="Z362" s="213" cm="1">
        <f t="array" ref="Z362">_xll.VAData(va_ticker, Z$4, $C362, "consensus", "CD", "IMPL","PreQ", "","")</f>
        <v>0.395832860927263</v>
      </c>
      <c r="AA362" s="214" cm="1">
        <f t="array" ref="AA362">_xll.VAData(va_ticker, AA$4, $C362, "consensus", "CD", "IMPL","PreQ", "","")</f>
        <v>1.404559060862973</v>
      </c>
      <c r="AB362" s="213" cm="1">
        <f t="array" ref="AB362">_xll.VAData(va_ticker, AB$4, $C362, "consensus", "CD", "IMPL","PreQ", "","")</f>
        <v>0.31650671132344499</v>
      </c>
      <c r="AC362" s="213" cm="1">
        <f t="array" ref="AC362">_xll.VAData(va_ticker, AC$4, $C362, "consensus", "CD", "IMPL","PreQ", "","")</f>
        <v>0.37030624424649899</v>
      </c>
      <c r="AD362" s="213" cm="1">
        <f t="array" ref="AD362">_xll.VAData(va_ticker, AD$4, $C362, "consensus", "CD", "IMPL","PreQ", "","")</f>
        <v>0.44099207405362001</v>
      </c>
      <c r="AE362" s="213" cm="1">
        <f t="array" ref="AE362">_xll.VAData(va_ticker, AE$4, $C362, "consensus", "CD", "IMPL","PreQ", "","")</f>
        <v>0.45112839562211698</v>
      </c>
      <c r="AF362" s="214" cm="1">
        <f t="array" ref="AF362">_xll.VAData(va_ticker, AF$4, $C362, "consensus", "CD", "IMPL","PreQ", "","")</f>
        <v>1.5999730337338129</v>
      </c>
      <c r="AG362" s="213" cm="1">
        <f t="array" ref="AG362">_xll.VAData(va_ticker, AG$4, $C362, "consensus", "CD", "IMPL","PreQ", "","")</f>
        <v>0.32434026025317703</v>
      </c>
      <c r="AH362" s="213" cm="1">
        <f t="array" ref="AH362">_xll.VAData(va_ticker, AH$4, $C362, "consensus", "CD", "IMPL","PreQ", "","")</f>
        <v>0.389318862346687</v>
      </c>
      <c r="AI362" s="213" cm="1">
        <f t="array" ref="AI362">_xll.VAData(va_ticker, AI$4, $C362, "consensus", "CD", "IMPL","PreQ", "","")</f>
        <v>0.460722248619025</v>
      </c>
      <c r="AJ362" s="213" cm="1">
        <f t="array" ref="AJ362">_xll.VAData(va_ticker, AJ$4, $C362, "consensus", "CD", "IMPL","PreQ", "","")</f>
        <v>0.50508462567712897</v>
      </c>
      <c r="AK362" s="214" cm="1">
        <f t="array" ref="AK362">_xll.VAData(va_ticker, AK$4, $C362, "consensus", "CD", "IMPL","PreQ", "","")</f>
        <v>1.684026797169931</v>
      </c>
      <c r="AL362" s="213" cm="1">
        <f t="array" ref="AL362">_xll.VAData(va_ticker, AL$4, $C362, "consensus", "CD", "IMPL","PreQ", "","")</f>
        <v>0.333668415371069</v>
      </c>
      <c r="AM362" s="212" cm="1">
        <f t="array" ref="AM362">_xll.VAData(va_ticker, AM$4, $C362, "consensus", "CD", "IMPL","PreQ", "","")</f>
        <v>0.400555954832437</v>
      </c>
      <c r="AN362" s="212" cm="1">
        <f t="array" ref="AN362">_xll.VAData(va_ticker, AN$4, $C359, "consensus", "CD", "IMPL", "","")</f>
        <v>0.46912104196251903</v>
      </c>
      <c r="AO362" s="213" cm="1">
        <f t="array" ref="AO362">_xll.VAData(va_ticker, AO$4, $C359, "consensus", "CD", "IMPL", "","")</f>
        <v>0.55401180782991399</v>
      </c>
      <c r="AP362" s="216" cm="1">
        <f t="array" ref="AP362">_xll.VAData(va_ticker, AP$4, $C359, "consensus", "CD", "IMPL", "","")</f>
        <v>1.7830449714510519</v>
      </c>
      <c r="AQ362" s="213" cm="1">
        <f t="array" ref="AQ362">_xll.VAData(va_ticker, AQ$4, $C359, "consensus", "CD", "IMPL", "","")</f>
        <v>0.36037903782026798</v>
      </c>
      <c r="AR362" s="213" cm="1">
        <f t="array" ref="AR362">_xll.VAData(va_ticker, AR$4, $C359, "consensus", "CD", "IMPL", "","")</f>
        <v>0.455836807028278</v>
      </c>
      <c r="AS362" s="213" cm="1">
        <f t="array" ref="AS362">_xll.VAData(va_ticker, AS$4, $C359, "consensus", "CD", "IMPL", "","")</f>
        <v>0.51062200904140898</v>
      </c>
      <c r="AT362" s="213" cm="1">
        <f t="array" ref="AT362">_xll.VAData(va_ticker, AT$4, $C359, "consensus", "CD", "IMPL", "","")</f>
        <v>0.59007808951741303</v>
      </c>
      <c r="AU362" s="216" cm="1">
        <f t="array" ref="AU362">_xll.VAData(va_ticker, AU$4, $C359, "consensus", "CD", "IMPL", "","")</f>
        <v>1.915921390570865</v>
      </c>
      <c r="AV362" s="213" cm="1">
        <f t="array" ref="AV362">_xll.VAData(va_ticker, AV$4, $C359, "consensus", "CD", "IMPL", "","")</f>
        <v>0.39467322827287998</v>
      </c>
      <c r="AW362" s="213" cm="1">
        <f t="array" ref="AW362">_xll.VAData(va_ticker, AW$4, $C359, "consensus", "CD", "IMPL", "","")</f>
        <v>0.49135612544247098</v>
      </c>
      <c r="AX362" s="213" cm="1">
        <f t="array" ref="AX362">_xll.VAData(va_ticker, AX$4, $C359, "consensus", "CD", "IMPL", "","")</f>
        <v>0.54419163951077099</v>
      </c>
      <c r="AY362" s="213" cm="1">
        <f t="array" ref="AY362">_xll.VAData(va_ticker, AY$4, $C359, "consensus", "CD", "IMPL", "","")</f>
        <v>0.63164126215379801</v>
      </c>
      <c r="AZ362" s="216" cm="1">
        <f t="array" ref="AZ362">_xll.VAData(va_ticker, AZ$4, $C359, "consensus", "CD", "IMPL", "","")</f>
        <v>2.0582002594281659</v>
      </c>
    </row>
    <row r="363" spans="2:54">
      <c r="B363" s="251" t="s">
        <v>567</v>
      </c>
      <c r="E363" s="62"/>
      <c r="F363" s="62"/>
      <c r="G363" s="62"/>
      <c r="H363" s="218"/>
      <c r="I363" s="218"/>
      <c r="J363" s="218"/>
      <c r="K363" s="218"/>
      <c r="L363" s="62"/>
      <c r="M363" s="218"/>
      <c r="N363" s="218"/>
      <c r="O363" s="218"/>
      <c r="P363" s="218"/>
      <c r="Q363" s="62"/>
      <c r="R363" s="218"/>
      <c r="S363" s="218"/>
      <c r="T363" s="218">
        <f t="shared" ref="T363:AT363" si="918">T362/O362-1</f>
        <v>0.14175243217755584</v>
      </c>
      <c r="U363" s="218">
        <f t="shared" si="918"/>
        <v>0.17636921338773637</v>
      </c>
      <c r="V363" s="62">
        <f t="shared" si="918"/>
        <v>0.16598892222798711</v>
      </c>
      <c r="W363" s="218">
        <f t="shared" si="918"/>
        <v>0.16339291345424023</v>
      </c>
      <c r="X363" s="218">
        <f t="shared" si="918"/>
        <v>9.1452414269183935E-2</v>
      </c>
      <c r="Y363" s="218">
        <f t="shared" si="918"/>
        <v>0.16574244812910277</v>
      </c>
      <c r="Z363" s="218">
        <f t="shared" si="918"/>
        <v>0.12981932165766352</v>
      </c>
      <c r="AA363" s="62">
        <f t="shared" si="918"/>
        <v>0.15335854816382666</v>
      </c>
      <c r="AB363" s="218">
        <f t="shared" si="918"/>
        <v>0.15774459248207862</v>
      </c>
      <c r="AC363" s="218">
        <f t="shared" si="918"/>
        <v>0.17813947666433005</v>
      </c>
      <c r="AD363" s="218">
        <f t="shared" si="918"/>
        <v>0.19005790238311548</v>
      </c>
      <c r="AE363" s="218">
        <f t="shared" si="918"/>
        <v>0.13969414910455069</v>
      </c>
      <c r="AF363" s="62">
        <f t="shared" si="918"/>
        <v>0.13912834163824761</v>
      </c>
      <c r="AG363" s="218">
        <f t="shared" si="918"/>
        <v>2.475002472136123E-2</v>
      </c>
      <c r="AH363" s="218">
        <f t="shared" si="918"/>
        <v>5.1342958417768481E-2</v>
      </c>
      <c r="AI363" s="218">
        <f t="shared" si="918"/>
        <v>4.474042896971886E-2</v>
      </c>
      <c r="AJ363" s="218">
        <f t="shared" si="918"/>
        <v>0.11960282389363908</v>
      </c>
      <c r="AK363" s="62">
        <f>AK362/AF362-1</f>
        <v>5.2534487559433574E-2</v>
      </c>
      <c r="AL363" s="218">
        <f t="shared" si="918"/>
        <v>2.8760398448871349E-2</v>
      </c>
      <c r="AM363" s="217">
        <f t="shared" si="918"/>
        <v>2.8863467898823325E-2</v>
      </c>
      <c r="AN363" s="217">
        <f t="shared" si="918"/>
        <v>1.8229623962525476E-2</v>
      </c>
      <c r="AO363" s="218">
        <f t="shared" si="918"/>
        <v>9.6869276286507544E-2</v>
      </c>
      <c r="AP363" s="219">
        <f t="shared" si="918"/>
        <v>5.8798455254705395E-2</v>
      </c>
      <c r="AQ363" s="218">
        <f t="shared" si="918"/>
        <v>8.0051395992918328E-2</v>
      </c>
      <c r="AR363" s="218">
        <f t="shared" si="918"/>
        <v>0.13801031174025713</v>
      </c>
      <c r="AS363" s="218">
        <f t="shared" si="918"/>
        <v>8.8465371123143344E-2</v>
      </c>
      <c r="AT363" s="218">
        <f t="shared" si="918"/>
        <v>6.5100203962749514E-2</v>
      </c>
      <c r="AU363" s="219">
        <f>AU362/AP362-1</f>
        <v>7.4522191670621574E-2</v>
      </c>
      <c r="AV363" s="218">
        <f t="shared" ref="AV363" si="919">AV362/AQ362-1</f>
        <v>9.5161446292876706E-2</v>
      </c>
      <c r="AW363" s="218">
        <f t="shared" ref="AW363" si="920">AW362/AR362-1</f>
        <v>7.792112849717614E-2</v>
      </c>
      <c r="AX363" s="218">
        <f t="shared" ref="AX363" si="921">AX362/AS362-1</f>
        <v>6.5742623457187621E-2</v>
      </c>
      <c r="AY363" s="218">
        <f t="shared" ref="AY363" si="922">AY362/AT362-1</f>
        <v>7.0436732654108214E-2</v>
      </c>
      <c r="AZ363" s="219">
        <f>AZ362/AU362-1</f>
        <v>7.4261329069930104E-2</v>
      </c>
    </row>
    <row r="364" spans="2:54">
      <c r="B364" s="250" t="s">
        <v>483</v>
      </c>
      <c r="E364" s="214"/>
      <c r="F364" s="214"/>
      <c r="G364" s="214"/>
      <c r="H364" s="213"/>
      <c r="I364" s="213"/>
      <c r="J364" s="213"/>
      <c r="K364" s="213"/>
      <c r="L364" s="214"/>
      <c r="M364" s="213"/>
      <c r="N364" s="213"/>
      <c r="O364" s="213">
        <f t="shared" ref="O364:AL364" si="923">O359-O362</f>
        <v>1.8582241256098697E-2</v>
      </c>
      <c r="P364" s="213">
        <f t="shared" si="923"/>
        <v>5.8315802896171109E-3</v>
      </c>
      <c r="Q364" s="214">
        <f t="shared" si="923"/>
        <v>-0.1391601534709036</v>
      </c>
      <c r="R364" s="213">
        <f t="shared" si="923"/>
        <v>1.6124002343640143E-2</v>
      </c>
      <c r="S364" s="213">
        <f t="shared" si="923"/>
        <v>1.0077103229028939E-2</v>
      </c>
      <c r="T364" s="213">
        <f t="shared" si="923"/>
        <v>-1.3782358676295292E-4</v>
      </c>
      <c r="U364" s="213">
        <f t="shared" si="923"/>
        <v>-4.5515856370645369E-3</v>
      </c>
      <c r="V364" s="214">
        <f t="shared" si="923"/>
        <v>-8.3064993307413459E-4</v>
      </c>
      <c r="W364" s="213">
        <f t="shared" si="923"/>
        <v>1.392155627308117E-2</v>
      </c>
      <c r="X364" s="213">
        <f t="shared" si="923"/>
        <v>1.5618733943403129E-2</v>
      </c>
      <c r="Y364" s="213">
        <f t="shared" si="923"/>
        <v>2.0890528516125939E-2</v>
      </c>
      <c r="Z364" s="213">
        <f t="shared" si="923"/>
        <v>-6.733268287847316E-3</v>
      </c>
      <c r="AA364" s="214">
        <f t="shared" si="923"/>
        <v>-6.6264260271664543E-3</v>
      </c>
      <c r="AB364" s="213">
        <f t="shared" si="923"/>
        <v>1.3880494063760407E-2</v>
      </c>
      <c r="AC364" s="213">
        <f t="shared" si="923"/>
        <v>6.4180747787793702E-3</v>
      </c>
      <c r="AD364" s="213">
        <f t="shared" si="923"/>
        <v>2.9977048935092565E-5</v>
      </c>
      <c r="AE364" s="213">
        <f t="shared" si="923"/>
        <v>-3.2627553142093313E-3</v>
      </c>
      <c r="AF364" s="214">
        <f t="shared" si="923"/>
        <v>-3.8111062929948591E-3</v>
      </c>
      <c r="AG364" s="213">
        <f t="shared" si="923"/>
        <v>7.1978246597417805E-3</v>
      </c>
      <c r="AH364" s="213">
        <f t="shared" si="923"/>
        <v>-1.5266181915700727E-3</v>
      </c>
      <c r="AI364" s="213">
        <f t="shared" si="923"/>
        <v>-1.7816656593837576E-3</v>
      </c>
      <c r="AJ364" s="213">
        <f t="shared" si="923"/>
        <v>-4.9094943286175363E-3</v>
      </c>
      <c r="AK364" s="214">
        <f t="shared" si="923"/>
        <v>-5.7491847071269309E-3</v>
      </c>
      <c r="AL364" s="213">
        <f t="shared" si="923"/>
        <v>4.3696933092415291E-3</v>
      </c>
      <c r="AM364" s="213">
        <f>AM359-AM362</f>
        <v>2.2409058296510576E-2</v>
      </c>
      <c r="AP364" s="199"/>
      <c r="AU364" s="199"/>
      <c r="AZ364" s="199"/>
    </row>
    <row r="365" spans="2:54">
      <c r="B365" s="250"/>
      <c r="E365" s="214"/>
      <c r="F365" s="214"/>
      <c r="G365" s="214"/>
      <c r="H365" s="213"/>
      <c r="I365" s="213"/>
      <c r="J365" s="213"/>
      <c r="K365" s="213"/>
      <c r="L365" s="214"/>
      <c r="M365" s="213"/>
      <c r="N365" s="213"/>
      <c r="O365" s="213"/>
      <c r="P365" s="213"/>
      <c r="Q365" s="214"/>
      <c r="R365" s="213"/>
      <c r="S365" s="213"/>
      <c r="T365" s="213"/>
      <c r="U365" s="213"/>
      <c r="V365" s="214"/>
      <c r="W365" s="213"/>
      <c r="X365" s="213"/>
      <c r="Y365" s="213"/>
      <c r="Z365" s="213"/>
      <c r="AA365" s="214"/>
      <c r="AB365" s="213"/>
      <c r="AC365" s="213"/>
      <c r="AD365" s="213"/>
      <c r="AE365" s="213"/>
      <c r="AF365" s="214"/>
      <c r="AG365" s="213"/>
      <c r="AH365" s="213"/>
      <c r="AI365" s="213"/>
      <c r="AJ365" s="213"/>
      <c r="AK365" s="214"/>
      <c r="AL365" s="213"/>
      <c r="AM365" s="213"/>
      <c r="AP365" s="199"/>
      <c r="AU365" s="199"/>
      <c r="AZ365" s="199"/>
    </row>
    <row r="366" spans="2:54">
      <c r="B366" s="10" t="s">
        <v>859</v>
      </c>
      <c r="E366" s="214"/>
      <c r="F366" s="214"/>
      <c r="G366" s="214"/>
      <c r="H366" s="213"/>
      <c r="I366" s="213"/>
      <c r="J366" s="213"/>
      <c r="K366" s="213"/>
      <c r="L366" s="214"/>
      <c r="M366" s="213"/>
      <c r="N366" s="213"/>
      <c r="O366" s="213"/>
      <c r="P366" s="213"/>
      <c r="Q366" s="214"/>
      <c r="R366" s="213"/>
      <c r="S366" s="213"/>
      <c r="T366" s="213"/>
      <c r="U366" s="213"/>
      <c r="V366" s="214"/>
      <c r="W366" s="213"/>
      <c r="X366" s="213"/>
      <c r="Y366" s="213"/>
      <c r="Z366" s="213"/>
      <c r="AA366" s="214"/>
      <c r="AB366" s="213"/>
      <c r="AC366" s="213"/>
      <c r="AD366" s="213"/>
      <c r="AE366" s="213"/>
      <c r="AF366" s="214"/>
      <c r="AG366" s="213"/>
      <c r="AH366" s="213"/>
      <c r="AI366" s="213"/>
      <c r="AJ366" s="213"/>
      <c r="AK366" s="214"/>
      <c r="AL366" s="213"/>
      <c r="AM366" s="213"/>
      <c r="AN366" s="162">
        <f t="shared" ref="AN366:AT366" ca="1" si="924">AN359-AN362</f>
        <v>4.1508652738229901E-2</v>
      </c>
      <c r="AO366" s="162">
        <f t="shared" ca="1" si="924"/>
        <v>9.4804415457350188E-4</v>
      </c>
      <c r="AP366" s="215">
        <f t="shared" ca="1" si="924"/>
        <v>4.6890129704158845E-2</v>
      </c>
      <c r="AQ366" s="162">
        <f t="shared" si="924"/>
        <v>-2.6007282653692509E-2</v>
      </c>
      <c r="AR366" s="162">
        <f t="shared" si="924"/>
        <v>-1.8446309892992729E-2</v>
      </c>
      <c r="AS366" s="162">
        <f t="shared" si="924"/>
        <v>-1.3259673678023276E-3</v>
      </c>
      <c r="AT366" s="162">
        <f t="shared" si="924"/>
        <v>-3.8237400367324481E-2</v>
      </c>
      <c r="AU366" s="215">
        <f>AU359-AU362</f>
        <v>-8.1321037406506536E-2</v>
      </c>
      <c r="AV366" s="162">
        <f t="shared" ref="AV366:AY366" si="925">AV359-AV362</f>
        <v>-6.2157674453033662E-2</v>
      </c>
      <c r="AW366" s="162">
        <f t="shared" si="925"/>
        <v>-5.5159965749470907E-2</v>
      </c>
      <c r="AX366" s="162">
        <f t="shared" si="925"/>
        <v>-3.0814276405282004E-2</v>
      </c>
      <c r="AY366" s="162">
        <f t="shared" si="925"/>
        <v>-7.7499184547072386E-2</v>
      </c>
      <c r="AZ366" s="215">
        <f>AZ359-AZ362</f>
        <v>-0.22026564130206006</v>
      </c>
    </row>
    <row r="367" spans="2:54">
      <c r="B367" s="5"/>
      <c r="E367" s="12"/>
      <c r="F367" s="12"/>
      <c r="G367" s="12"/>
      <c r="L367" s="12"/>
      <c r="Q367" s="12"/>
      <c r="V367" s="12"/>
      <c r="AA367" s="12"/>
      <c r="AF367" s="12"/>
      <c r="AK367" s="12"/>
      <c r="AP367" s="199"/>
      <c r="AU367" s="199"/>
      <c r="AZ367" s="199"/>
    </row>
    <row r="368" spans="2:54">
      <c r="B368" t="s">
        <v>438</v>
      </c>
      <c r="E368" s="175"/>
      <c r="F368" s="175"/>
      <c r="G368" s="175"/>
      <c r="H368" s="162"/>
      <c r="I368" s="162"/>
      <c r="J368" s="162"/>
      <c r="K368" s="162"/>
      <c r="L368" s="175"/>
      <c r="M368" s="162"/>
      <c r="N368" s="162"/>
      <c r="O368" s="162" cm="1">
        <f t="array" ref="O368">_xll.BDH(bbg_ticker,"PX_LAST", O7)</f>
        <v>27.63</v>
      </c>
      <c r="P368" s="162" cm="1">
        <f t="array" ref="P368">_xll.BDH(bbg_ticker,"PX_LAST", P7)</f>
        <v>25.15</v>
      </c>
      <c r="Q368" s="175" cm="1">
        <f t="array" ref="Q368">_xll.BDH(bbg_ticker,"PX_LAST", Q7)</f>
        <v>25.15</v>
      </c>
      <c r="R368" s="162" cm="1">
        <f t="array" ref="R368">_xll.BDH(bbg_ticker,"PX_LAST", R7)</f>
        <v>28.28</v>
      </c>
      <c r="S368" s="162" cm="1">
        <f t="array" ref="S368">_xll.BDH(bbg_ticker,"PX_LAST", S7)</f>
        <v>29.03</v>
      </c>
      <c r="T368" s="162" cm="1">
        <f t="array" ref="T368">_xll.BDH(bbg_ticker,"PX_LAST", T7)</f>
        <v>29.83</v>
      </c>
      <c r="U368" s="162" cm="1">
        <f t="array" ref="U368">_xll.BDH(bbg_ticker,"PX_LAST", U7)</f>
        <v>28.24</v>
      </c>
      <c r="V368" s="175" cm="1">
        <f t="array" ref="V368">_xll.BDH(bbg_ticker,"PX_LAST", V7)</f>
        <v>28.24</v>
      </c>
      <c r="W368" s="162" cm="1">
        <f t="array" ref="W368">_xll.BDH(bbg_ticker,"PX_LAST", W7)</f>
        <v>25.86</v>
      </c>
      <c r="X368" s="162" cm="1">
        <f t="array" ref="X368">_xll.BDH(bbg_ticker,"PX_LAST", X7)</f>
        <v>30.77</v>
      </c>
      <c r="Y368" s="162" cm="1">
        <f t="array" ref="Y368">_xll.BDH(bbg_ticker,"PX_LAST", Y7)</f>
        <v>27.19</v>
      </c>
      <c r="Z368" s="162" cm="1">
        <f t="array" ref="Z368">_xll.BDH(bbg_ticker,"PX_LAST", Z7)</f>
        <v>30.86</v>
      </c>
      <c r="AA368" s="175" cm="1">
        <f t="array" ref="AA368">_xll.BDH(bbg_ticker,"PX_LAST", AA7)</f>
        <v>30.86</v>
      </c>
      <c r="AB368" s="162" cm="1">
        <f t="array" ref="AB368">_xll.BDH(bbg_ticker,"PX_LAST", AB7)</f>
        <v>35.94</v>
      </c>
      <c r="AC368" s="162" cm="1">
        <f t="array" ref="AC368">_xll.BDH(bbg_ticker,"PX_LAST", AC7)</f>
        <v>34.950000000000003</v>
      </c>
      <c r="AD368" s="162" cm="1">
        <f t="array" ref="AD368">_xll.BDH(bbg_ticker,"PX_LAST", AD7)</f>
        <v>35.49</v>
      </c>
      <c r="AE368" s="162" cm="1">
        <f t="array" ref="AE368">_xll.BDH(bbg_ticker,"PX_LAST", AE7)</f>
        <v>36.65</v>
      </c>
      <c r="AF368" s="175" cm="1">
        <f t="array" ref="AF368">_xll.BDH(bbg_ticker,"PX_LAST", AF7)</f>
        <v>36.65</v>
      </c>
      <c r="AG368" s="162" cm="1">
        <f t="array" ref="AG368">_xll.BDH(bbg_ticker,"PX_LAST", AG7)</f>
        <v>37.99</v>
      </c>
      <c r="AH368" s="162" cm="1">
        <f t="array" ref="AH368">_xll.BDH(bbg_ticker,"PX_LAST", AH7)</f>
        <v>38.5</v>
      </c>
      <c r="AI368" s="162" cm="1">
        <f t="array" ref="AI368">_xll.BDH(bbg_ticker,"PX_LAST", AI7)</f>
        <v>38.11</v>
      </c>
      <c r="AJ368" s="162" cm="1">
        <f t="array" ref="AJ368">_xll.BDH(bbg_ticker,"PX_LAST", AJ7)</f>
        <v>36.11</v>
      </c>
      <c r="AK368" s="175" cm="1">
        <f t="array" ref="AK368">_xll.BDH(bbg_ticker,"PX_LAST", AK7)</f>
        <v>36.11</v>
      </c>
      <c r="AL368" s="162" cm="1">
        <f t="array" ref="AL368">_xll.BDH(bbg_ticker,"PX_LAST", AL7)</f>
        <v>33.54</v>
      </c>
      <c r="AM368" s="174" cm="1">
        <f t="array" ref="AM368">_xll.BDH(bbg_ticker,"PX_LAST", AM7)</f>
        <v>33.76</v>
      </c>
      <c r="AN368" s="213">
        <f ca="1">SUM(AL359:AN359,AJ359)*AN373</f>
        <v>35.43615895717037</v>
      </c>
      <c r="AO368" s="213">
        <f ca="1">SUM(AL359:AO359)*AO373</f>
        <v>36.531853369889895</v>
      </c>
      <c r="AP368" s="216">
        <f ca="1">AP359*AP373</f>
        <v>36.598702023104217</v>
      </c>
      <c r="AQ368" s="213" t="e">
        <f ca="1">SUM(AQ359,AM359:AO359)*AQ373</f>
        <v>#VALUE!</v>
      </c>
      <c r="AR368" s="213" t="e">
        <f ca="1">SUM(AQ359:AR359,AN359:AO359)*AR373</f>
        <v>#VALUE!</v>
      </c>
      <c r="AS368" s="213" t="e">
        <f ca="1">SUM(AQ359:AS359,AO359)*AS373</f>
        <v>#VALUE!</v>
      </c>
      <c r="AT368" s="213">
        <f>SUM(AQ359:AT359)*AT373</f>
        <v>36.657979662511117</v>
      </c>
      <c r="AU368" s="216">
        <f>AU359*AU373</f>
        <v>36.692007063287171</v>
      </c>
      <c r="AV368" s="213">
        <f>SUM(AV359,AR359:AT359)*AV373</f>
        <v>36.620855635576532</v>
      </c>
      <c r="AW368" s="213">
        <f>SUM(AV359:AW359,AS359:AT359)*AW373</f>
        <v>36.596968886730828</v>
      </c>
      <c r="AX368" s="213">
        <f>SUM(AV359:AX359,AT359)*AX373</f>
        <v>36.678595315368476</v>
      </c>
      <c r="AY368" s="213">
        <f>SUM(AV359:AY359)*AY373</f>
        <v>36.724623084501218</v>
      </c>
      <c r="AZ368" s="216">
        <f>AZ359*AZ373</f>
        <v>36.758692362522119</v>
      </c>
    </row>
    <row r="369" spans="2:54">
      <c r="B369" t="s">
        <v>15</v>
      </c>
      <c r="E369" s="55"/>
      <c r="F369" s="55"/>
      <c r="G369" s="55"/>
      <c r="H369" s="56"/>
      <c r="I369" s="56"/>
      <c r="J369" s="56"/>
      <c r="K369" s="56"/>
      <c r="L369" s="55"/>
      <c r="M369" s="56"/>
      <c r="N369" s="56"/>
      <c r="O369" s="599">
        <v>0.15</v>
      </c>
      <c r="P369" s="599">
        <v>0.15</v>
      </c>
      <c r="Q369" s="600">
        <v>0.6</v>
      </c>
      <c r="R369" s="599">
        <v>0.15</v>
      </c>
      <c r="S369" s="599">
        <v>0.15</v>
      </c>
      <c r="T369" s="599">
        <v>0.15</v>
      </c>
      <c r="U369" s="599">
        <v>0.15</v>
      </c>
      <c r="V369" s="600">
        <v>0.6</v>
      </c>
      <c r="W369" s="599">
        <v>0.15</v>
      </c>
      <c r="X369" s="599">
        <v>0.15</v>
      </c>
      <c r="Y369" s="599">
        <v>0.15</v>
      </c>
      <c r="Z369" s="599">
        <v>0.15</v>
      </c>
      <c r="AA369" s="600">
        <v>0.6</v>
      </c>
      <c r="AB369" s="599">
        <v>0.15</v>
      </c>
      <c r="AC369" s="599">
        <v>0.1875</v>
      </c>
      <c r="AD369" s="599">
        <v>0.1875</v>
      </c>
      <c r="AE369" s="599">
        <v>0.1875</v>
      </c>
      <c r="AF369" s="600">
        <v>0.71250000000000002</v>
      </c>
      <c r="AG369" s="599">
        <v>0.1875</v>
      </c>
      <c r="AH369" s="599">
        <v>0.1875</v>
      </c>
      <c r="AI369" s="599">
        <v>0.2</v>
      </c>
      <c r="AJ369" s="599">
        <v>0.2</v>
      </c>
      <c r="AK369" s="600">
        <v>0.77500000000000002</v>
      </c>
      <c r="AL369" s="599">
        <v>0.2</v>
      </c>
      <c r="AM369" s="599">
        <v>0.2</v>
      </c>
      <c r="AN369" s="253">
        <v>0.2</v>
      </c>
      <c r="AO369" s="253">
        <v>0.2</v>
      </c>
      <c r="AP369" s="254">
        <f>SUM(AL369:AO369)</f>
        <v>0.8</v>
      </c>
      <c r="AQ369" s="253">
        <v>0.2</v>
      </c>
      <c r="AR369" s="253">
        <v>0.2</v>
      </c>
      <c r="AS369" s="253">
        <v>0.2</v>
      </c>
      <c r="AT369" s="253">
        <v>0.2</v>
      </c>
      <c r="AU369" s="254">
        <f>SUM(AQ369:AT369)</f>
        <v>0.8</v>
      </c>
      <c r="AV369" s="253">
        <v>0.2</v>
      </c>
      <c r="AW369" s="253">
        <v>0.2</v>
      </c>
      <c r="AX369" s="253">
        <v>0.2</v>
      </c>
      <c r="AY369" s="253">
        <v>0.2</v>
      </c>
      <c r="AZ369" s="254">
        <f>SUM(AV369:AY369)</f>
        <v>0.8</v>
      </c>
    </row>
    <row r="370" spans="2:54">
      <c r="B370" s="4" t="s">
        <v>601</v>
      </c>
      <c r="E370" s="55"/>
      <c r="F370" s="55"/>
      <c r="G370" s="55"/>
      <c r="H370" s="56"/>
      <c r="I370" s="56"/>
      <c r="J370" s="56"/>
      <c r="K370" s="56"/>
      <c r="L370" s="55"/>
      <c r="M370" s="56"/>
      <c r="N370" s="61"/>
      <c r="O370" s="61"/>
      <c r="P370" s="61">
        <f t="shared" ref="P370" si="926">P369/O369-1</f>
        <v>0</v>
      </c>
      <c r="Q370" s="55"/>
      <c r="R370" s="61">
        <f>R369/P369-1</f>
        <v>0</v>
      </c>
      <c r="S370" s="61">
        <f t="shared" ref="S370" si="927">S369/R369-1</f>
        <v>0</v>
      </c>
      <c r="T370" s="61">
        <f t="shared" ref="T370" si="928">T369/S369-1</f>
        <v>0</v>
      </c>
      <c r="U370" s="61">
        <f t="shared" ref="U370" si="929">U369/T369-1</f>
        <v>0</v>
      </c>
      <c r="V370" s="179"/>
      <c r="W370" s="61">
        <f>W369/U369-1</f>
        <v>0</v>
      </c>
      <c r="X370" s="61">
        <f t="shared" ref="X370" si="930">X369/W369-1</f>
        <v>0</v>
      </c>
      <c r="Y370" s="61">
        <f t="shared" ref="Y370" si="931">Y369/X369-1</f>
        <v>0</v>
      </c>
      <c r="Z370" s="61">
        <f t="shared" ref="Z370" si="932">Z369/Y369-1</f>
        <v>0</v>
      </c>
      <c r="AA370" s="179"/>
      <c r="AB370" s="61">
        <f>AB369/Z369-1</f>
        <v>0</v>
      </c>
      <c r="AC370" s="61">
        <f t="shared" ref="AC370" si="933">AC369/AB369-1</f>
        <v>0.25</v>
      </c>
      <c r="AD370" s="61">
        <f t="shared" ref="AD370" si="934">AD369/AC369-1</f>
        <v>0</v>
      </c>
      <c r="AE370" s="61">
        <f t="shared" ref="AE370" si="935">AE369/AD369-1</f>
        <v>0</v>
      </c>
      <c r="AF370" s="179"/>
      <c r="AG370" s="61">
        <f>AG369/AE369-1</f>
        <v>0</v>
      </c>
      <c r="AH370" s="61">
        <f t="shared" ref="AH370" si="936">AH369/AG369-1</f>
        <v>0</v>
      </c>
      <c r="AI370" s="61">
        <f t="shared" ref="AI370" si="937">AI369/AH369-1</f>
        <v>6.6666666666666652E-2</v>
      </c>
      <c r="AJ370" s="61">
        <f t="shared" ref="AJ370" si="938">AJ369/AI369-1</f>
        <v>0</v>
      </c>
      <c r="AK370" s="179"/>
      <c r="AL370" s="61">
        <f>AL369/AJ369-1</f>
        <v>0</v>
      </c>
      <c r="AM370" s="61">
        <f>AM369/AL369-1</f>
        <v>0</v>
      </c>
      <c r="AN370" s="61">
        <f t="shared" ref="AN370" si="939">AN369/AM369-1</f>
        <v>0</v>
      </c>
      <c r="AO370" s="61">
        <f t="shared" ref="AO370" si="940">AO369/AN369-1</f>
        <v>0</v>
      </c>
      <c r="AP370" s="254"/>
      <c r="AQ370" s="253"/>
      <c r="AR370" s="253"/>
      <c r="AS370" s="253"/>
      <c r="AT370" s="253"/>
      <c r="AU370" s="254"/>
      <c r="AV370" s="253"/>
      <c r="AW370" s="253"/>
      <c r="AX370" s="253"/>
      <c r="AY370" s="253"/>
      <c r="AZ370" s="254"/>
    </row>
    <row r="371" spans="2:54">
      <c r="B371" s="4" t="s">
        <v>602</v>
      </c>
      <c r="E371" s="55"/>
      <c r="F371" s="55"/>
      <c r="G371" s="55"/>
      <c r="H371" s="56"/>
      <c r="I371" s="56"/>
      <c r="J371" s="56"/>
      <c r="K371" s="56"/>
      <c r="L371" s="55"/>
      <c r="M371" s="56"/>
      <c r="N371" s="56"/>
      <c r="O371" s="19">
        <f>(O369*4)/O368</f>
        <v>2.1715526601520086E-2</v>
      </c>
      <c r="P371" s="19">
        <f>(P369*4)/P368</f>
        <v>2.3856858846918488E-2</v>
      </c>
      <c r="Q371" s="18">
        <f>Q369/Q368</f>
        <v>2.3856858846918488E-2</v>
      </c>
      <c r="R371" s="19">
        <f t="shared" ref="R371:AO371" si="941">(R369*4)/R368</f>
        <v>2.1216407355021213E-2</v>
      </c>
      <c r="S371" s="19">
        <f t="shared" si="941"/>
        <v>2.0668274199104372E-2</v>
      </c>
      <c r="T371" s="19">
        <f t="shared" si="941"/>
        <v>2.0113979215554811E-2</v>
      </c>
      <c r="U371" s="19">
        <f t="shared" si="941"/>
        <v>2.1246458923512748E-2</v>
      </c>
      <c r="V371" s="18">
        <f>V369/V368</f>
        <v>2.1246458923512748E-2</v>
      </c>
      <c r="W371" s="19">
        <f t="shared" si="941"/>
        <v>2.3201856148491878E-2</v>
      </c>
      <c r="X371" s="19">
        <f t="shared" si="941"/>
        <v>1.9499512512187196E-2</v>
      </c>
      <c r="Y371" s="19">
        <f t="shared" si="941"/>
        <v>2.2066936373666787E-2</v>
      </c>
      <c r="Z371" s="19">
        <f t="shared" si="941"/>
        <v>1.9442644199611146E-2</v>
      </c>
      <c r="AA371" s="18">
        <f>AA369/AA368</f>
        <v>1.9442644199611146E-2</v>
      </c>
      <c r="AB371" s="19">
        <f t="shared" si="941"/>
        <v>1.6694490818030049E-2</v>
      </c>
      <c r="AC371" s="19">
        <f t="shared" si="941"/>
        <v>2.1459227467811159E-2</v>
      </c>
      <c r="AD371" s="19">
        <f t="shared" si="941"/>
        <v>2.1132713440405747E-2</v>
      </c>
      <c r="AE371" s="19">
        <f t="shared" si="941"/>
        <v>2.0463847203274217E-2</v>
      </c>
      <c r="AF371" s="18">
        <f>AF369/AF368</f>
        <v>1.9440654843110507E-2</v>
      </c>
      <c r="AG371" s="19">
        <f t="shared" si="941"/>
        <v>1.9742037378257436E-2</v>
      </c>
      <c r="AH371" s="19">
        <f t="shared" si="941"/>
        <v>1.948051948051948E-2</v>
      </c>
      <c r="AI371" s="19">
        <f t="shared" si="941"/>
        <v>2.0991865652059828E-2</v>
      </c>
      <c r="AJ371" s="19">
        <f t="shared" si="941"/>
        <v>2.2154527831625592E-2</v>
      </c>
      <c r="AK371" s="18">
        <f>AK369/AK368</f>
        <v>2.146219883688729E-2</v>
      </c>
      <c r="AL371" s="19">
        <f t="shared" si="941"/>
        <v>2.3852116875372691E-2</v>
      </c>
      <c r="AM371" s="19">
        <f t="shared" si="941"/>
        <v>2.3696682464454978E-2</v>
      </c>
      <c r="AN371" s="19">
        <f t="shared" ca="1" si="941"/>
        <v>2.257581023290119E-2</v>
      </c>
      <c r="AO371" s="19">
        <f t="shared" ca="1" si="941"/>
        <v>2.1898697334074273E-2</v>
      </c>
      <c r="AP371" s="254"/>
      <c r="AQ371" s="253"/>
      <c r="AR371" s="253"/>
      <c r="AS371" s="253"/>
      <c r="AT371" s="253"/>
      <c r="AU371" s="254"/>
      <c r="AV371" s="253"/>
      <c r="AW371" s="253"/>
      <c r="AX371" s="253"/>
      <c r="AY371" s="253"/>
      <c r="AZ371" s="254"/>
    </row>
    <row r="372" spans="2:54">
      <c r="E372" s="55"/>
      <c r="F372" s="55"/>
      <c r="G372" s="55"/>
      <c r="H372" s="56"/>
      <c r="I372" s="56"/>
      <c r="J372" s="56"/>
      <c r="K372" s="56"/>
      <c r="L372" s="55"/>
      <c r="M372" s="56"/>
      <c r="N372" s="56"/>
      <c r="O372" s="56"/>
      <c r="P372" s="56"/>
      <c r="Q372" s="55"/>
      <c r="R372" s="56"/>
      <c r="S372" s="56"/>
      <c r="T372" s="56"/>
      <c r="U372" s="56"/>
      <c r="V372" s="55"/>
      <c r="W372" s="56"/>
      <c r="X372" s="56"/>
      <c r="Y372" s="56"/>
      <c r="Z372" s="56"/>
      <c r="AA372" s="55"/>
      <c r="AB372" s="56"/>
      <c r="AC372" s="56"/>
      <c r="AD372" s="56"/>
      <c r="AE372" s="56"/>
      <c r="AF372" s="55"/>
      <c r="AG372" s="56"/>
      <c r="AH372" s="56"/>
      <c r="AI372" s="56"/>
      <c r="AJ372" s="56"/>
      <c r="AK372" s="55"/>
      <c r="AL372" s="56"/>
      <c r="AM372" s="56"/>
      <c r="AP372" s="199"/>
      <c r="AU372" s="199"/>
      <c r="AZ372" s="199"/>
    </row>
    <row r="373" spans="2:54">
      <c r="B373" t="s">
        <v>458</v>
      </c>
      <c r="E373" s="55"/>
      <c r="F373" s="55"/>
      <c r="G373" s="55"/>
      <c r="H373" s="56"/>
      <c r="I373" s="56"/>
      <c r="J373" s="56"/>
      <c r="K373" s="56"/>
      <c r="L373" s="188"/>
      <c r="M373" s="56"/>
      <c r="N373" s="161"/>
      <c r="O373" s="161"/>
      <c r="P373" s="161"/>
      <c r="Q373" s="188">
        <f>Q368/Q359</f>
        <v>27.781630899257316</v>
      </c>
      <c r="R373" s="161"/>
      <c r="S373" s="161">
        <f>AVERAGE(R368:S368,O368:P368)/SUM(R359:S359,O359:P359)</f>
        <v>23.936442735330452</v>
      </c>
      <c r="T373" s="161">
        <f>AVERAGE(R368:T368,P368)/SUM(R359:T359,P359)</f>
        <v>23.982083920220241</v>
      </c>
      <c r="U373" s="161">
        <f>AVERAGE(R368:U368)/SUM(R359:U359)</f>
        <v>23.78566752504269</v>
      </c>
      <c r="V373" s="188">
        <f>V368/V359</f>
        <v>23.20520208453966</v>
      </c>
      <c r="W373" s="161">
        <f>(AVERAGE(W368,S368:U368)/SUM(W359,S359:U359))</f>
        <v>22.611937516570475</v>
      </c>
      <c r="X373" s="161">
        <f>AVERAGE(W368:X368,T368:U368)/SUM(W359:X359,T359:U359)</f>
        <v>22.388774574588826</v>
      </c>
      <c r="Y373" s="161">
        <f>AVERAGE(W368:Y368,U368)/SUM(W359:Y359,U359)</f>
        <v>20.683062242179634</v>
      </c>
      <c r="Z373" s="161">
        <f>AVERAGE(W368:Z368)/SUM(W359:Z359)</f>
        <v>20.510941422708353</v>
      </c>
      <c r="AA373" s="188">
        <f>AA368/AA359</f>
        <v>22.075455734406432</v>
      </c>
      <c r="AB373" s="161">
        <f>(AVERAGE(AB368,X368:Z368)/SUM(AB359,X359:Z359))</f>
        <v>21.646583349188148</v>
      </c>
      <c r="AC373" s="161">
        <f>AVERAGE(AB368:AC368,Y368:Z368)/SUM(AB359:AC359,Y359:Z359)</f>
        <v>21.668181942241031</v>
      </c>
      <c r="AD373" s="161">
        <f>AVERAGE(AB368:AD368,Z368)/SUM(AB359:AD359,Z359)</f>
        <v>22.319320653997679</v>
      </c>
      <c r="AE373" s="161">
        <f>AVERAGE(AB368:AE368)/SUM(AB359:AE359)</f>
        <v>22.404459629738806</v>
      </c>
      <c r="AF373" s="188">
        <f>AF368/AF359</f>
        <v>22.961329530495831</v>
      </c>
      <c r="AG373" s="161">
        <f>(AVERAGE(AG368,AC368:AE368)/SUM(AG359,AC359:AE359))</f>
        <v>22.709199408138414</v>
      </c>
      <c r="AH373" s="161">
        <f>AVERAGE(AG368:AH368,AD368:AE368)/SUM(AG359:AH359,AD359:AE359)</f>
        <v>23.104765353235138</v>
      </c>
      <c r="AI373" s="161">
        <f>AVERAGE(AG368:AI368,AE368)/SUM(AG359:AI359,AE359)</f>
        <v>23.252967252775129</v>
      </c>
      <c r="AJ373" s="161">
        <f>AVERAGE(AG368:AJ368)/SUM(AG359:AJ359)</f>
        <v>22.447847012235105</v>
      </c>
      <c r="AK373" s="188">
        <f>AK368/AK359</f>
        <v>21.5161065915728</v>
      </c>
      <c r="AL373" s="161">
        <f>(AVERAGE(AL368,AH368:AJ368)/SUM(AL359,AH359:AJ359))</f>
        <v>21.700991333204591</v>
      </c>
      <c r="AM373" s="161">
        <f>AVERAGE(AL368:AM368,AI368:AJ368)/SUM(AL359:AM359,AI359:AJ359)</f>
        <v>20.568346359056466</v>
      </c>
      <c r="AN373" s="255">
        <v>20</v>
      </c>
      <c r="AO373" s="255">
        <v>20</v>
      </c>
      <c r="AP373" s="256">
        <v>20</v>
      </c>
      <c r="AQ373" s="255">
        <v>20</v>
      </c>
      <c r="AR373" s="255">
        <v>20</v>
      </c>
      <c r="AS373" s="255">
        <v>20</v>
      </c>
      <c r="AT373" s="255">
        <v>20</v>
      </c>
      <c r="AU373" s="256">
        <v>20</v>
      </c>
      <c r="AV373" s="255">
        <v>20</v>
      </c>
      <c r="AW373" s="255">
        <v>20</v>
      </c>
      <c r="AX373" s="255">
        <v>20</v>
      </c>
      <c r="AY373" s="255">
        <v>20</v>
      </c>
      <c r="AZ373" s="256">
        <v>20</v>
      </c>
    </row>
    <row r="374" spans="2:54">
      <c r="E374" s="55"/>
      <c r="F374" s="55"/>
      <c r="G374" s="55"/>
      <c r="H374" s="56"/>
      <c r="I374" s="56"/>
      <c r="J374" s="56"/>
      <c r="K374" s="56"/>
      <c r="L374" s="188"/>
      <c r="M374" s="56"/>
      <c r="N374" s="161"/>
      <c r="O374" s="161"/>
      <c r="P374" s="161"/>
      <c r="Q374" s="188"/>
      <c r="R374" s="161"/>
      <c r="S374" s="161"/>
      <c r="T374" s="161"/>
      <c r="U374" s="161"/>
      <c r="V374" s="188"/>
      <c r="W374" s="161"/>
      <c r="X374" s="161"/>
      <c r="Y374" s="161"/>
      <c r="Z374" s="161"/>
      <c r="AA374" s="188"/>
      <c r="AB374" s="161"/>
      <c r="AC374" s="161"/>
      <c r="AD374" s="161"/>
      <c r="AE374" s="161"/>
      <c r="AF374" s="188"/>
      <c r="AG374" s="161"/>
      <c r="AH374" s="161"/>
      <c r="AI374" s="161"/>
      <c r="AJ374" s="161"/>
      <c r="AK374" s="188"/>
      <c r="AL374" s="161"/>
      <c r="AM374" s="161"/>
      <c r="AN374" s="255"/>
      <c r="AO374" s="255"/>
      <c r="AP374" s="256"/>
      <c r="AQ374" s="255"/>
      <c r="AR374" s="255"/>
      <c r="AS374" s="255"/>
      <c r="AT374" s="255"/>
      <c r="AU374" s="256"/>
      <c r="AV374" s="255"/>
      <c r="AW374" s="255"/>
      <c r="AX374" s="255"/>
      <c r="AY374" s="255"/>
      <c r="AZ374" s="256"/>
    </row>
    <row r="375" spans="2:54" s="72" customFormat="1">
      <c r="B375" s="72" t="s">
        <v>284</v>
      </c>
      <c r="E375" s="73"/>
      <c r="F375" s="73"/>
      <c r="G375" s="73"/>
      <c r="H375" s="74"/>
      <c r="I375" s="74"/>
      <c r="J375" s="74"/>
      <c r="K375" s="74"/>
      <c r="L375" s="73"/>
      <c r="M375" s="74"/>
      <c r="N375" s="74"/>
      <c r="O375" s="74"/>
      <c r="P375" s="74">
        <v>2019</v>
      </c>
      <c r="Q375" s="73">
        <v>2019</v>
      </c>
      <c r="R375" s="74">
        <v>2019</v>
      </c>
      <c r="S375" s="74">
        <v>2019</v>
      </c>
      <c r="T375" s="74">
        <v>2019</v>
      </c>
      <c r="U375" s="74">
        <v>2020</v>
      </c>
      <c r="V375" s="73">
        <v>2020</v>
      </c>
      <c r="W375" s="74">
        <v>2020</v>
      </c>
      <c r="X375" s="74">
        <v>2020</v>
      </c>
      <c r="Y375" s="74">
        <v>2020</v>
      </c>
      <c r="Z375" s="74">
        <v>2021</v>
      </c>
      <c r="AA375" s="73">
        <v>2021</v>
      </c>
      <c r="AB375" s="74">
        <v>2021</v>
      </c>
      <c r="AC375" s="74">
        <v>2021</v>
      </c>
      <c r="AD375" s="74">
        <v>2021</v>
      </c>
      <c r="AE375" s="74">
        <v>2022</v>
      </c>
      <c r="AF375" s="73">
        <v>2022</v>
      </c>
      <c r="AG375" s="74">
        <v>2022</v>
      </c>
      <c r="AH375" s="74">
        <v>2022</v>
      </c>
      <c r="AI375" s="74">
        <v>2022</v>
      </c>
      <c r="AJ375" s="74">
        <v>2023</v>
      </c>
      <c r="AK375" s="73">
        <v>2023</v>
      </c>
      <c r="AL375" s="74">
        <v>2023</v>
      </c>
      <c r="AM375" s="74">
        <v>2023</v>
      </c>
      <c r="AP375" s="201"/>
      <c r="AU375" s="201"/>
      <c r="AV375" s="271"/>
      <c r="AW375" s="271"/>
      <c r="AX375" s="271"/>
      <c r="AY375" s="271"/>
      <c r="AZ375" s="201"/>
      <c r="BB375" s="259"/>
    </row>
    <row r="376" spans="2:54" s="80" customFormat="1">
      <c r="B376" s="47" t="s">
        <v>285</v>
      </c>
      <c r="C376" s="75"/>
      <c r="D376" s="75"/>
      <c r="E376" s="76"/>
      <c r="F376" s="76"/>
      <c r="G376" s="76"/>
      <c r="H376" s="77"/>
      <c r="I376" s="77"/>
      <c r="J376" s="77"/>
      <c r="K376" s="77"/>
      <c r="L376" s="78"/>
      <c r="M376" s="79"/>
      <c r="N376" s="79"/>
      <c r="O376" s="79"/>
      <c r="P376" s="589" t="s">
        <v>298</v>
      </c>
      <c r="Q376" s="590" t="s">
        <v>298</v>
      </c>
      <c r="R376" s="589" t="s">
        <v>298</v>
      </c>
      <c r="S376" s="589" t="s">
        <v>298</v>
      </c>
      <c r="T376" s="589" t="s">
        <v>298</v>
      </c>
      <c r="U376" s="589" t="s">
        <v>299</v>
      </c>
      <c r="V376" s="590" t="s">
        <v>299</v>
      </c>
      <c r="W376" s="589" t="s">
        <v>299</v>
      </c>
      <c r="X376" s="589" t="s">
        <v>299</v>
      </c>
      <c r="Y376" s="589" t="s">
        <v>299</v>
      </c>
      <c r="Z376" s="589" t="s">
        <v>299</v>
      </c>
      <c r="AA376" s="590" t="s">
        <v>298</v>
      </c>
      <c r="AB376" s="589" t="s">
        <v>297</v>
      </c>
      <c r="AC376" s="589" t="s">
        <v>287</v>
      </c>
      <c r="AD376" s="589" t="s">
        <v>294</v>
      </c>
      <c r="AE376" s="589" t="s">
        <v>291</v>
      </c>
      <c r="AF376" s="590" t="s">
        <v>291</v>
      </c>
      <c r="AG376" s="589" t="s">
        <v>293</v>
      </c>
      <c r="AH376" s="591" t="s">
        <v>292</v>
      </c>
      <c r="AI376" s="589" t="s">
        <v>290</v>
      </c>
      <c r="AJ376" s="589" t="str">
        <f>AK376</f>
        <v>[5%]</v>
      </c>
      <c r="AK376" s="590" t="s">
        <v>289</v>
      </c>
      <c r="AL376" s="592" t="s">
        <v>289</v>
      </c>
      <c r="AM376" s="592" t="s">
        <v>288</v>
      </c>
      <c r="AP376" s="202"/>
      <c r="AU376" s="202"/>
      <c r="AV376" s="272"/>
      <c r="AW376" s="272"/>
      <c r="AX376" s="272"/>
      <c r="AY376" s="272"/>
      <c r="AZ376" s="202"/>
      <c r="BB376" s="260"/>
    </row>
    <row r="377" spans="2:54" s="80" customFormat="1">
      <c r="B377" s="47" t="s">
        <v>286</v>
      </c>
      <c r="C377" s="75"/>
      <c r="D377" s="75"/>
      <c r="E377" s="76"/>
      <c r="F377" s="76"/>
      <c r="G377" s="76"/>
      <c r="H377" s="77"/>
      <c r="I377" s="77"/>
      <c r="J377" s="77"/>
      <c r="K377" s="77"/>
      <c r="L377" s="81"/>
      <c r="M377" s="71"/>
      <c r="N377" s="71"/>
      <c r="O377" s="71"/>
      <c r="P377" s="593" t="s">
        <v>302</v>
      </c>
      <c r="Q377" s="594" t="s">
        <v>302</v>
      </c>
      <c r="R377" s="593" t="s">
        <v>302</v>
      </c>
      <c r="S377" s="593" t="s">
        <v>302</v>
      </c>
      <c r="T377" s="593" t="s">
        <v>302</v>
      </c>
      <c r="U377" s="593" t="s">
        <v>295</v>
      </c>
      <c r="V377" s="594" t="s">
        <v>295</v>
      </c>
      <c r="W377" s="593" t="s">
        <v>295</v>
      </c>
      <c r="X377" s="593" t="s">
        <v>295</v>
      </c>
      <c r="Y377" s="593" t="s">
        <v>295</v>
      </c>
      <c r="Z377" s="589" t="str">
        <f>AA377</f>
        <v>[13%, 15%]</v>
      </c>
      <c r="AA377" s="594" t="s">
        <v>295</v>
      </c>
      <c r="AB377" s="593" t="s">
        <v>295</v>
      </c>
      <c r="AC377" s="593" t="s">
        <v>295</v>
      </c>
      <c r="AD377" s="593" t="s">
        <v>295</v>
      </c>
      <c r="AE377" s="593" t="s">
        <v>291</v>
      </c>
      <c r="AF377" s="594" t="s">
        <v>291</v>
      </c>
      <c r="AG377" s="593" t="s">
        <v>291</v>
      </c>
      <c r="AH377" s="593" t="s">
        <v>291</v>
      </c>
      <c r="AI377" s="593" t="s">
        <v>291</v>
      </c>
      <c r="AJ377" s="593" t="str">
        <f>AK377</f>
        <v>[6%, 7%]</v>
      </c>
      <c r="AK377" s="594" t="s">
        <v>287</v>
      </c>
      <c r="AL377" s="593" t="s">
        <v>287</v>
      </c>
      <c r="AM377" s="593" t="s">
        <v>287</v>
      </c>
      <c r="AP377" s="202"/>
      <c r="AU377" s="202"/>
      <c r="AV377" s="272"/>
      <c r="AW377" s="272"/>
      <c r="AX377" s="272"/>
      <c r="AY377" s="272"/>
      <c r="AZ377" s="202"/>
      <c r="BB377" s="260"/>
    </row>
    <row r="378" spans="2:54" s="44" customFormat="1">
      <c r="B378" s="47" t="s">
        <v>296</v>
      </c>
      <c r="C378" s="40"/>
      <c r="D378" s="40"/>
      <c r="E378" s="45"/>
      <c r="F378" s="45"/>
      <c r="G378" s="45"/>
      <c r="H378" s="46"/>
      <c r="I378" s="46"/>
      <c r="J378" s="46"/>
      <c r="K378" s="46"/>
      <c r="L378" s="45"/>
      <c r="M378" s="34"/>
      <c r="N378" s="34"/>
      <c r="O378" s="34"/>
      <c r="P378" s="583"/>
      <c r="Q378" s="586"/>
      <c r="R378" s="583"/>
      <c r="S378" s="583"/>
      <c r="T378" s="583"/>
      <c r="U378" s="583"/>
      <c r="V378" s="586"/>
      <c r="W378" s="583"/>
      <c r="X378" s="583"/>
      <c r="Y378" s="593" t="s">
        <v>300</v>
      </c>
      <c r="Z378" s="583"/>
      <c r="AA378" s="586"/>
      <c r="AB378" s="593" t="s">
        <v>301</v>
      </c>
      <c r="AC378" s="593" t="s">
        <v>301</v>
      </c>
      <c r="AD378" s="593" t="s">
        <v>301</v>
      </c>
      <c r="AE378" s="583"/>
      <c r="AF378" s="586"/>
      <c r="AG378" s="583"/>
      <c r="AH378" s="583"/>
      <c r="AI378" s="583"/>
      <c r="AJ378" s="583"/>
      <c r="AK378" s="586"/>
      <c r="AL378" s="583"/>
      <c r="AM378" s="583"/>
      <c r="AP378" s="200"/>
      <c r="AU378" s="200"/>
      <c r="AV378" s="270"/>
      <c r="AW378" s="270"/>
      <c r="AX378" s="270"/>
      <c r="AY378" s="270"/>
      <c r="AZ378" s="200"/>
      <c r="BB378" s="258"/>
    </row>
    <row r="379" spans="2:54" s="44" customFormat="1">
      <c r="B379" s="47"/>
      <c r="C379" s="40"/>
      <c r="D379" s="40"/>
      <c r="E379" s="45"/>
      <c r="F379" s="45"/>
      <c r="G379" s="45"/>
      <c r="H379" s="46"/>
      <c r="I379" s="46"/>
      <c r="J379" s="46"/>
      <c r="K379" s="46"/>
      <c r="L379" s="45"/>
      <c r="M379" s="34"/>
      <c r="N379" s="34"/>
      <c r="O379" s="34"/>
      <c r="P379" s="34"/>
      <c r="Q379" s="49"/>
      <c r="R379" s="34"/>
      <c r="S379" s="34"/>
      <c r="T379" s="34"/>
      <c r="U379" s="34"/>
      <c r="V379" s="49"/>
      <c r="W379" s="34"/>
      <c r="X379" s="34"/>
      <c r="Y379" s="71"/>
      <c r="Z379" s="34"/>
      <c r="AA379" s="49"/>
      <c r="AB379" s="71"/>
      <c r="AC379" s="71"/>
      <c r="AD379" s="71"/>
      <c r="AE379" s="34"/>
      <c r="AF379" s="49"/>
      <c r="AG379" s="34"/>
      <c r="AH379" s="34"/>
      <c r="AI379" s="34"/>
      <c r="AJ379" s="34"/>
      <c r="AK379" s="49"/>
      <c r="AL379" s="34"/>
      <c r="AM379" s="34"/>
      <c r="AP379" s="200"/>
      <c r="AU379" s="200"/>
      <c r="AV379" s="270"/>
      <c r="AW379" s="270"/>
      <c r="AX379" s="270"/>
      <c r="AY379" s="270"/>
      <c r="AZ379" s="200"/>
      <c r="BB379" s="258"/>
    </row>
    <row r="380" spans="2:54" s="44" customFormat="1">
      <c r="B380" s="41" t="s">
        <v>596</v>
      </c>
      <c r="C380" s="40"/>
      <c r="D380" s="40"/>
      <c r="E380" s="45"/>
      <c r="F380" s="45"/>
      <c r="G380" s="45"/>
      <c r="H380" s="46"/>
      <c r="I380" s="46"/>
      <c r="J380" s="46"/>
      <c r="K380" s="46"/>
      <c r="L380" s="45"/>
      <c r="M380" s="34"/>
      <c r="N380" s="34"/>
      <c r="O380" s="34"/>
      <c r="P380" s="34"/>
      <c r="Q380" s="49"/>
      <c r="R380" s="34"/>
      <c r="S380" s="34"/>
      <c r="T380" s="34"/>
      <c r="U380" s="34"/>
      <c r="V380" s="49"/>
      <c r="W380" s="34"/>
      <c r="X380" s="34"/>
      <c r="Y380" s="71"/>
      <c r="Z380" s="34"/>
      <c r="AA380" s="49"/>
      <c r="AB380" s="71"/>
      <c r="AC380" s="71"/>
      <c r="AD380" s="71"/>
      <c r="AE380" s="34"/>
      <c r="AF380" s="49"/>
      <c r="AG380" s="34"/>
      <c r="AH380" s="34"/>
      <c r="AI380" s="34"/>
      <c r="AJ380" s="34"/>
      <c r="AK380" s="49"/>
      <c r="AL380" s="34"/>
      <c r="AM380" s="34"/>
      <c r="AP380" s="200"/>
      <c r="AU380" s="200"/>
      <c r="AV380" s="270"/>
      <c r="AW380" s="270"/>
      <c r="AX380" s="270"/>
      <c r="AY380" s="270"/>
      <c r="AZ380" s="200"/>
      <c r="BB380" s="258"/>
    </row>
    <row r="381" spans="2:54" s="44" customFormat="1">
      <c r="B381" s="47" t="s">
        <v>597</v>
      </c>
      <c r="C381" s="40"/>
      <c r="D381" s="40"/>
      <c r="E381" s="45"/>
      <c r="F381" s="45"/>
      <c r="G381" s="45"/>
      <c r="H381" s="46"/>
      <c r="I381" s="46"/>
      <c r="J381" s="46"/>
      <c r="K381" s="46"/>
      <c r="L381" s="45"/>
      <c r="M381" s="34"/>
      <c r="N381" s="34"/>
      <c r="O381" s="34"/>
      <c r="P381" s="61"/>
      <c r="Q381" s="179">
        <f t="shared" ref="Q381:AM381" si="942">Q360</f>
        <v>0</v>
      </c>
      <c r="R381" s="61">
        <f t="shared" si="942"/>
        <v>0</v>
      </c>
      <c r="S381" s="61">
        <f t="shared" si="942"/>
        <v>0</v>
      </c>
      <c r="T381" s="61">
        <f t="shared" si="942"/>
        <v>6.985159628662152E-2</v>
      </c>
      <c r="U381" s="61">
        <f t="shared" si="942"/>
        <v>0.13878818196947296</v>
      </c>
      <c r="V381" s="179">
        <f t="shared" si="942"/>
        <v>0.34430893500297333</v>
      </c>
      <c r="W381" s="61">
        <f t="shared" si="942"/>
        <v>0.14413053677973298</v>
      </c>
      <c r="X381" s="61">
        <f t="shared" si="942"/>
        <v>0.10695308205879184</v>
      </c>
      <c r="Y381" s="293">
        <f t="shared" si="942"/>
        <v>0.23199536750700722</v>
      </c>
      <c r="Z381" s="61">
        <f t="shared" si="942"/>
        <v>0.12521896453911685</v>
      </c>
      <c r="AA381" s="179">
        <f t="shared" si="942"/>
        <v>0.14870075396380589</v>
      </c>
      <c r="AB381" s="293">
        <f t="shared" si="942"/>
        <v>0.14995801561365285</v>
      </c>
      <c r="AC381" s="293">
        <f t="shared" si="942"/>
        <v>0.14182008420987846</v>
      </c>
      <c r="AD381" s="293">
        <f t="shared" si="942"/>
        <v>0.1266252720176404</v>
      </c>
      <c r="AE381" s="61">
        <f t="shared" si="942"/>
        <v>0.15103086402599075</v>
      </c>
      <c r="AF381" s="179">
        <f t="shared" si="942"/>
        <v>0.14180174900079812</v>
      </c>
      <c r="AG381" s="61">
        <f t="shared" si="942"/>
        <v>3.4834264370637857E-3</v>
      </c>
      <c r="AH381" s="61">
        <f t="shared" si="942"/>
        <v>2.9379375237774008E-2</v>
      </c>
      <c r="AI381" s="61">
        <f t="shared" si="942"/>
        <v>4.0629559933091253E-2</v>
      </c>
      <c r="AJ381" s="61">
        <f t="shared" si="942"/>
        <v>0.11679728546409818</v>
      </c>
      <c r="AK381" s="179">
        <f t="shared" si="942"/>
        <v>5.1445710870729133E-2</v>
      </c>
      <c r="AL381" s="61">
        <f t="shared" si="942"/>
        <v>1.9605662405569602E-2</v>
      </c>
      <c r="AM381" s="61">
        <f t="shared" si="942"/>
        <v>9.0700032050567536E-2</v>
      </c>
      <c r="AP381" s="200"/>
      <c r="AU381" s="200"/>
      <c r="AV381" s="270"/>
      <c r="AW381" s="270"/>
      <c r="AX381" s="270"/>
      <c r="AY381" s="270"/>
      <c r="AZ381" s="200"/>
      <c r="BB381" s="258"/>
    </row>
    <row r="382" spans="2:54" s="44" customFormat="1">
      <c r="B382" s="47" t="s">
        <v>599</v>
      </c>
      <c r="C382" s="40"/>
      <c r="D382" s="40"/>
      <c r="E382" s="45"/>
      <c r="F382" s="45"/>
      <c r="G382" s="45"/>
      <c r="H382" s="46"/>
      <c r="I382" s="46"/>
      <c r="J382" s="46"/>
      <c r="K382" s="46"/>
      <c r="L382" s="45"/>
      <c r="M382" s="34"/>
      <c r="N382" s="34"/>
      <c r="O382" s="34"/>
      <c r="P382" s="61"/>
      <c r="Q382" s="66" cm="1">
        <f t="array" ref="Q382">_xll.BDH(bbg_ticker, "PX_Last", Q7)</f>
        <v>25.15</v>
      </c>
      <c r="R382" s="68" cm="1">
        <f t="array" ref="R382">_xll.BDH(bbg_ticker, "PX_Last", R7)</f>
        <v>28.28</v>
      </c>
      <c r="S382" s="68" cm="1">
        <f t="array" ref="S382">_xll.BDH(bbg_ticker, "PX_Last", S7)</f>
        <v>29.03</v>
      </c>
      <c r="T382" s="68" cm="1">
        <f t="array" ref="T382">_xll.BDH(bbg_ticker, "PX_Last", T7)</f>
        <v>29.83</v>
      </c>
      <c r="U382" s="68" cm="1">
        <f t="array" ref="U382">_xll.BDH(bbg_ticker, "PX_Last", U7)</f>
        <v>28.24</v>
      </c>
      <c r="V382" s="66" cm="1">
        <f t="array" ref="V382">_xll.BDH(bbg_ticker, "PX_Last", V7)</f>
        <v>28.24</v>
      </c>
      <c r="W382" s="68" cm="1">
        <f t="array" ref="W382">_xll.BDH(bbg_ticker, "PX_Last", W7)</f>
        <v>25.86</v>
      </c>
      <c r="X382" s="68" cm="1">
        <f t="array" ref="X382">_xll.BDH(bbg_ticker, "PX_Last", X7)</f>
        <v>30.77</v>
      </c>
      <c r="Y382" s="295" cm="1">
        <f t="array" ref="Y382">_xll.BDH(bbg_ticker, "PX_Last", Y7)</f>
        <v>27.19</v>
      </c>
      <c r="Z382" s="68" cm="1">
        <f t="array" ref="Z382">_xll.BDH(bbg_ticker, "PX_Last", Z7)</f>
        <v>30.86</v>
      </c>
      <c r="AA382" s="66" cm="1">
        <f t="array" ref="AA382">_xll.BDH(bbg_ticker, "PX_Last", AA7)</f>
        <v>30.86</v>
      </c>
      <c r="AB382" s="295" cm="1">
        <f t="array" ref="AB382">_xll.BDH(bbg_ticker, "PX_Last", AB7)</f>
        <v>35.94</v>
      </c>
      <c r="AC382" s="295" cm="1">
        <f t="array" ref="AC382">_xll.BDH(bbg_ticker, "PX_Last", AC7)</f>
        <v>34.950000000000003</v>
      </c>
      <c r="AD382" s="295" cm="1">
        <f t="array" ref="AD382">_xll.BDH(bbg_ticker, "PX_Last", AD7)</f>
        <v>35.49</v>
      </c>
      <c r="AE382" s="68" cm="1">
        <f t="array" ref="AE382">_xll.BDH(bbg_ticker, "PX_Last", AE7)</f>
        <v>36.65</v>
      </c>
      <c r="AF382" s="66" cm="1">
        <f t="array" ref="AF382">_xll.BDH(bbg_ticker, "PX_Last", AF7)</f>
        <v>36.65</v>
      </c>
      <c r="AG382" s="68" cm="1">
        <f t="array" ref="AG382">_xll.BDH(bbg_ticker, "PX_Last", AG7)</f>
        <v>37.99</v>
      </c>
      <c r="AH382" s="68" cm="1">
        <f t="array" ref="AH382">_xll.BDH(bbg_ticker, "PX_Last", AH7)</f>
        <v>38.5</v>
      </c>
      <c r="AI382" s="68" cm="1">
        <f t="array" ref="AI382">_xll.BDH(bbg_ticker, "PX_Last", AI7)</f>
        <v>38.11</v>
      </c>
      <c r="AJ382" s="68" cm="1">
        <f t="array" ref="AJ382">_xll.BDH(bbg_ticker, "PX_Last", AJ7)</f>
        <v>36.11</v>
      </c>
      <c r="AK382" s="66" cm="1">
        <f t="array" ref="AK382">_xll.BDH(bbg_ticker, "PX_Last", AK7)</f>
        <v>36.11</v>
      </c>
      <c r="AL382" s="68" cm="1">
        <f t="array" ref="AL382">_xll.BDH(bbg_ticker, "PX_Last", AL7)</f>
        <v>33.54</v>
      </c>
      <c r="AM382" s="294" cm="1">
        <f t="array" ref="AM382">_xll.BDH(bbg_ticker, "PX_Last", AM7)</f>
        <v>33.76</v>
      </c>
      <c r="AP382" s="200"/>
      <c r="AU382" s="200"/>
      <c r="AV382" s="270"/>
      <c r="AW382" s="270"/>
      <c r="AX382" s="270"/>
      <c r="AY382" s="270"/>
      <c r="AZ382" s="200"/>
      <c r="BB382" s="258"/>
    </row>
    <row r="383" spans="2:54" s="44" customFormat="1">
      <c r="B383" s="296" t="s">
        <v>598</v>
      </c>
      <c r="C383" s="40"/>
      <c r="D383" s="40"/>
      <c r="E383" s="45"/>
      <c r="F383" s="45"/>
      <c r="G383" s="45"/>
      <c r="H383" s="46"/>
      <c r="I383" s="46"/>
      <c r="J383" s="46"/>
      <c r="K383" s="46"/>
      <c r="L383" s="45"/>
      <c r="M383" s="34"/>
      <c r="N383" s="34"/>
      <c r="O383" s="34"/>
      <c r="P383" s="61"/>
      <c r="Q383" s="179"/>
      <c r="R383" s="61">
        <f t="shared" ref="R383:U383" si="943">R382/Q382-1</f>
        <v>0.12445328031809155</v>
      </c>
      <c r="S383" s="61">
        <f t="shared" si="943"/>
        <v>2.6520509193776576E-2</v>
      </c>
      <c r="T383" s="61">
        <f t="shared" si="943"/>
        <v>2.7557698932139107E-2</v>
      </c>
      <c r="U383" s="61">
        <f t="shared" si="943"/>
        <v>-5.330204492122026E-2</v>
      </c>
      <c r="V383" s="179"/>
      <c r="W383" s="61">
        <f t="shared" ref="W383:Z383" si="944">W382/V382-1</f>
        <v>-8.4277620396600583E-2</v>
      </c>
      <c r="X383" s="61">
        <f t="shared" si="944"/>
        <v>0.18986852281515865</v>
      </c>
      <c r="Y383" s="61">
        <f t="shared" si="944"/>
        <v>-0.11634709132271692</v>
      </c>
      <c r="Z383" s="61">
        <f t="shared" si="944"/>
        <v>0.13497609415226175</v>
      </c>
      <c r="AA383" s="179"/>
      <c r="AB383" s="61">
        <f t="shared" ref="AB383:AE383" si="945">AB382/AA382-1</f>
        <v>0.16461438755670765</v>
      </c>
      <c r="AC383" s="61">
        <f t="shared" si="945"/>
        <v>-2.7545909849749473E-2</v>
      </c>
      <c r="AD383" s="61">
        <f t="shared" si="945"/>
        <v>1.5450643776824036E-2</v>
      </c>
      <c r="AE383" s="61">
        <f t="shared" si="945"/>
        <v>3.2685263454494073E-2</v>
      </c>
      <c r="AF383" s="179"/>
      <c r="AG383" s="61">
        <f t="shared" ref="AG383:AJ383" si="946">AG382/AF382-1</f>
        <v>3.6562073669849982E-2</v>
      </c>
      <c r="AH383" s="61">
        <f t="shared" si="946"/>
        <v>1.3424585417215029E-2</v>
      </c>
      <c r="AI383" s="61">
        <f t="shared" si="946"/>
        <v>-1.01298701298701E-2</v>
      </c>
      <c r="AJ383" s="61">
        <f t="shared" si="946"/>
        <v>-5.2479664130149595E-2</v>
      </c>
      <c r="AK383" s="179"/>
      <c r="AL383" s="61">
        <f>AL382/AK382-1</f>
        <v>-7.1171420659097206E-2</v>
      </c>
      <c r="AM383" s="61">
        <f>AM382/AL382-1</f>
        <v>6.5593321407273475E-3</v>
      </c>
      <c r="AP383" s="200"/>
      <c r="AU383" s="200"/>
      <c r="AV383" s="270"/>
      <c r="AW383" s="270"/>
      <c r="AX383" s="270"/>
      <c r="AY383" s="270"/>
      <c r="AZ383" s="200"/>
      <c r="BB383" s="258"/>
    </row>
    <row r="384" spans="2:54" s="44" customFormat="1">
      <c r="B384" s="296" t="s">
        <v>600</v>
      </c>
      <c r="C384" s="40"/>
      <c r="D384" s="40"/>
      <c r="E384" s="45"/>
      <c r="F384" s="45"/>
      <c r="G384" s="45"/>
      <c r="H384" s="46"/>
      <c r="I384" s="46"/>
      <c r="J384" s="46"/>
      <c r="K384" s="46"/>
      <c r="L384" s="45"/>
      <c r="M384" s="34"/>
      <c r="N384" s="34"/>
      <c r="O384" s="34"/>
      <c r="P384" s="61"/>
      <c r="Q384" s="179"/>
      <c r="R384" s="61"/>
      <c r="S384" s="61"/>
      <c r="T384" s="61"/>
      <c r="U384" s="61"/>
      <c r="V384" s="179">
        <f>V382/Q382-1</f>
        <v>0.12286282306163021</v>
      </c>
      <c r="W384" s="61">
        <f t="shared" ref="W384:AM384" si="947">W382/R382-1</f>
        <v>-8.5572842998585585E-2</v>
      </c>
      <c r="X384" s="61">
        <f t="shared" si="947"/>
        <v>5.9937995177402614E-2</v>
      </c>
      <c r="Y384" s="61">
        <f t="shared" si="947"/>
        <v>-8.8501508548441077E-2</v>
      </c>
      <c r="Z384" s="61">
        <f t="shared" si="947"/>
        <v>9.277620396600561E-2</v>
      </c>
      <c r="AA384" s="179">
        <f t="shared" si="947"/>
        <v>9.277620396600561E-2</v>
      </c>
      <c r="AB384" s="61">
        <f t="shared" si="947"/>
        <v>0.38979118329466345</v>
      </c>
      <c r="AC384" s="61">
        <f t="shared" si="947"/>
        <v>0.13584660383490421</v>
      </c>
      <c r="AD384" s="61">
        <f t="shared" si="947"/>
        <v>0.30525928650239065</v>
      </c>
      <c r="AE384" s="61">
        <f t="shared" si="947"/>
        <v>0.18762151652624759</v>
      </c>
      <c r="AF384" s="179">
        <f t="shared" si="947"/>
        <v>0.18762151652624759</v>
      </c>
      <c r="AG384" s="61">
        <f t="shared" si="947"/>
        <v>5.7039510294936147E-2</v>
      </c>
      <c r="AH384" s="61">
        <f t="shared" si="947"/>
        <v>0.10157367668097272</v>
      </c>
      <c r="AI384" s="61">
        <f t="shared" si="947"/>
        <v>7.3823612285150775E-2</v>
      </c>
      <c r="AJ384" s="61">
        <f t="shared" si="947"/>
        <v>-1.4733969986357454E-2</v>
      </c>
      <c r="AK384" s="179">
        <f t="shared" si="947"/>
        <v>-1.4733969986357454E-2</v>
      </c>
      <c r="AL384" s="61">
        <f t="shared" si="947"/>
        <v>-0.11713608844432755</v>
      </c>
      <c r="AM384" s="61">
        <f t="shared" si="947"/>
        <v>-0.12311688311688318</v>
      </c>
      <c r="AP384" s="200"/>
      <c r="AU384" s="200"/>
      <c r="AV384" s="270"/>
      <c r="AW384" s="270"/>
      <c r="AX384" s="270"/>
      <c r="AY384" s="270"/>
      <c r="AZ384" s="200"/>
      <c r="BB384" s="258"/>
    </row>
    <row r="385" spans="2:52">
      <c r="E385" s="12"/>
      <c r="F385" s="12"/>
      <c r="G385" s="12"/>
      <c r="L385" s="12"/>
      <c r="Q385" s="12"/>
      <c r="V385" s="12"/>
      <c r="AA385" s="12"/>
      <c r="AF385" s="12"/>
      <c r="AK385" s="12"/>
      <c r="AP385" s="199"/>
      <c r="AU385" s="199"/>
      <c r="AV385" s="83"/>
      <c r="AW385" s="83"/>
      <c r="AX385" s="83"/>
      <c r="AY385" s="83"/>
      <c r="AZ385" s="199"/>
    </row>
    <row r="386" spans="2:52">
      <c r="B386" s="24" t="s">
        <v>130</v>
      </c>
      <c r="C386" s="27"/>
      <c r="D386" s="27"/>
      <c r="E386" s="665" t="s">
        <v>130</v>
      </c>
      <c r="F386" s="665"/>
      <c r="G386" s="665"/>
      <c r="H386" s="665"/>
      <c r="I386" s="665"/>
      <c r="J386" s="665"/>
      <c r="K386" s="665"/>
      <c r="L386" s="665"/>
      <c r="M386" s="665"/>
      <c r="N386" s="665"/>
      <c r="O386" s="665"/>
      <c r="P386" s="665"/>
      <c r="Q386" s="665"/>
      <c r="R386" s="665"/>
      <c r="S386" s="665"/>
      <c r="T386" s="665"/>
      <c r="U386" s="665"/>
      <c r="V386" s="665"/>
      <c r="W386" s="665"/>
      <c r="X386" s="665"/>
      <c r="Y386" s="665"/>
      <c r="Z386" s="665"/>
      <c r="AA386" s="665"/>
      <c r="AB386" s="665"/>
      <c r="AC386" s="665"/>
      <c r="AD386" s="665"/>
      <c r="AE386" s="665"/>
      <c r="AF386" s="665"/>
      <c r="AG386" s="665"/>
      <c r="AH386" s="665"/>
      <c r="AI386" s="665"/>
      <c r="AJ386" s="665"/>
      <c r="AK386" s="665"/>
      <c r="AL386" s="665"/>
      <c r="AM386" s="665"/>
      <c r="AN386" s="196"/>
      <c r="AO386" s="196"/>
      <c r="AP386" s="196"/>
      <c r="AQ386" s="196"/>
      <c r="AR386" s="196"/>
      <c r="AS386" s="196"/>
      <c r="AT386" s="196"/>
      <c r="AU386" s="196"/>
      <c r="AV386" s="196"/>
      <c r="AW386" s="196"/>
      <c r="AX386" s="196"/>
      <c r="AY386" s="196"/>
      <c r="AZ386" s="196"/>
    </row>
    <row r="387" spans="2:52">
      <c r="B387" s="11" t="s">
        <v>80</v>
      </c>
      <c r="E387" s="12"/>
      <c r="F387" s="12"/>
      <c r="G387" s="12"/>
      <c r="L387" s="12"/>
      <c r="Q387" s="12"/>
      <c r="V387" s="12"/>
      <c r="AA387" s="12"/>
      <c r="AF387" s="12"/>
      <c r="AK387" s="12"/>
      <c r="AP387" s="199"/>
      <c r="AU387" s="199"/>
      <c r="AV387" s="83"/>
      <c r="AW387" s="83"/>
      <c r="AX387" s="83"/>
      <c r="AY387" s="83"/>
      <c r="AZ387" s="199"/>
    </row>
    <row r="388" spans="2:52">
      <c r="B388" s="3" t="s">
        <v>86</v>
      </c>
      <c r="E388" s="12"/>
      <c r="F388" s="12"/>
      <c r="G388" s="12"/>
      <c r="L388" s="12"/>
      <c r="Q388" s="12"/>
      <c r="V388" s="12"/>
      <c r="AA388" s="12"/>
      <c r="AF388" s="12"/>
      <c r="AK388" s="12"/>
      <c r="AP388" s="199"/>
      <c r="AU388" s="199"/>
      <c r="AV388" s="83"/>
      <c r="AW388" s="83"/>
      <c r="AX388" s="83"/>
      <c r="AY388" s="83"/>
      <c r="AZ388" s="199"/>
    </row>
    <row r="389" spans="2:52">
      <c r="B389" s="5" t="s">
        <v>81</v>
      </c>
      <c r="C389" t="s">
        <v>106</v>
      </c>
      <c r="E389" s="14"/>
      <c r="F389" s="14"/>
      <c r="G389" s="14"/>
      <c r="H389" s="15"/>
      <c r="I389" s="15"/>
      <c r="J389" s="15"/>
      <c r="K389" s="15"/>
      <c r="L389" s="14"/>
      <c r="M389" s="15"/>
      <c r="N389" s="15"/>
      <c r="O389" s="585">
        <v>112</v>
      </c>
      <c r="P389" s="585">
        <v>129</v>
      </c>
      <c r="Q389" s="586">
        <v>129</v>
      </c>
      <c r="R389" s="585">
        <v>129</v>
      </c>
      <c r="S389" s="585">
        <v>150</v>
      </c>
      <c r="T389" s="585">
        <v>102</v>
      </c>
      <c r="U389" s="585">
        <v>101</v>
      </c>
      <c r="V389" s="586">
        <v>101</v>
      </c>
      <c r="W389" s="585">
        <v>223</v>
      </c>
      <c r="X389" s="585">
        <v>177</v>
      </c>
      <c r="Y389" s="585">
        <v>218</v>
      </c>
      <c r="Z389" s="585">
        <v>255</v>
      </c>
      <c r="AA389" s="586">
        <v>255</v>
      </c>
      <c r="AB389" s="585">
        <v>349</v>
      </c>
      <c r="AC389" s="585">
        <v>170</v>
      </c>
      <c r="AD389" s="585">
        <v>203</v>
      </c>
      <c r="AE389" s="585">
        <v>568</v>
      </c>
      <c r="AF389" s="586">
        <v>568</v>
      </c>
      <c r="AG389" s="585">
        <v>594</v>
      </c>
      <c r="AH389" s="585">
        <v>554</v>
      </c>
      <c r="AI389" s="585">
        <v>928</v>
      </c>
      <c r="AJ389" s="585">
        <v>535</v>
      </c>
      <c r="AK389" s="586">
        <v>535</v>
      </c>
      <c r="AL389" s="585">
        <v>204</v>
      </c>
      <c r="AM389" s="585">
        <v>278</v>
      </c>
      <c r="AN389" s="15">
        <f ca="1">AN469</f>
        <v>789.41235913439675</v>
      </c>
      <c r="AO389" s="15">
        <f ca="1">AO469</f>
        <v>1292.1347352092268</v>
      </c>
      <c r="AP389" s="206">
        <f ca="1">AP469</f>
        <v>1292.1347352092268</v>
      </c>
      <c r="AQ389" s="15">
        <f t="shared" ref="AQ389:AT389" ca="1" si="948">AQ469</f>
        <v>564.82805326269977</v>
      </c>
      <c r="AR389" s="15">
        <f t="shared" ca="1" si="948"/>
        <v>766.06077891176733</v>
      </c>
      <c r="AS389" s="15">
        <f t="shared" ca="1" si="948"/>
        <v>1266.2570273721183</v>
      </c>
      <c r="AT389" s="15">
        <f t="shared" ca="1" si="948"/>
        <v>1770.8548983450423</v>
      </c>
      <c r="AU389" s="206">
        <f ca="1">AU469</f>
        <v>1770.8548983450423</v>
      </c>
      <c r="AV389" s="15">
        <f t="shared" ref="AV389:AY389" ca="1" si="949">AV469</f>
        <v>2187.0770157882148</v>
      </c>
      <c r="AW389" s="15">
        <f t="shared" ca="1" si="949"/>
        <v>2379.9095238702821</v>
      </c>
      <c r="AX389" s="15">
        <f t="shared" ca="1" si="949"/>
        <v>2354.525463867667</v>
      </c>
      <c r="AY389" s="15">
        <f t="shared" ca="1" si="949"/>
        <v>2862.8266733481046</v>
      </c>
      <c r="AZ389" s="206">
        <f ca="1">AZ469</f>
        <v>2862.826673348105</v>
      </c>
    </row>
    <row r="390" spans="2:52">
      <c r="B390" s="5" t="s">
        <v>82</v>
      </c>
      <c r="C390" t="s">
        <v>107</v>
      </c>
      <c r="E390" s="14"/>
      <c r="F390" s="14"/>
      <c r="G390" s="14"/>
      <c r="H390" s="15"/>
      <c r="I390" s="15"/>
      <c r="J390" s="15"/>
      <c r="K390" s="15"/>
      <c r="L390" s="14"/>
      <c r="M390" s="15"/>
      <c r="N390" s="15"/>
      <c r="O390" s="585">
        <v>1196</v>
      </c>
      <c r="P390" s="585">
        <v>1150</v>
      </c>
      <c r="Q390" s="586">
        <v>1150</v>
      </c>
      <c r="R390" s="585">
        <v>1016</v>
      </c>
      <c r="S390" s="585">
        <v>1068</v>
      </c>
      <c r="T390" s="585">
        <v>1090</v>
      </c>
      <c r="U390" s="585">
        <v>1115</v>
      </c>
      <c r="V390" s="586">
        <v>1115</v>
      </c>
      <c r="W390" s="585">
        <v>1037</v>
      </c>
      <c r="X390" s="585">
        <v>1010</v>
      </c>
      <c r="Y390" s="585">
        <v>1051</v>
      </c>
      <c r="Z390" s="585">
        <v>1048</v>
      </c>
      <c r="AA390" s="586">
        <v>1048</v>
      </c>
      <c r="AB390" s="585">
        <v>1065</v>
      </c>
      <c r="AC390" s="585">
        <v>1075</v>
      </c>
      <c r="AD390" s="585">
        <v>1138</v>
      </c>
      <c r="AE390" s="585">
        <v>1148</v>
      </c>
      <c r="AF390" s="586">
        <v>1148</v>
      </c>
      <c r="AG390" s="585">
        <v>1214</v>
      </c>
      <c r="AH390" s="585">
        <v>1326</v>
      </c>
      <c r="AI390" s="585">
        <v>1472</v>
      </c>
      <c r="AJ390" s="585">
        <v>1484</v>
      </c>
      <c r="AK390" s="586">
        <v>1484</v>
      </c>
      <c r="AL390" s="585">
        <v>1451</v>
      </c>
      <c r="AM390" s="585">
        <v>1311</v>
      </c>
      <c r="AN390" s="15">
        <f>AN429*AN148/qdays</f>
        <v>1293.35816168622</v>
      </c>
      <c r="AO390" s="15">
        <f>AO429*AO148/qdays</f>
        <v>1334.7108949256608</v>
      </c>
      <c r="AP390" s="206">
        <f>AO390</f>
        <v>1334.7108949256608</v>
      </c>
      <c r="AQ390" s="15">
        <f>AQ429*AQ148/qdays</f>
        <v>1164.6533540620173</v>
      </c>
      <c r="AR390" s="15">
        <f>AR429*AR148/qdays</f>
        <v>1326.6083041465072</v>
      </c>
      <c r="AS390" s="15">
        <f>AS429*AS148/qdays</f>
        <v>1318.4593949451246</v>
      </c>
      <c r="AT390" s="15">
        <f>AT429*AT148/qdays</f>
        <v>1356.1463775241214</v>
      </c>
      <c r="AU390" s="206">
        <f>AT390</f>
        <v>1356.1463775241214</v>
      </c>
      <c r="AV390" s="15">
        <f>AV429*AV148/qdays</f>
        <v>1188.2456039328258</v>
      </c>
      <c r="AW390" s="15">
        <f>AW429*AW148/qdays</f>
        <v>1354.498145685397</v>
      </c>
      <c r="AX390" s="15">
        <f>AX429*AX148/qdays</f>
        <v>1345.8357498597597</v>
      </c>
      <c r="AY390" s="15">
        <f>AY429*AY148/qdays</f>
        <v>1380.9391101219496</v>
      </c>
      <c r="AZ390" s="206">
        <f>AY390</f>
        <v>1380.9391101219496</v>
      </c>
    </row>
    <row r="391" spans="2:52">
      <c r="B391" s="5" t="s">
        <v>83</v>
      </c>
      <c r="C391" t="s">
        <v>108</v>
      </c>
      <c r="E391" s="14"/>
      <c r="F391" s="14"/>
      <c r="G391" s="14"/>
      <c r="H391" s="15"/>
      <c r="I391" s="15"/>
      <c r="J391" s="15"/>
      <c r="K391" s="15"/>
      <c r="L391" s="14"/>
      <c r="M391" s="15"/>
      <c r="N391" s="15"/>
      <c r="O391" s="585">
        <v>720</v>
      </c>
      <c r="P391" s="585">
        <v>626</v>
      </c>
      <c r="Q391" s="586">
        <v>626</v>
      </c>
      <c r="R391" s="585">
        <v>663</v>
      </c>
      <c r="S391" s="585">
        <v>686</v>
      </c>
      <c r="T391" s="585">
        <v>751</v>
      </c>
      <c r="U391" s="585">
        <v>654</v>
      </c>
      <c r="V391" s="586">
        <v>654</v>
      </c>
      <c r="W391" s="585">
        <v>682</v>
      </c>
      <c r="X391" s="585">
        <v>747</v>
      </c>
      <c r="Y391" s="585">
        <v>824</v>
      </c>
      <c r="Z391" s="585">
        <v>762</v>
      </c>
      <c r="AA391" s="586">
        <v>762</v>
      </c>
      <c r="AB391" s="585">
        <v>841</v>
      </c>
      <c r="AC391" s="585">
        <v>897</v>
      </c>
      <c r="AD391" s="585">
        <v>972</v>
      </c>
      <c r="AE391" s="585">
        <v>894</v>
      </c>
      <c r="AF391" s="586">
        <v>894</v>
      </c>
      <c r="AG391" s="585">
        <v>1045</v>
      </c>
      <c r="AH391" s="585">
        <v>1239</v>
      </c>
      <c r="AI391" s="585">
        <v>1438</v>
      </c>
      <c r="AJ391" s="585">
        <v>1314</v>
      </c>
      <c r="AK391" s="586">
        <v>1314</v>
      </c>
      <c r="AL391" s="585">
        <v>1391</v>
      </c>
      <c r="AM391" s="585">
        <v>1384</v>
      </c>
      <c r="AN391" s="15">
        <f>AN430*AN151/qdays</f>
        <v>1353.1695423024742</v>
      </c>
      <c r="AO391" s="15">
        <f>AO430*AO151/qdays</f>
        <v>1385.3466219201007</v>
      </c>
      <c r="AP391" s="206">
        <f>AO391</f>
        <v>1385.3466219201007</v>
      </c>
      <c r="AQ391" s="15">
        <f>AQ430*AQ151/qdays</f>
        <v>1295.9099354232171</v>
      </c>
      <c r="AR391" s="15">
        <f>AR430*AR151/qdays</f>
        <v>1417.1160937968471</v>
      </c>
      <c r="AS391" s="15">
        <f>AS430*AS151/qdays</f>
        <v>1396.6201136045197</v>
      </c>
      <c r="AT391" s="15">
        <f>AT430*AT151/qdays</f>
        <v>1425.8276516526992</v>
      </c>
      <c r="AU391" s="206">
        <f>AT391</f>
        <v>1425.8276516526992</v>
      </c>
      <c r="AV391" s="15">
        <f>AV430*AV151/qdays</f>
        <v>1339.4526802469322</v>
      </c>
      <c r="AW391" s="15">
        <f>AW430*AW151/qdays</f>
        <v>1465.46050825304</v>
      </c>
      <c r="AX391" s="15">
        <f>AX430*AX151/qdays</f>
        <v>1443.5190478698839</v>
      </c>
      <c r="AY391" s="15">
        <f>AY430*AY151/qdays</f>
        <v>1471.6158175373394</v>
      </c>
      <c r="AZ391" s="206">
        <f>AY391</f>
        <v>1471.6158175373394</v>
      </c>
    </row>
    <row r="392" spans="2:52">
      <c r="B392" s="5" t="s">
        <v>84</v>
      </c>
      <c r="C392" t="s">
        <v>109</v>
      </c>
      <c r="E392" s="14"/>
      <c r="F392" s="14"/>
      <c r="G392" s="14"/>
      <c r="H392" s="15"/>
      <c r="I392" s="15"/>
      <c r="J392" s="15"/>
      <c r="K392" s="15"/>
      <c r="L392" s="14"/>
      <c r="M392" s="15"/>
      <c r="N392" s="15"/>
      <c r="O392" s="585">
        <v>357</v>
      </c>
      <c r="P392" s="585">
        <v>254</v>
      </c>
      <c r="Q392" s="586">
        <v>254</v>
      </c>
      <c r="R392" s="585">
        <v>354</v>
      </c>
      <c r="S392" s="585">
        <v>317</v>
      </c>
      <c r="T392" s="585">
        <v>326</v>
      </c>
      <c r="U392" s="585">
        <v>403</v>
      </c>
      <c r="V392" s="586">
        <v>403</v>
      </c>
      <c r="W392" s="585">
        <v>335</v>
      </c>
      <c r="X392" s="585">
        <v>306</v>
      </c>
      <c r="Y392" s="585">
        <v>323</v>
      </c>
      <c r="Z392" s="585">
        <v>323</v>
      </c>
      <c r="AA392" s="586">
        <v>323</v>
      </c>
      <c r="AB392" s="585">
        <v>410</v>
      </c>
      <c r="AC392" s="585">
        <v>474</v>
      </c>
      <c r="AD392" s="585">
        <v>490</v>
      </c>
      <c r="AE392" s="585">
        <v>447</v>
      </c>
      <c r="AF392" s="586">
        <v>447</v>
      </c>
      <c r="AG392" s="585">
        <v>637</v>
      </c>
      <c r="AH392" s="585">
        <v>652</v>
      </c>
      <c r="AI392" s="585">
        <v>487</v>
      </c>
      <c r="AJ392" s="585">
        <v>471</v>
      </c>
      <c r="AK392" s="586">
        <v>471</v>
      </c>
      <c r="AL392" s="585">
        <v>540</v>
      </c>
      <c r="AM392" s="585">
        <v>597</v>
      </c>
      <c r="AN392" s="15">
        <f>AM392</f>
        <v>597</v>
      </c>
      <c r="AO392" s="15">
        <f t="shared" ref="AO392:AZ392" si="950">AN392</f>
        <v>597</v>
      </c>
      <c r="AP392" s="206">
        <f t="shared" si="950"/>
        <v>597</v>
      </c>
      <c r="AQ392" s="15">
        <f t="shared" si="950"/>
        <v>597</v>
      </c>
      <c r="AR392" s="15">
        <f t="shared" si="950"/>
        <v>597</v>
      </c>
      <c r="AS392" s="15">
        <f t="shared" si="950"/>
        <v>597</v>
      </c>
      <c r="AT392" s="15">
        <f t="shared" si="950"/>
        <v>597</v>
      </c>
      <c r="AU392" s="206">
        <f t="shared" si="950"/>
        <v>597</v>
      </c>
      <c r="AV392" s="268">
        <f t="shared" si="950"/>
        <v>597</v>
      </c>
      <c r="AW392" s="268">
        <f t="shared" si="950"/>
        <v>597</v>
      </c>
      <c r="AX392" s="268">
        <f t="shared" si="950"/>
        <v>597</v>
      </c>
      <c r="AY392" s="268">
        <f t="shared" si="950"/>
        <v>597</v>
      </c>
      <c r="AZ392" s="206">
        <f t="shared" si="950"/>
        <v>597</v>
      </c>
    </row>
    <row r="393" spans="2:52">
      <c r="B393" s="3" t="s">
        <v>85</v>
      </c>
      <c r="C393" t="s">
        <v>110</v>
      </c>
      <c r="E393" s="14"/>
      <c r="F393" s="14"/>
      <c r="G393" s="14"/>
      <c r="H393" s="15"/>
      <c r="I393" s="15"/>
      <c r="J393" s="15"/>
      <c r="K393" s="15"/>
      <c r="L393" s="14"/>
      <c r="M393" s="15"/>
      <c r="N393" s="15"/>
      <c r="O393" s="585">
        <f>SUM(O389:O392)</f>
        <v>2385</v>
      </c>
      <c r="P393" s="585">
        <f t="shared" ref="P393:AM393" si="951">SUM(P389:P392)</f>
        <v>2159</v>
      </c>
      <c r="Q393" s="586">
        <f t="shared" si="951"/>
        <v>2159</v>
      </c>
      <c r="R393" s="585">
        <f t="shared" si="951"/>
        <v>2162</v>
      </c>
      <c r="S393" s="585">
        <f t="shared" si="951"/>
        <v>2221</v>
      </c>
      <c r="T393" s="585">
        <f t="shared" si="951"/>
        <v>2269</v>
      </c>
      <c r="U393" s="585">
        <f t="shared" si="951"/>
        <v>2273</v>
      </c>
      <c r="V393" s="586">
        <f t="shared" si="951"/>
        <v>2273</v>
      </c>
      <c r="W393" s="585">
        <f t="shared" si="951"/>
        <v>2277</v>
      </c>
      <c r="X393" s="585">
        <f t="shared" si="951"/>
        <v>2240</v>
      </c>
      <c r="Y393" s="585">
        <f t="shared" si="951"/>
        <v>2416</v>
      </c>
      <c r="Z393" s="585">
        <f t="shared" si="951"/>
        <v>2388</v>
      </c>
      <c r="AA393" s="586">
        <f t="shared" si="951"/>
        <v>2388</v>
      </c>
      <c r="AB393" s="585">
        <f t="shared" si="951"/>
        <v>2665</v>
      </c>
      <c r="AC393" s="585">
        <f t="shared" si="951"/>
        <v>2616</v>
      </c>
      <c r="AD393" s="585">
        <f t="shared" si="951"/>
        <v>2803</v>
      </c>
      <c r="AE393" s="585">
        <f t="shared" si="951"/>
        <v>3057</v>
      </c>
      <c r="AF393" s="586">
        <f t="shared" si="951"/>
        <v>3057</v>
      </c>
      <c r="AG393" s="585">
        <f t="shared" si="951"/>
        <v>3490</v>
      </c>
      <c r="AH393" s="585">
        <f t="shared" si="951"/>
        <v>3771</v>
      </c>
      <c r="AI393" s="585">
        <f t="shared" si="951"/>
        <v>4325</v>
      </c>
      <c r="AJ393" s="585">
        <f t="shared" si="951"/>
        <v>3804</v>
      </c>
      <c r="AK393" s="586">
        <f t="shared" si="951"/>
        <v>3804</v>
      </c>
      <c r="AL393" s="585">
        <f t="shared" si="951"/>
        <v>3586</v>
      </c>
      <c r="AM393" s="585">
        <f t="shared" si="951"/>
        <v>3570</v>
      </c>
      <c r="AN393" s="15">
        <f ca="1">SUM(AN389:AN392)</f>
        <v>4028.4646972362898</v>
      </c>
      <c r="AO393" s="15">
        <f t="shared" ref="AO393:AZ393" ca="1" si="952">SUM(AO389:AO392)</f>
        <v>4604.7251805635942</v>
      </c>
      <c r="AP393" s="206">
        <f t="shared" ca="1" si="952"/>
        <v>4604.7251805635942</v>
      </c>
      <c r="AQ393" s="15">
        <f t="shared" ca="1" si="952"/>
        <v>3622.3913427479342</v>
      </c>
      <c r="AR393" s="15">
        <f t="shared" ca="1" si="952"/>
        <v>4106.7851768551218</v>
      </c>
      <c r="AS393" s="15">
        <f t="shared" ca="1" si="952"/>
        <v>4573.9254938702188</v>
      </c>
      <c r="AT393" s="15">
        <f t="shared" ca="1" si="952"/>
        <v>5145.4876282028854</v>
      </c>
      <c r="AU393" s="206">
        <f t="shared" ca="1" si="952"/>
        <v>5145.4876282028854</v>
      </c>
      <c r="AV393" s="268">
        <f t="shared" ca="1" si="952"/>
        <v>5311.7752999679724</v>
      </c>
      <c r="AW393" s="268">
        <f t="shared" ca="1" si="952"/>
        <v>5796.8681778087193</v>
      </c>
      <c r="AX393" s="268">
        <f t="shared" ca="1" si="952"/>
        <v>5736.5743479909288</v>
      </c>
      <c r="AY393" s="268">
        <f t="shared" ca="1" si="952"/>
        <v>6308.2207023150777</v>
      </c>
      <c r="AZ393" s="206">
        <f t="shared" ca="1" si="952"/>
        <v>6308.2207023150786</v>
      </c>
    </row>
    <row r="394" spans="2:52">
      <c r="B394" s="3" t="s">
        <v>94</v>
      </c>
      <c r="E394" s="14"/>
      <c r="F394" s="14"/>
      <c r="G394" s="14"/>
      <c r="H394" s="15"/>
      <c r="I394" s="15"/>
      <c r="J394" s="15"/>
      <c r="K394" s="15"/>
      <c r="L394" s="14"/>
      <c r="M394" s="15"/>
      <c r="N394" s="15"/>
      <c r="O394" s="585"/>
      <c r="P394" s="585"/>
      <c r="Q394" s="586"/>
      <c r="R394" s="585"/>
      <c r="S394" s="585"/>
      <c r="T394" s="585"/>
      <c r="U394" s="585"/>
      <c r="V394" s="586"/>
      <c r="W394" s="585"/>
      <c r="X394" s="585"/>
      <c r="Y394" s="585"/>
      <c r="Z394" s="585"/>
      <c r="AA394" s="586"/>
      <c r="AB394" s="585"/>
      <c r="AC394" s="585"/>
      <c r="AD394" s="585"/>
      <c r="AE394" s="585"/>
      <c r="AF394" s="586"/>
      <c r="AG394" s="585"/>
      <c r="AH394" s="585"/>
      <c r="AI394" s="585"/>
      <c r="AJ394" s="585"/>
      <c r="AK394" s="586"/>
      <c r="AL394" s="585"/>
      <c r="AM394" s="585"/>
      <c r="AP394" s="199"/>
      <c r="AU394" s="199"/>
      <c r="AV394" s="83"/>
      <c r="AW394" s="83"/>
      <c r="AX394" s="83"/>
      <c r="AY394" s="83"/>
      <c r="AZ394" s="199"/>
    </row>
    <row r="395" spans="2:52">
      <c r="B395" s="5" t="s">
        <v>92</v>
      </c>
      <c r="C395" t="s">
        <v>111</v>
      </c>
      <c r="E395" s="14"/>
      <c r="F395" s="14"/>
      <c r="G395" s="14"/>
      <c r="H395" s="15"/>
      <c r="I395" s="15"/>
      <c r="J395" s="15"/>
      <c r="K395" s="15"/>
      <c r="L395" s="14"/>
      <c r="M395" s="15"/>
      <c r="N395" s="15"/>
      <c r="O395" s="585">
        <v>2345</v>
      </c>
      <c r="P395" s="585">
        <v>2310</v>
      </c>
      <c r="Q395" s="586">
        <v>2310</v>
      </c>
      <c r="R395" s="585">
        <v>2282</v>
      </c>
      <c r="S395" s="585">
        <v>2290</v>
      </c>
      <c r="T395" s="585">
        <v>2236</v>
      </c>
      <c r="U395" s="585">
        <v>2028</v>
      </c>
      <c r="V395" s="586">
        <v>2028</v>
      </c>
      <c r="W395" s="585">
        <v>2017</v>
      </c>
      <c r="X395" s="585">
        <v>2071</v>
      </c>
      <c r="Y395" s="585">
        <v>2092</v>
      </c>
      <c r="Z395" s="585">
        <v>2212</v>
      </c>
      <c r="AA395" s="586">
        <v>2212</v>
      </c>
      <c r="AB395" s="585">
        <v>2261</v>
      </c>
      <c r="AC395" s="585">
        <v>2420</v>
      </c>
      <c r="AD395" s="585">
        <v>2425</v>
      </c>
      <c r="AE395" s="585">
        <v>2494</v>
      </c>
      <c r="AF395" s="586">
        <v>2494</v>
      </c>
      <c r="AG395" s="585">
        <v>2436</v>
      </c>
      <c r="AH395" s="585">
        <v>2446</v>
      </c>
      <c r="AI395" s="585">
        <v>2483</v>
      </c>
      <c r="AJ395" s="585">
        <v>2491</v>
      </c>
      <c r="AK395" s="586">
        <v>2491</v>
      </c>
      <c r="AL395" s="585">
        <v>2480</v>
      </c>
      <c r="AM395" s="585">
        <v>2489</v>
      </c>
      <c r="AN395" s="15">
        <f>AM395-AN439-AN452</f>
        <v>2489</v>
      </c>
      <c r="AO395" s="15">
        <f>AN395-AO439-AO452</f>
        <v>2489</v>
      </c>
      <c r="AP395" s="206">
        <f>AO395</f>
        <v>2489</v>
      </c>
      <c r="AQ395" s="15">
        <f>AO395-AQ439-AQ452</f>
        <v>2489</v>
      </c>
      <c r="AR395" s="15">
        <f>AQ395-AR439-AR452</f>
        <v>2489</v>
      </c>
      <c r="AS395" s="15">
        <f>AR395-AS439-AS452</f>
        <v>2489</v>
      </c>
      <c r="AT395" s="15">
        <f>AS395-AT439-AT452</f>
        <v>2489</v>
      </c>
      <c r="AU395" s="206">
        <f>AT395</f>
        <v>2489</v>
      </c>
      <c r="AV395" s="15">
        <f>AT395-AV439-AV452</f>
        <v>2489</v>
      </c>
      <c r="AW395" s="15">
        <f>AV395-AW439-AW452</f>
        <v>2489</v>
      </c>
      <c r="AX395" s="15">
        <f>AW395-AX439-AX452</f>
        <v>2489</v>
      </c>
      <c r="AY395" s="15">
        <f>AX395-AY439-AY452</f>
        <v>2489</v>
      </c>
      <c r="AZ395" s="206">
        <f>AY395</f>
        <v>2489</v>
      </c>
    </row>
    <row r="396" spans="2:52">
      <c r="B396" s="5" t="s">
        <v>93</v>
      </c>
      <c r="C396" t="s">
        <v>112</v>
      </c>
      <c r="E396" s="14"/>
      <c r="F396" s="14"/>
      <c r="G396" s="14"/>
      <c r="H396" s="15"/>
      <c r="I396" s="15"/>
      <c r="J396" s="15"/>
      <c r="K396" s="15"/>
      <c r="L396" s="14"/>
      <c r="M396" s="15"/>
      <c r="N396" s="15"/>
      <c r="O396" s="585">
        <v>43727</v>
      </c>
      <c r="P396" s="585">
        <v>43978</v>
      </c>
      <c r="Q396" s="586">
        <v>43978</v>
      </c>
      <c r="R396" s="585">
        <v>44065</v>
      </c>
      <c r="S396" s="585">
        <v>44267</v>
      </c>
      <c r="T396" s="585">
        <v>44143</v>
      </c>
      <c r="U396" s="585">
        <v>44289</v>
      </c>
      <c r="V396" s="586">
        <v>44289</v>
      </c>
      <c r="W396" s="585">
        <v>43604</v>
      </c>
      <c r="X396" s="585">
        <v>43753</v>
      </c>
      <c r="Y396" s="585">
        <v>43863</v>
      </c>
      <c r="Z396" s="585">
        <v>44152</v>
      </c>
      <c r="AA396" s="586">
        <v>44152</v>
      </c>
      <c r="AB396" s="585">
        <v>44158</v>
      </c>
      <c r="AC396" s="585">
        <v>44255</v>
      </c>
      <c r="AD396" s="585">
        <v>44076</v>
      </c>
      <c r="AE396" s="585">
        <v>44038</v>
      </c>
      <c r="AF396" s="586">
        <v>44038</v>
      </c>
      <c r="AG396" s="585">
        <v>44132</v>
      </c>
      <c r="AH396" s="585">
        <v>43937</v>
      </c>
      <c r="AI396" s="585">
        <v>43323</v>
      </c>
      <c r="AJ396" s="585">
        <v>43255</v>
      </c>
      <c r="AK396" s="586">
        <v>43255</v>
      </c>
      <c r="AL396" s="585">
        <v>43390</v>
      </c>
      <c r="AM396" s="585">
        <v>43538</v>
      </c>
      <c r="AN396" s="15">
        <f>AM396-AN441</f>
        <v>43450.923999999999</v>
      </c>
      <c r="AO396" s="15">
        <f>AN396-AO441</f>
        <v>43364.022151999998</v>
      </c>
      <c r="AP396" s="206">
        <f>AO396</f>
        <v>43364.022151999998</v>
      </c>
      <c r="AQ396" s="15">
        <f t="shared" ref="AQ396:AT396" si="953">AP396-AQ441</f>
        <v>43277.294107695998</v>
      </c>
      <c r="AR396" s="15">
        <f t="shared" si="953"/>
        <v>43190.739519480609</v>
      </c>
      <c r="AS396" s="15">
        <f t="shared" si="953"/>
        <v>43104.35804044165</v>
      </c>
      <c r="AT396" s="15">
        <f t="shared" si="953"/>
        <v>43018.149324360769</v>
      </c>
      <c r="AU396" s="206">
        <f>AT396</f>
        <v>43018.149324360769</v>
      </c>
      <c r="AV396" s="15">
        <f t="shared" ref="AV396:AY396" si="954">AU396-AV441</f>
        <v>42932.113025712046</v>
      </c>
      <c r="AW396" s="15">
        <f t="shared" si="954"/>
        <v>42846.248799660621</v>
      </c>
      <c r="AX396" s="15">
        <f t="shared" si="954"/>
        <v>42760.556302061297</v>
      </c>
      <c r="AY396" s="15">
        <f t="shared" si="954"/>
        <v>42675.035189457172</v>
      </c>
      <c r="AZ396" s="206">
        <f>AY396</f>
        <v>42675.035189457172</v>
      </c>
    </row>
    <row r="397" spans="2:52">
      <c r="B397" s="5" t="s">
        <v>588</v>
      </c>
      <c r="C397" t="s">
        <v>113</v>
      </c>
      <c r="E397" s="14"/>
      <c r="F397" s="14"/>
      <c r="G397" s="14"/>
      <c r="H397" s="15"/>
      <c r="I397" s="15"/>
      <c r="J397" s="15"/>
      <c r="K397" s="15"/>
      <c r="L397" s="14"/>
      <c r="M397" s="15"/>
      <c r="N397" s="15"/>
      <c r="O397" s="585">
        <v>601</v>
      </c>
      <c r="P397" s="585">
        <v>471</v>
      </c>
      <c r="Q397" s="586">
        <v>471</v>
      </c>
      <c r="R397" s="585">
        <v>782</v>
      </c>
      <c r="S397" s="585">
        <v>769</v>
      </c>
      <c r="T397" s="585">
        <v>752</v>
      </c>
      <c r="U397" s="585">
        <v>928</v>
      </c>
      <c r="V397" s="586">
        <v>928</v>
      </c>
      <c r="W397" s="585">
        <v>945</v>
      </c>
      <c r="X397" s="585">
        <v>962</v>
      </c>
      <c r="Y397" s="585">
        <v>1010</v>
      </c>
      <c r="Z397" s="585">
        <v>1027</v>
      </c>
      <c r="AA397" s="586">
        <v>1027</v>
      </c>
      <c r="AB397" s="585">
        <v>1319</v>
      </c>
      <c r="AC397" s="585">
        <v>1053</v>
      </c>
      <c r="AD397" s="585">
        <v>1026</v>
      </c>
      <c r="AE397" s="585">
        <v>1009</v>
      </c>
      <c r="AF397" s="586">
        <v>1009</v>
      </c>
      <c r="AG397" s="585">
        <v>1186</v>
      </c>
      <c r="AH397" s="585">
        <v>1274</v>
      </c>
      <c r="AI397" s="585">
        <v>1309</v>
      </c>
      <c r="AJ397" s="585">
        <v>2287</v>
      </c>
      <c r="AK397" s="586">
        <v>2287</v>
      </c>
      <c r="AL397" s="585">
        <v>2204</v>
      </c>
      <c r="AM397" s="585">
        <v>2204</v>
      </c>
      <c r="AN397" s="15">
        <f>AM397</f>
        <v>2204</v>
      </c>
      <c r="AO397" s="15">
        <f t="shared" ref="AO397:AZ397" si="955">AN397</f>
        <v>2204</v>
      </c>
      <c r="AP397" s="206">
        <f t="shared" si="955"/>
        <v>2204</v>
      </c>
      <c r="AQ397" s="15">
        <f t="shared" si="955"/>
        <v>2204</v>
      </c>
      <c r="AR397" s="15">
        <f t="shared" si="955"/>
        <v>2204</v>
      </c>
      <c r="AS397" s="15">
        <f t="shared" si="955"/>
        <v>2204</v>
      </c>
      <c r="AT397" s="15">
        <f t="shared" si="955"/>
        <v>2204</v>
      </c>
      <c r="AU397" s="206">
        <f t="shared" si="955"/>
        <v>2204</v>
      </c>
      <c r="AV397" s="268">
        <f t="shared" si="955"/>
        <v>2204</v>
      </c>
      <c r="AW397" s="268">
        <f t="shared" si="955"/>
        <v>2204</v>
      </c>
      <c r="AX397" s="268">
        <f t="shared" si="955"/>
        <v>2204</v>
      </c>
      <c r="AY397" s="268">
        <f t="shared" si="955"/>
        <v>2204</v>
      </c>
      <c r="AZ397" s="206">
        <f t="shared" si="955"/>
        <v>2204</v>
      </c>
    </row>
    <row r="398" spans="2:52">
      <c r="B398" s="10" t="s">
        <v>114</v>
      </c>
      <c r="C398" t="s">
        <v>114</v>
      </c>
      <c r="E398" s="14"/>
      <c r="F398" s="14"/>
      <c r="G398" s="14"/>
      <c r="H398" s="15"/>
      <c r="I398" s="15"/>
      <c r="J398" s="15"/>
      <c r="K398" s="15"/>
      <c r="L398" s="14"/>
      <c r="M398" s="15"/>
      <c r="N398" s="15"/>
      <c r="O398" s="585">
        <f>SUM(O393:O397)</f>
        <v>49058</v>
      </c>
      <c r="P398" s="585">
        <f t="shared" ref="P398:AM398" si="956">SUM(P393:P397)</f>
        <v>48918</v>
      </c>
      <c r="Q398" s="586">
        <f t="shared" si="956"/>
        <v>48918</v>
      </c>
      <c r="R398" s="585">
        <f t="shared" si="956"/>
        <v>49291</v>
      </c>
      <c r="S398" s="585">
        <f t="shared" si="956"/>
        <v>49547</v>
      </c>
      <c r="T398" s="585">
        <f t="shared" si="956"/>
        <v>49400</v>
      </c>
      <c r="U398" s="585">
        <f t="shared" si="956"/>
        <v>49518</v>
      </c>
      <c r="V398" s="586">
        <f t="shared" si="956"/>
        <v>49518</v>
      </c>
      <c r="W398" s="585">
        <f t="shared" si="956"/>
        <v>48843</v>
      </c>
      <c r="X398" s="585">
        <f t="shared" si="956"/>
        <v>49026</v>
      </c>
      <c r="Y398" s="585">
        <f t="shared" si="956"/>
        <v>49381</v>
      </c>
      <c r="Z398" s="585">
        <f t="shared" si="956"/>
        <v>49779</v>
      </c>
      <c r="AA398" s="586">
        <f t="shared" si="956"/>
        <v>49779</v>
      </c>
      <c r="AB398" s="585">
        <f t="shared" si="956"/>
        <v>50403</v>
      </c>
      <c r="AC398" s="585">
        <f t="shared" si="956"/>
        <v>50344</v>
      </c>
      <c r="AD398" s="585">
        <f t="shared" si="956"/>
        <v>50330</v>
      </c>
      <c r="AE398" s="585">
        <f t="shared" si="956"/>
        <v>50598</v>
      </c>
      <c r="AF398" s="586">
        <f t="shared" si="956"/>
        <v>50598</v>
      </c>
      <c r="AG398" s="585">
        <f t="shared" si="956"/>
        <v>51244</v>
      </c>
      <c r="AH398" s="585">
        <f t="shared" si="956"/>
        <v>51428</v>
      </c>
      <c r="AI398" s="585">
        <f t="shared" si="956"/>
        <v>51440</v>
      </c>
      <c r="AJ398" s="585">
        <f t="shared" si="956"/>
        <v>51837</v>
      </c>
      <c r="AK398" s="586">
        <f t="shared" si="956"/>
        <v>51837</v>
      </c>
      <c r="AL398" s="585">
        <f t="shared" si="956"/>
        <v>51660</v>
      </c>
      <c r="AM398" s="585">
        <f t="shared" si="956"/>
        <v>51801</v>
      </c>
      <c r="AN398" s="15">
        <f ca="1">AN393+AN395+AN396+AN397</f>
        <v>52172.388697236289</v>
      </c>
      <c r="AO398" s="15">
        <f t="shared" ref="AO398:AZ398" ca="1" si="957">AO393+AO395+AO396+AO397</f>
        <v>52661.747332563595</v>
      </c>
      <c r="AP398" s="206">
        <f t="shared" ca="1" si="957"/>
        <v>52661.747332563595</v>
      </c>
      <c r="AQ398" s="15">
        <f t="shared" ca="1" si="957"/>
        <v>51592.685450443932</v>
      </c>
      <c r="AR398" s="15">
        <f t="shared" ca="1" si="957"/>
        <v>51990.524696335728</v>
      </c>
      <c r="AS398" s="15">
        <f t="shared" ca="1" si="957"/>
        <v>52371.283534311871</v>
      </c>
      <c r="AT398" s="15">
        <f t="shared" ca="1" si="957"/>
        <v>52856.636952563655</v>
      </c>
      <c r="AU398" s="206">
        <f t="shared" ca="1" si="957"/>
        <v>52856.636952563655</v>
      </c>
      <c r="AV398" s="268">
        <f t="shared" ca="1" si="957"/>
        <v>52936.888325680018</v>
      </c>
      <c r="AW398" s="268">
        <f t="shared" ca="1" si="957"/>
        <v>53336.116977469341</v>
      </c>
      <c r="AX398" s="268">
        <f t="shared" ca="1" si="957"/>
        <v>53190.130650052226</v>
      </c>
      <c r="AY398" s="268">
        <f t="shared" ca="1" si="957"/>
        <v>53676.255891772249</v>
      </c>
      <c r="AZ398" s="206">
        <f t="shared" ca="1" si="957"/>
        <v>53676.255891772249</v>
      </c>
    </row>
    <row r="399" spans="2:52">
      <c r="E399" s="14"/>
      <c r="F399" s="14"/>
      <c r="G399" s="14"/>
      <c r="H399" s="15"/>
      <c r="I399" s="15"/>
      <c r="J399" s="15"/>
      <c r="K399" s="15"/>
      <c r="L399" s="14"/>
      <c r="M399" s="15"/>
      <c r="N399" s="15"/>
      <c r="O399" s="585"/>
      <c r="P399" s="585"/>
      <c r="Q399" s="586"/>
      <c r="R399" s="585"/>
      <c r="S399" s="585"/>
      <c r="T399" s="585"/>
      <c r="U399" s="585"/>
      <c r="V399" s="586"/>
      <c r="W399" s="585"/>
      <c r="X399" s="585"/>
      <c r="Y399" s="585"/>
      <c r="Z399" s="585"/>
      <c r="AA399" s="586"/>
      <c r="AB399" s="585"/>
      <c r="AC399" s="585"/>
      <c r="AD399" s="585"/>
      <c r="AE399" s="585"/>
      <c r="AF399" s="586"/>
      <c r="AG399" s="585"/>
      <c r="AH399" s="585"/>
      <c r="AI399" s="585"/>
      <c r="AJ399" s="585"/>
      <c r="AK399" s="586"/>
      <c r="AL399" s="585"/>
      <c r="AM399" s="585"/>
      <c r="AP399" s="199"/>
      <c r="AU399" s="199"/>
      <c r="AV399" s="83"/>
      <c r="AW399" s="83"/>
      <c r="AX399" s="83"/>
      <c r="AY399" s="83"/>
      <c r="AZ399" s="199"/>
    </row>
    <row r="400" spans="2:52">
      <c r="B400" s="10" t="s">
        <v>159</v>
      </c>
      <c r="E400" s="14"/>
      <c r="F400" s="14"/>
      <c r="G400" s="14"/>
      <c r="H400" s="15"/>
      <c r="I400" s="15"/>
      <c r="J400" s="15"/>
      <c r="K400" s="15"/>
      <c r="L400" s="14"/>
      <c r="M400" s="15"/>
      <c r="N400" s="15"/>
      <c r="O400" s="585"/>
      <c r="P400" s="585"/>
      <c r="Q400" s="586"/>
      <c r="R400" s="585"/>
      <c r="S400" s="585"/>
      <c r="T400" s="585"/>
      <c r="U400" s="585"/>
      <c r="V400" s="586"/>
      <c r="W400" s="585"/>
      <c r="X400" s="585"/>
      <c r="Y400" s="585"/>
      <c r="Z400" s="585"/>
      <c r="AA400" s="586"/>
      <c r="AB400" s="585"/>
      <c r="AC400" s="585"/>
      <c r="AD400" s="585"/>
      <c r="AE400" s="585"/>
      <c r="AF400" s="586"/>
      <c r="AG400" s="585"/>
      <c r="AH400" s="585"/>
      <c r="AI400" s="585"/>
      <c r="AJ400" s="585"/>
      <c r="AK400" s="586"/>
      <c r="AL400" s="585"/>
      <c r="AM400" s="585"/>
      <c r="AP400" s="199"/>
      <c r="AU400" s="199"/>
      <c r="AV400" s="83"/>
      <c r="AW400" s="83"/>
      <c r="AX400" s="83"/>
      <c r="AY400" s="83"/>
      <c r="AZ400" s="199"/>
    </row>
    <row r="401" spans="2:52">
      <c r="B401" s="3" t="s">
        <v>160</v>
      </c>
      <c r="E401" s="14"/>
      <c r="F401" s="14"/>
      <c r="G401" s="14"/>
      <c r="H401" s="15"/>
      <c r="I401" s="15"/>
      <c r="J401" s="15"/>
      <c r="K401" s="15"/>
      <c r="L401" s="14"/>
      <c r="M401" s="15"/>
      <c r="N401" s="15"/>
      <c r="O401" s="585"/>
      <c r="P401" s="585"/>
      <c r="Q401" s="586"/>
      <c r="R401" s="585"/>
      <c r="S401" s="585"/>
      <c r="T401" s="585"/>
      <c r="U401" s="585"/>
      <c r="V401" s="586"/>
      <c r="W401" s="585"/>
      <c r="X401" s="585"/>
      <c r="Y401" s="585"/>
      <c r="Z401" s="585"/>
      <c r="AA401" s="586"/>
      <c r="AB401" s="585"/>
      <c r="AC401" s="585"/>
      <c r="AD401" s="585"/>
      <c r="AE401" s="585"/>
      <c r="AF401" s="586"/>
      <c r="AG401" s="585"/>
      <c r="AH401" s="585"/>
      <c r="AI401" s="585"/>
      <c r="AJ401" s="585"/>
      <c r="AK401" s="586"/>
      <c r="AL401" s="585"/>
      <c r="AM401" s="585"/>
      <c r="AP401" s="199"/>
      <c r="AU401" s="199"/>
      <c r="AV401" s="83"/>
      <c r="AW401" s="83"/>
      <c r="AX401" s="83"/>
      <c r="AY401" s="83"/>
      <c r="AZ401" s="199"/>
    </row>
    <row r="402" spans="2:52">
      <c r="B402" s="5" t="s">
        <v>87</v>
      </c>
      <c r="C402" t="s">
        <v>115</v>
      </c>
      <c r="E402" s="14"/>
      <c r="F402" s="14"/>
      <c r="G402" s="14"/>
      <c r="H402" s="15"/>
      <c r="I402" s="15"/>
      <c r="J402" s="15"/>
      <c r="K402" s="15"/>
      <c r="L402" s="14"/>
      <c r="M402" s="15"/>
      <c r="N402" s="15"/>
      <c r="O402" s="585">
        <v>1790</v>
      </c>
      <c r="P402" s="585">
        <v>1458</v>
      </c>
      <c r="Q402" s="586">
        <v>1458</v>
      </c>
      <c r="R402" s="585">
        <v>2018</v>
      </c>
      <c r="S402" s="585">
        <v>1806</v>
      </c>
      <c r="T402" s="585">
        <v>1761</v>
      </c>
      <c r="U402" s="585">
        <v>1593</v>
      </c>
      <c r="V402" s="586">
        <v>1593</v>
      </c>
      <c r="W402" s="585">
        <v>1957</v>
      </c>
      <c r="X402" s="585">
        <v>2256</v>
      </c>
      <c r="Y402" s="585">
        <v>2182</v>
      </c>
      <c r="Z402" s="585">
        <v>2345</v>
      </c>
      <c r="AA402" s="586">
        <v>2345</v>
      </c>
      <c r="AB402" s="585">
        <v>1750</v>
      </c>
      <c r="AC402" s="585">
        <v>1323</v>
      </c>
      <c r="AD402" s="585">
        <v>998</v>
      </c>
      <c r="AE402" s="585">
        <v>304</v>
      </c>
      <c r="AF402" s="586">
        <v>304</v>
      </c>
      <c r="AG402" s="585" t="s">
        <v>865</v>
      </c>
      <c r="AH402" s="585" t="s">
        <v>865</v>
      </c>
      <c r="AI402" s="585" t="s">
        <v>865</v>
      </c>
      <c r="AJ402" s="585">
        <v>895</v>
      </c>
      <c r="AK402" s="586">
        <v>895</v>
      </c>
      <c r="AL402" s="585">
        <v>2310</v>
      </c>
      <c r="AM402" s="585">
        <v>2635</v>
      </c>
      <c r="AN402" s="15">
        <f>AM402</f>
        <v>2635</v>
      </c>
      <c r="AO402" s="15">
        <f t="shared" ref="AO402:AZ402" si="958">AN402</f>
        <v>2635</v>
      </c>
      <c r="AP402" s="206">
        <f t="shared" si="958"/>
        <v>2635</v>
      </c>
      <c r="AQ402" s="15">
        <f t="shared" si="958"/>
        <v>2635</v>
      </c>
      <c r="AR402" s="15">
        <f t="shared" si="958"/>
        <v>2635</v>
      </c>
      <c r="AS402" s="15">
        <f t="shared" si="958"/>
        <v>2635</v>
      </c>
      <c r="AT402" s="15">
        <f t="shared" si="958"/>
        <v>2635</v>
      </c>
      <c r="AU402" s="206">
        <f t="shared" si="958"/>
        <v>2635</v>
      </c>
      <c r="AV402" s="268">
        <f t="shared" si="958"/>
        <v>2635</v>
      </c>
      <c r="AW402" s="268">
        <f t="shared" si="958"/>
        <v>2635</v>
      </c>
      <c r="AX402" s="268">
        <f t="shared" si="958"/>
        <v>2635</v>
      </c>
      <c r="AY402" s="268">
        <f t="shared" si="958"/>
        <v>2635</v>
      </c>
      <c r="AZ402" s="206">
        <f t="shared" si="958"/>
        <v>2635</v>
      </c>
    </row>
    <row r="403" spans="2:52">
      <c r="B403" s="5" t="s">
        <v>88</v>
      </c>
      <c r="C403" t="s">
        <v>116</v>
      </c>
      <c r="E403" s="14"/>
      <c r="F403" s="14"/>
      <c r="G403" s="14"/>
      <c r="H403" s="15"/>
      <c r="I403" s="15"/>
      <c r="J403" s="15"/>
      <c r="K403" s="15"/>
      <c r="L403" s="14"/>
      <c r="M403" s="15"/>
      <c r="N403" s="15"/>
      <c r="O403" s="585">
        <v>1663</v>
      </c>
      <c r="P403" s="585">
        <v>1538</v>
      </c>
      <c r="Q403" s="586">
        <v>1538</v>
      </c>
      <c r="R403" s="585">
        <v>1557</v>
      </c>
      <c r="S403" s="585">
        <v>1464</v>
      </c>
      <c r="T403" s="585">
        <v>1404</v>
      </c>
      <c r="U403" s="585">
        <v>1260</v>
      </c>
      <c r="V403" s="586">
        <v>1260</v>
      </c>
      <c r="W403" s="585">
        <v>1218</v>
      </c>
      <c r="X403" s="585">
        <v>1122</v>
      </c>
      <c r="Y403" s="585">
        <v>1227</v>
      </c>
      <c r="Z403" s="585">
        <v>1193</v>
      </c>
      <c r="AA403" s="586">
        <v>1193</v>
      </c>
      <c r="AB403" s="585">
        <v>1137</v>
      </c>
      <c r="AC403" s="585">
        <v>1163</v>
      </c>
      <c r="AD403" s="585">
        <v>1263</v>
      </c>
      <c r="AE403" s="585">
        <v>1252</v>
      </c>
      <c r="AF403" s="586">
        <v>1252</v>
      </c>
      <c r="AG403" s="585">
        <v>1171</v>
      </c>
      <c r="AH403" s="585">
        <v>1251</v>
      </c>
      <c r="AI403" s="585">
        <v>1274</v>
      </c>
      <c r="AJ403" s="585">
        <v>1290</v>
      </c>
      <c r="AK403" s="586">
        <v>1290</v>
      </c>
      <c r="AL403" s="585">
        <v>1183</v>
      </c>
      <c r="AM403" s="585">
        <v>1156</v>
      </c>
      <c r="AN403" s="15">
        <f>AN431*AN151/qdays</f>
        <v>1130.7307134308344</v>
      </c>
      <c r="AO403" s="15">
        <f>AO431*AO151/qdays</f>
        <v>1157.6184100976186</v>
      </c>
      <c r="AP403" s="206">
        <f>AO403</f>
        <v>1157.6184100976186</v>
      </c>
      <c r="AQ403" s="15">
        <f>AQ431*AQ151/qdays</f>
        <v>1082.8836446687155</v>
      </c>
      <c r="AR403" s="15">
        <f>AR431*AR151/qdays</f>
        <v>1184.1655030357215</v>
      </c>
      <c r="AS403" s="15">
        <f>AS431*AS151/qdays</f>
        <v>1167.0387250667904</v>
      </c>
      <c r="AT403" s="15">
        <f>AT431*AT151/qdays</f>
        <v>1191.4450239837624</v>
      </c>
      <c r="AU403" s="206">
        <f>AT403</f>
        <v>1191.4450239837624</v>
      </c>
      <c r="AV403" s="15">
        <f>AV431*AV151/qdays</f>
        <v>1119.2686780145598</v>
      </c>
      <c r="AW403" s="15">
        <f>AW431*AW151/qdays</f>
        <v>1224.5628904580196</v>
      </c>
      <c r="AX403" s="15">
        <f>AX431*AX151/qdays</f>
        <v>1206.2282454803139</v>
      </c>
      <c r="AY403" s="15">
        <f>AY431*AY151/qdays</f>
        <v>1229.7063680791466</v>
      </c>
      <c r="AZ403" s="206">
        <f>AY403</f>
        <v>1229.7063680791466</v>
      </c>
    </row>
    <row r="404" spans="2:52">
      <c r="B404" s="5" t="s">
        <v>161</v>
      </c>
      <c r="C404" t="s">
        <v>117</v>
      </c>
      <c r="E404" s="14"/>
      <c r="F404" s="14"/>
      <c r="G404" s="14"/>
      <c r="H404" s="15"/>
      <c r="I404" s="15"/>
      <c r="J404" s="15"/>
      <c r="K404" s="15"/>
      <c r="L404" s="14"/>
      <c r="M404" s="15"/>
      <c r="N404" s="15"/>
      <c r="O404" s="585">
        <v>2514</v>
      </c>
      <c r="P404" s="585">
        <v>2706</v>
      </c>
      <c r="Q404" s="586">
        <v>2706</v>
      </c>
      <c r="R404" s="585">
        <v>3081</v>
      </c>
      <c r="S404" s="585">
        <v>3425</v>
      </c>
      <c r="T404" s="585">
        <v>3385</v>
      </c>
      <c r="U404" s="585">
        <v>3621</v>
      </c>
      <c r="V404" s="586">
        <v>3621</v>
      </c>
      <c r="W404" s="585">
        <v>3683</v>
      </c>
      <c r="X404" s="585">
        <v>3920</v>
      </c>
      <c r="Y404" s="585">
        <v>3920</v>
      </c>
      <c r="Z404" s="585">
        <v>4156</v>
      </c>
      <c r="AA404" s="586">
        <v>4156</v>
      </c>
      <c r="AB404" s="585">
        <v>4338</v>
      </c>
      <c r="AC404" s="585">
        <v>4431</v>
      </c>
      <c r="AD404" s="585">
        <v>4534</v>
      </c>
      <c r="AE404" s="585">
        <v>4929</v>
      </c>
      <c r="AF404" s="586">
        <v>4929</v>
      </c>
      <c r="AG404" s="585">
        <v>5277</v>
      </c>
      <c r="AH404" s="585">
        <v>5510</v>
      </c>
      <c r="AI404" s="585">
        <v>5959</v>
      </c>
      <c r="AJ404" s="585">
        <v>5891</v>
      </c>
      <c r="AK404" s="586">
        <v>5891</v>
      </c>
      <c r="AL404" s="585">
        <v>5634</v>
      </c>
      <c r="AM404" s="585">
        <v>5265</v>
      </c>
      <c r="AN404" s="15">
        <f>AM404</f>
        <v>5265</v>
      </c>
      <c r="AO404" s="15">
        <f t="shared" ref="AO404:AZ404" si="959">AN404</f>
        <v>5265</v>
      </c>
      <c r="AP404" s="206">
        <f t="shared" si="959"/>
        <v>5265</v>
      </c>
      <c r="AQ404" s="15">
        <f t="shared" si="959"/>
        <v>5265</v>
      </c>
      <c r="AR404" s="15">
        <f t="shared" si="959"/>
        <v>5265</v>
      </c>
      <c r="AS404" s="15">
        <f t="shared" si="959"/>
        <v>5265</v>
      </c>
      <c r="AT404" s="15">
        <f t="shared" si="959"/>
        <v>5265</v>
      </c>
      <c r="AU404" s="206">
        <f t="shared" si="959"/>
        <v>5265</v>
      </c>
      <c r="AV404" s="268">
        <f t="shared" si="959"/>
        <v>5265</v>
      </c>
      <c r="AW404" s="268">
        <f t="shared" si="959"/>
        <v>5265</v>
      </c>
      <c r="AX404" s="268">
        <f t="shared" si="959"/>
        <v>5265</v>
      </c>
      <c r="AY404" s="268">
        <f t="shared" si="959"/>
        <v>5265</v>
      </c>
      <c r="AZ404" s="206">
        <f t="shared" si="959"/>
        <v>5265</v>
      </c>
    </row>
    <row r="405" spans="2:52">
      <c r="B405" s="3" t="s">
        <v>89</v>
      </c>
      <c r="E405" s="14"/>
      <c r="F405" s="14"/>
      <c r="G405" s="14"/>
      <c r="H405" s="15"/>
      <c r="I405" s="15"/>
      <c r="J405" s="15"/>
      <c r="K405" s="15"/>
      <c r="L405" s="14"/>
      <c r="M405" s="15"/>
      <c r="N405" s="15"/>
      <c r="O405" s="585"/>
      <c r="P405" s="585"/>
      <c r="Q405" s="586"/>
      <c r="R405" s="585"/>
      <c r="S405" s="585"/>
      <c r="T405" s="585"/>
      <c r="U405" s="585"/>
      <c r="V405" s="586"/>
      <c r="W405" s="585"/>
      <c r="X405" s="585"/>
      <c r="Y405" s="585"/>
      <c r="Z405" s="585"/>
      <c r="AA405" s="586"/>
      <c r="AB405" s="585"/>
      <c r="AC405" s="585"/>
      <c r="AD405" s="585"/>
      <c r="AE405" s="585"/>
      <c r="AF405" s="586"/>
      <c r="AG405" s="585"/>
      <c r="AH405" s="585"/>
      <c r="AI405" s="585"/>
      <c r="AJ405" s="585"/>
      <c r="AK405" s="586"/>
      <c r="AL405" s="585"/>
      <c r="AM405" s="585"/>
      <c r="AP405" s="199"/>
      <c r="AU405" s="199"/>
      <c r="AV405" s="83"/>
      <c r="AW405" s="83"/>
      <c r="AX405" s="83"/>
      <c r="AY405" s="83"/>
      <c r="AZ405" s="199"/>
    </row>
    <row r="406" spans="2:52">
      <c r="B406" s="3" t="s">
        <v>162</v>
      </c>
      <c r="E406" s="14"/>
      <c r="F406" s="14"/>
      <c r="G406" s="14"/>
      <c r="H406" s="15"/>
      <c r="I406" s="15"/>
      <c r="J406" s="15"/>
      <c r="K406" s="15"/>
      <c r="L406" s="14"/>
      <c r="M406" s="15"/>
      <c r="N406" s="15"/>
      <c r="O406" s="585"/>
      <c r="P406" s="585"/>
      <c r="Q406" s="586"/>
      <c r="R406" s="585"/>
      <c r="S406" s="585"/>
      <c r="T406" s="585"/>
      <c r="U406" s="585"/>
      <c r="V406" s="586"/>
      <c r="W406" s="585"/>
      <c r="X406" s="585"/>
      <c r="Y406" s="585"/>
      <c r="Z406" s="585"/>
      <c r="AA406" s="586"/>
      <c r="AB406" s="585"/>
      <c r="AC406" s="585"/>
      <c r="AD406" s="585"/>
      <c r="AE406" s="585"/>
      <c r="AF406" s="586"/>
      <c r="AG406" s="585"/>
      <c r="AH406" s="585"/>
      <c r="AI406" s="585"/>
      <c r="AJ406" s="585"/>
      <c r="AK406" s="586"/>
      <c r="AL406" s="585"/>
      <c r="AM406" s="585"/>
      <c r="AP406" s="199"/>
      <c r="AU406" s="199"/>
      <c r="AV406" s="83"/>
      <c r="AW406" s="83"/>
      <c r="AX406" s="83"/>
      <c r="AY406" s="83"/>
      <c r="AZ406" s="199"/>
    </row>
    <row r="407" spans="2:52">
      <c r="B407" s="5" t="s">
        <v>90</v>
      </c>
      <c r="C407" t="s">
        <v>118</v>
      </c>
      <c r="E407" s="14"/>
      <c r="F407" s="14"/>
      <c r="G407" s="14"/>
      <c r="H407" s="15"/>
      <c r="I407" s="15"/>
      <c r="J407" s="15"/>
      <c r="K407" s="15"/>
      <c r="L407" s="14"/>
      <c r="M407" s="15"/>
      <c r="N407" s="15"/>
      <c r="O407" s="585">
        <v>14275</v>
      </c>
      <c r="P407" s="585">
        <v>14201</v>
      </c>
      <c r="Q407" s="586">
        <v>14201</v>
      </c>
      <c r="R407" s="585">
        <v>13246</v>
      </c>
      <c r="S407" s="585">
        <v>13164</v>
      </c>
      <c r="T407" s="585">
        <v>13147</v>
      </c>
      <c r="U407" s="585">
        <v>12827</v>
      </c>
      <c r="V407" s="586">
        <v>12827</v>
      </c>
      <c r="W407" s="585">
        <v>12431</v>
      </c>
      <c r="X407" s="585">
        <v>11849</v>
      </c>
      <c r="Y407" s="585">
        <v>11707</v>
      </c>
      <c r="Z407" s="585">
        <v>11143</v>
      </c>
      <c r="AA407" s="586">
        <v>11143</v>
      </c>
      <c r="AB407" s="585">
        <v>11715</v>
      </c>
      <c r="AC407" s="585">
        <v>11721</v>
      </c>
      <c r="AD407" s="585">
        <v>11727</v>
      </c>
      <c r="AE407" s="585">
        <v>11578</v>
      </c>
      <c r="AF407" s="586">
        <v>11578</v>
      </c>
      <c r="AG407" s="585">
        <v>11584</v>
      </c>
      <c r="AH407" s="585">
        <v>11555</v>
      </c>
      <c r="AI407" s="585">
        <v>11561</v>
      </c>
      <c r="AJ407" s="585">
        <v>11072</v>
      </c>
      <c r="AK407" s="586">
        <v>11072</v>
      </c>
      <c r="AL407" s="585">
        <v>9929</v>
      </c>
      <c r="AM407" s="585">
        <v>9934</v>
      </c>
      <c r="AN407" s="15">
        <f>AM407</f>
        <v>9934</v>
      </c>
      <c r="AO407" s="15">
        <f t="shared" ref="AO407:AP407" si="960">AN407</f>
        <v>9934</v>
      </c>
      <c r="AP407" s="206">
        <f t="shared" si="960"/>
        <v>9934</v>
      </c>
      <c r="AQ407" s="15">
        <f>AP407-1150</f>
        <v>8784</v>
      </c>
      <c r="AR407" s="15">
        <f>AQ407</f>
        <v>8784</v>
      </c>
      <c r="AS407" s="15">
        <f t="shared" ref="AS407:AW407" si="961">AR407</f>
        <v>8784</v>
      </c>
      <c r="AT407" s="15">
        <f t="shared" si="961"/>
        <v>8784</v>
      </c>
      <c r="AU407" s="206">
        <f t="shared" si="961"/>
        <v>8784</v>
      </c>
      <c r="AV407" s="268">
        <f t="shared" si="961"/>
        <v>8784</v>
      </c>
      <c r="AW407" s="268">
        <f t="shared" si="961"/>
        <v>8784</v>
      </c>
      <c r="AX407" s="268">
        <f>AW407-530</f>
        <v>8254</v>
      </c>
      <c r="AY407" s="268">
        <f>AX407</f>
        <v>8254</v>
      </c>
      <c r="AZ407" s="206">
        <f t="shared" ref="AZ407" si="962">AY407</f>
        <v>8254</v>
      </c>
    </row>
    <row r="408" spans="2:52">
      <c r="B408" s="5" t="s">
        <v>91</v>
      </c>
      <c r="C408" t="s">
        <v>119</v>
      </c>
      <c r="E408" s="14"/>
      <c r="F408" s="14"/>
      <c r="G408" s="14"/>
      <c r="H408" s="15"/>
      <c r="I408" s="15"/>
      <c r="J408" s="15"/>
      <c r="K408" s="15"/>
      <c r="L408" s="14"/>
      <c r="M408" s="15"/>
      <c r="N408" s="15"/>
      <c r="O408" s="585">
        <v>5974</v>
      </c>
      <c r="P408" s="585">
        <v>5923</v>
      </c>
      <c r="Q408" s="586">
        <v>5923</v>
      </c>
      <c r="R408" s="585">
        <v>5940</v>
      </c>
      <c r="S408" s="585">
        <v>6034</v>
      </c>
      <c r="T408" s="585">
        <v>6022</v>
      </c>
      <c r="U408" s="585">
        <v>6030</v>
      </c>
      <c r="V408" s="586">
        <v>6030</v>
      </c>
      <c r="W408" s="585">
        <v>5917</v>
      </c>
      <c r="X408" s="585">
        <v>5922</v>
      </c>
      <c r="Y408" s="585">
        <v>5945</v>
      </c>
      <c r="Z408" s="585">
        <v>5993</v>
      </c>
      <c r="AA408" s="586">
        <v>5993</v>
      </c>
      <c r="AB408" s="585">
        <v>6025</v>
      </c>
      <c r="AC408" s="585">
        <v>5972</v>
      </c>
      <c r="AD408" s="585">
        <v>5940</v>
      </c>
      <c r="AE408" s="585">
        <v>5986</v>
      </c>
      <c r="AF408" s="586">
        <v>5986</v>
      </c>
      <c r="AG408" s="585">
        <v>6054</v>
      </c>
      <c r="AH408" s="585">
        <v>6007</v>
      </c>
      <c r="AI408" s="585">
        <v>5745</v>
      </c>
      <c r="AJ408" s="585">
        <v>5739</v>
      </c>
      <c r="AK408" s="586">
        <v>5739</v>
      </c>
      <c r="AL408" s="585">
        <v>5739</v>
      </c>
      <c r="AM408" s="585">
        <v>5736</v>
      </c>
      <c r="AN408" s="15">
        <f>AM408</f>
        <v>5736</v>
      </c>
      <c r="AO408" s="15">
        <f t="shared" ref="AO408:AZ408" si="963">AN408</f>
        <v>5736</v>
      </c>
      <c r="AP408" s="206">
        <f t="shared" si="963"/>
        <v>5736</v>
      </c>
      <c r="AQ408" s="15">
        <f t="shared" si="963"/>
        <v>5736</v>
      </c>
      <c r="AR408" s="15">
        <f t="shared" si="963"/>
        <v>5736</v>
      </c>
      <c r="AS408" s="15">
        <f t="shared" si="963"/>
        <v>5736</v>
      </c>
      <c r="AT408" s="15">
        <f t="shared" si="963"/>
        <v>5736</v>
      </c>
      <c r="AU408" s="206">
        <f t="shared" si="963"/>
        <v>5736</v>
      </c>
      <c r="AV408" s="268">
        <f t="shared" si="963"/>
        <v>5736</v>
      </c>
      <c r="AW408" s="268">
        <f t="shared" si="963"/>
        <v>5736</v>
      </c>
      <c r="AX408" s="268">
        <f t="shared" si="963"/>
        <v>5736</v>
      </c>
      <c r="AY408" s="268">
        <f t="shared" si="963"/>
        <v>5736</v>
      </c>
      <c r="AZ408" s="206">
        <f t="shared" si="963"/>
        <v>5736</v>
      </c>
    </row>
    <row r="409" spans="2:52">
      <c r="B409" s="5" t="s">
        <v>163</v>
      </c>
      <c r="C409" t="s">
        <v>120</v>
      </c>
      <c r="E409" s="14"/>
      <c r="F409" s="14"/>
      <c r="G409" s="14"/>
      <c r="H409" s="15"/>
      <c r="I409" s="15"/>
      <c r="J409" s="15"/>
      <c r="K409" s="15"/>
      <c r="L409" s="14"/>
      <c r="M409" s="15"/>
      <c r="N409" s="15"/>
      <c r="O409" s="585">
        <v>549</v>
      </c>
      <c r="P409" s="585">
        <v>559</v>
      </c>
      <c r="Q409" s="586">
        <v>559</v>
      </c>
      <c r="R409" s="585">
        <v>775</v>
      </c>
      <c r="S409" s="585">
        <v>771</v>
      </c>
      <c r="T409" s="585">
        <v>767</v>
      </c>
      <c r="U409" s="585">
        <v>930</v>
      </c>
      <c r="V409" s="586">
        <v>930</v>
      </c>
      <c r="W409" s="585">
        <v>997</v>
      </c>
      <c r="X409" s="585">
        <v>1034</v>
      </c>
      <c r="Y409" s="585">
        <v>1103</v>
      </c>
      <c r="Z409" s="585">
        <v>1119</v>
      </c>
      <c r="AA409" s="586">
        <v>1119</v>
      </c>
      <c r="AB409" s="585">
        <v>1367</v>
      </c>
      <c r="AC409" s="585">
        <v>1491</v>
      </c>
      <c r="AD409" s="585">
        <v>1463</v>
      </c>
      <c r="AE409" s="585">
        <v>1577</v>
      </c>
      <c r="AF409" s="586">
        <v>1577</v>
      </c>
      <c r="AG409" s="585">
        <v>1647</v>
      </c>
      <c r="AH409" s="585">
        <v>1714</v>
      </c>
      <c r="AI409" s="585">
        <v>1800</v>
      </c>
      <c r="AJ409" s="585">
        <v>1825</v>
      </c>
      <c r="AK409" s="586">
        <v>1825</v>
      </c>
      <c r="AL409" s="585">
        <v>1763</v>
      </c>
      <c r="AM409" s="585">
        <v>1808</v>
      </c>
      <c r="AN409" s="15">
        <f>AM409</f>
        <v>1808</v>
      </c>
      <c r="AO409" s="15">
        <f t="shared" ref="AO409:AZ409" si="964">AN409</f>
        <v>1808</v>
      </c>
      <c r="AP409" s="206">
        <f t="shared" si="964"/>
        <v>1808</v>
      </c>
      <c r="AQ409" s="15">
        <f t="shared" si="964"/>
        <v>1808</v>
      </c>
      <c r="AR409" s="15">
        <f t="shared" si="964"/>
        <v>1808</v>
      </c>
      <c r="AS409" s="15">
        <f t="shared" si="964"/>
        <v>1808</v>
      </c>
      <c r="AT409" s="15">
        <f t="shared" si="964"/>
        <v>1808</v>
      </c>
      <c r="AU409" s="206">
        <f t="shared" si="964"/>
        <v>1808</v>
      </c>
      <c r="AV409" s="268">
        <f t="shared" si="964"/>
        <v>1808</v>
      </c>
      <c r="AW409" s="268">
        <f t="shared" si="964"/>
        <v>1808</v>
      </c>
      <c r="AX409" s="268">
        <f t="shared" si="964"/>
        <v>1808</v>
      </c>
      <c r="AY409" s="268">
        <f t="shared" si="964"/>
        <v>1808</v>
      </c>
      <c r="AZ409" s="206">
        <f t="shared" si="964"/>
        <v>1808</v>
      </c>
    </row>
    <row r="410" spans="2:52">
      <c r="B410" s="10" t="s">
        <v>164</v>
      </c>
      <c r="C410" t="s">
        <v>121</v>
      </c>
      <c r="E410" s="14"/>
      <c r="F410" s="14"/>
      <c r="G410" s="14"/>
      <c r="H410" s="15"/>
      <c r="I410" s="15"/>
      <c r="J410" s="15"/>
      <c r="K410" s="15"/>
      <c r="L410" s="14"/>
      <c r="M410" s="15"/>
      <c r="N410" s="15"/>
      <c r="O410" s="585">
        <v>26765</v>
      </c>
      <c r="P410" s="585">
        <v>26385</v>
      </c>
      <c r="Q410" s="586">
        <v>26385</v>
      </c>
      <c r="R410" s="585">
        <v>26617</v>
      </c>
      <c r="S410" s="585">
        <v>26664</v>
      </c>
      <c r="T410" s="585">
        <v>26486</v>
      </c>
      <c r="U410" s="585">
        <v>26261</v>
      </c>
      <c r="V410" s="586">
        <v>26261</v>
      </c>
      <c r="W410" s="585">
        <v>26203</v>
      </c>
      <c r="X410" s="585">
        <v>26103</v>
      </c>
      <c r="Y410" s="585">
        <v>26084</v>
      </c>
      <c r="Z410" s="585">
        <v>25949</v>
      </c>
      <c r="AA410" s="586">
        <v>25949</v>
      </c>
      <c r="AB410" s="585">
        <v>26332</v>
      </c>
      <c r="AC410" s="585">
        <v>26101</v>
      </c>
      <c r="AD410" s="585">
        <v>25925</v>
      </c>
      <c r="AE410" s="585">
        <v>25626</v>
      </c>
      <c r="AF410" s="586">
        <v>25626</v>
      </c>
      <c r="AG410" s="585">
        <v>25733</v>
      </c>
      <c r="AH410" s="585">
        <v>26037</v>
      </c>
      <c r="AI410" s="585">
        <v>26339</v>
      </c>
      <c r="AJ410" s="585">
        <v>26712</v>
      </c>
      <c r="AK410" s="586">
        <v>26712</v>
      </c>
      <c r="AL410" s="585">
        <v>26558</v>
      </c>
      <c r="AM410" s="585">
        <v>26534</v>
      </c>
      <c r="AN410" s="15">
        <f>SUM(AN401:AN409)</f>
        <v>26508.730713430836</v>
      </c>
      <c r="AO410" s="15">
        <f t="shared" ref="AO410:AZ410" si="965">SUM(AO401:AO409)</f>
        <v>26535.618410097617</v>
      </c>
      <c r="AP410" s="206">
        <f t="shared" si="965"/>
        <v>26535.618410097617</v>
      </c>
      <c r="AQ410" s="15">
        <f t="shared" si="965"/>
        <v>25310.883644668716</v>
      </c>
      <c r="AR410" s="15">
        <f t="shared" si="965"/>
        <v>25412.165503035721</v>
      </c>
      <c r="AS410" s="15">
        <f t="shared" si="965"/>
        <v>25395.038725066792</v>
      </c>
      <c r="AT410" s="15">
        <f t="shared" si="965"/>
        <v>25419.445023983761</v>
      </c>
      <c r="AU410" s="206">
        <f t="shared" si="965"/>
        <v>25419.445023983761</v>
      </c>
      <c r="AV410" s="268">
        <f t="shared" si="965"/>
        <v>25347.26867801456</v>
      </c>
      <c r="AW410" s="268">
        <f t="shared" si="965"/>
        <v>25452.562890458019</v>
      </c>
      <c r="AX410" s="268">
        <f t="shared" si="965"/>
        <v>24904.228245480313</v>
      </c>
      <c r="AY410" s="268">
        <f t="shared" si="965"/>
        <v>24927.706368079147</v>
      </c>
      <c r="AZ410" s="206">
        <f t="shared" si="965"/>
        <v>24927.706368079147</v>
      </c>
    </row>
    <row r="411" spans="2:52">
      <c r="E411" s="14"/>
      <c r="F411" s="14"/>
      <c r="G411" s="14"/>
      <c r="H411" s="15"/>
      <c r="I411" s="15"/>
      <c r="J411" s="15"/>
      <c r="K411" s="15"/>
      <c r="L411" s="14"/>
      <c r="M411" s="15"/>
      <c r="N411" s="15"/>
      <c r="O411" s="585"/>
      <c r="P411" s="585"/>
      <c r="Q411" s="586"/>
      <c r="R411" s="585"/>
      <c r="S411" s="585"/>
      <c r="T411" s="585"/>
      <c r="U411" s="585"/>
      <c r="V411" s="586"/>
      <c r="W411" s="585"/>
      <c r="X411" s="585"/>
      <c r="Y411" s="585"/>
      <c r="Z411" s="585"/>
      <c r="AA411" s="586"/>
      <c r="AB411" s="585"/>
      <c r="AC411" s="585"/>
      <c r="AD411" s="585"/>
      <c r="AE411" s="585"/>
      <c r="AF411" s="586"/>
      <c r="AG411" s="585"/>
      <c r="AH411" s="585"/>
      <c r="AI411" s="585"/>
      <c r="AJ411" s="585"/>
      <c r="AK411" s="586"/>
      <c r="AL411" s="585"/>
      <c r="AM411" s="585"/>
      <c r="AP411" s="199"/>
      <c r="AU411" s="199"/>
      <c r="AV411" s="83"/>
      <c r="AW411" s="83"/>
      <c r="AX411" s="83"/>
      <c r="AY411" s="83"/>
      <c r="AZ411" s="199"/>
    </row>
    <row r="412" spans="2:52">
      <c r="E412" s="14"/>
      <c r="F412" s="14"/>
      <c r="G412" s="14"/>
      <c r="H412" s="15"/>
      <c r="I412" s="15"/>
      <c r="J412" s="15"/>
      <c r="K412" s="15"/>
      <c r="L412" s="14"/>
      <c r="M412" s="15"/>
      <c r="N412" s="15"/>
      <c r="O412" s="585"/>
      <c r="P412" s="585"/>
      <c r="Q412" s="586"/>
      <c r="R412" s="585"/>
      <c r="S412" s="585"/>
      <c r="T412" s="585"/>
      <c r="U412" s="585"/>
      <c r="V412" s="586"/>
      <c r="W412" s="585"/>
      <c r="X412" s="585"/>
      <c r="Y412" s="585"/>
      <c r="Z412" s="585"/>
      <c r="AA412" s="586"/>
      <c r="AB412" s="585"/>
      <c r="AC412" s="585"/>
      <c r="AD412" s="585"/>
      <c r="AE412" s="585"/>
      <c r="AF412" s="586"/>
      <c r="AG412" s="585"/>
      <c r="AH412" s="585"/>
      <c r="AI412" s="585"/>
      <c r="AJ412" s="585"/>
      <c r="AK412" s="586"/>
      <c r="AL412" s="585"/>
      <c r="AM412" s="585"/>
      <c r="AP412" s="199"/>
      <c r="AU412" s="199"/>
      <c r="AV412" s="83"/>
      <c r="AW412" s="83"/>
      <c r="AX412" s="83"/>
      <c r="AY412" s="83"/>
      <c r="AZ412" s="199"/>
    </row>
    <row r="413" spans="2:52">
      <c r="B413" s="11" t="s">
        <v>95</v>
      </c>
      <c r="E413" s="14"/>
      <c r="F413" s="14"/>
      <c r="G413" s="14"/>
      <c r="H413" s="15"/>
      <c r="I413" s="15"/>
      <c r="J413" s="15"/>
      <c r="K413" s="15"/>
      <c r="L413" s="14"/>
      <c r="M413" s="15"/>
      <c r="N413" s="15"/>
      <c r="O413" s="585"/>
      <c r="P413" s="585"/>
      <c r="Q413" s="586"/>
      <c r="R413" s="585"/>
      <c r="S413" s="585"/>
      <c r="T413" s="585"/>
      <c r="U413" s="585"/>
      <c r="V413" s="586"/>
      <c r="W413" s="585"/>
      <c r="X413" s="585"/>
      <c r="Y413" s="585"/>
      <c r="Z413" s="585"/>
      <c r="AA413" s="586"/>
      <c r="AB413" s="585"/>
      <c r="AC413" s="585"/>
      <c r="AD413" s="585"/>
      <c r="AE413" s="585"/>
      <c r="AF413" s="586"/>
      <c r="AG413" s="585"/>
      <c r="AH413" s="585"/>
      <c r="AI413" s="585"/>
      <c r="AJ413" s="585"/>
      <c r="AK413" s="586"/>
      <c r="AL413" s="585"/>
      <c r="AM413" s="585"/>
      <c r="AP413" s="199"/>
      <c r="AU413" s="199"/>
      <c r="AV413" s="83"/>
      <c r="AW413" s="83"/>
      <c r="AX413" s="83"/>
      <c r="AY413" s="83"/>
      <c r="AZ413" s="199"/>
    </row>
    <row r="414" spans="2:52">
      <c r="B414" s="3" t="s">
        <v>96</v>
      </c>
      <c r="C414" t="s">
        <v>122</v>
      </c>
      <c r="E414" s="14"/>
      <c r="F414" s="14"/>
      <c r="G414" s="14"/>
      <c r="H414" s="15"/>
      <c r="I414" s="15"/>
      <c r="J414" s="15"/>
      <c r="K414" s="15"/>
      <c r="L414" s="14"/>
      <c r="M414" s="15"/>
      <c r="N414" s="15"/>
      <c r="O414" s="585">
        <v>14</v>
      </c>
      <c r="P414" s="585">
        <v>14</v>
      </c>
      <c r="Q414" s="586">
        <v>14</v>
      </c>
      <c r="R414" s="585">
        <v>14</v>
      </c>
      <c r="S414" s="585">
        <v>14</v>
      </c>
      <c r="T414" s="585">
        <v>14</v>
      </c>
      <c r="U414" s="585">
        <v>14</v>
      </c>
      <c r="V414" s="586">
        <v>14</v>
      </c>
      <c r="W414" s="585">
        <v>14</v>
      </c>
      <c r="X414" s="585">
        <v>14</v>
      </c>
      <c r="Y414" s="585">
        <v>14</v>
      </c>
      <c r="Z414" s="585">
        <v>14</v>
      </c>
      <c r="AA414" s="586">
        <v>14</v>
      </c>
      <c r="AB414" s="585">
        <v>14</v>
      </c>
      <c r="AC414" s="585">
        <v>14</v>
      </c>
      <c r="AD414" s="585">
        <v>14</v>
      </c>
      <c r="AE414" s="585">
        <v>14</v>
      </c>
      <c r="AF414" s="586">
        <v>14</v>
      </c>
      <c r="AG414" s="585">
        <v>14</v>
      </c>
      <c r="AH414" s="585">
        <v>14</v>
      </c>
      <c r="AI414" s="585">
        <v>14</v>
      </c>
      <c r="AJ414" s="585">
        <v>14</v>
      </c>
      <c r="AK414" s="586">
        <v>14</v>
      </c>
      <c r="AL414" s="585">
        <v>14</v>
      </c>
      <c r="AM414" s="585">
        <v>14</v>
      </c>
      <c r="AN414" s="15">
        <f>AM414</f>
        <v>14</v>
      </c>
      <c r="AO414" s="15">
        <f t="shared" ref="AO414:AZ414" si="966">AN414</f>
        <v>14</v>
      </c>
      <c r="AP414" s="206">
        <f t="shared" si="966"/>
        <v>14</v>
      </c>
      <c r="AQ414" s="15">
        <f t="shared" si="966"/>
        <v>14</v>
      </c>
      <c r="AR414" s="15">
        <f t="shared" si="966"/>
        <v>14</v>
      </c>
      <c r="AS414" s="15">
        <f t="shared" si="966"/>
        <v>14</v>
      </c>
      <c r="AT414" s="15">
        <f t="shared" si="966"/>
        <v>14</v>
      </c>
      <c r="AU414" s="206">
        <f t="shared" si="966"/>
        <v>14</v>
      </c>
      <c r="AV414" s="268">
        <f t="shared" si="966"/>
        <v>14</v>
      </c>
      <c r="AW414" s="268">
        <f t="shared" si="966"/>
        <v>14</v>
      </c>
      <c r="AX414" s="268">
        <f t="shared" si="966"/>
        <v>14</v>
      </c>
      <c r="AY414" s="268">
        <f t="shared" si="966"/>
        <v>14</v>
      </c>
      <c r="AZ414" s="206">
        <f t="shared" si="966"/>
        <v>14</v>
      </c>
    </row>
    <row r="415" spans="2:52">
      <c r="B415" s="3" t="s">
        <v>97</v>
      </c>
      <c r="C415" t="s">
        <v>123</v>
      </c>
      <c r="E415" s="14"/>
      <c r="F415" s="14"/>
      <c r="G415" s="14"/>
      <c r="H415" s="15"/>
      <c r="I415" s="15"/>
      <c r="J415" s="15"/>
      <c r="K415" s="15"/>
      <c r="L415" s="14"/>
      <c r="M415" s="15"/>
      <c r="N415" s="15"/>
      <c r="O415" s="585" t="s">
        <v>865</v>
      </c>
      <c r="P415" s="585" t="s">
        <v>865</v>
      </c>
      <c r="Q415" s="586" t="s">
        <v>865</v>
      </c>
      <c r="R415" s="585" t="s">
        <v>865</v>
      </c>
      <c r="S415" s="585" t="s">
        <v>865</v>
      </c>
      <c r="T415" s="585" t="s">
        <v>865</v>
      </c>
      <c r="U415" s="585" t="s">
        <v>865</v>
      </c>
      <c r="V415" s="586" t="s">
        <v>865</v>
      </c>
      <c r="W415" s="585" t="s">
        <v>865</v>
      </c>
      <c r="X415" s="585" t="s">
        <v>865</v>
      </c>
      <c r="Y415" s="585" t="s">
        <v>865</v>
      </c>
      <c r="Z415" s="585" t="s">
        <v>865</v>
      </c>
      <c r="AA415" s="586" t="s">
        <v>865</v>
      </c>
      <c r="AB415" s="585" t="s">
        <v>865</v>
      </c>
      <c r="AC415" s="585" t="s">
        <v>865</v>
      </c>
      <c r="AD415" s="585" t="s">
        <v>865</v>
      </c>
      <c r="AE415" s="585" t="s">
        <v>865</v>
      </c>
      <c r="AF415" s="586" t="s">
        <v>865</v>
      </c>
      <c r="AG415" s="585" t="s">
        <v>865</v>
      </c>
      <c r="AH415" s="585" t="s">
        <v>865</v>
      </c>
      <c r="AI415" s="585" t="s">
        <v>865</v>
      </c>
      <c r="AJ415" s="585" t="s">
        <v>865</v>
      </c>
      <c r="AK415" s="586" t="s">
        <v>865</v>
      </c>
      <c r="AL415" s="585" t="s">
        <v>865</v>
      </c>
      <c r="AM415" s="585" t="s">
        <v>865</v>
      </c>
      <c r="AN415" s="15" t="str">
        <f>AM415</f>
        <v>-</v>
      </c>
      <c r="AO415" s="15" t="str">
        <f>AN415</f>
        <v>-</v>
      </c>
      <c r="AP415" s="206" t="str">
        <f t="shared" ref="AP415:AY415" si="967">AO415</f>
        <v>-</v>
      </c>
      <c r="AQ415" s="15" t="str">
        <f t="shared" si="967"/>
        <v>-</v>
      </c>
      <c r="AR415" s="15" t="str">
        <f t="shared" si="967"/>
        <v>-</v>
      </c>
      <c r="AS415" s="15" t="str">
        <f t="shared" si="967"/>
        <v>-</v>
      </c>
      <c r="AT415" s="15" t="str">
        <f t="shared" si="967"/>
        <v>-</v>
      </c>
      <c r="AU415" s="206" t="str">
        <f t="shared" ref="AU415" si="968">AT415</f>
        <v>-</v>
      </c>
      <c r="AV415" s="268" t="str">
        <f t="shared" si="967"/>
        <v>-</v>
      </c>
      <c r="AW415" s="268" t="str">
        <f t="shared" si="967"/>
        <v>-</v>
      </c>
      <c r="AX415" s="268" t="str">
        <f t="shared" si="967"/>
        <v>-</v>
      </c>
      <c r="AY415" s="268" t="str">
        <f t="shared" si="967"/>
        <v>-</v>
      </c>
      <c r="AZ415" s="206" t="str">
        <f t="shared" ref="AZ415" si="969">AY415</f>
        <v>-</v>
      </c>
    </row>
    <row r="416" spans="2:52">
      <c r="B416" s="3" t="s">
        <v>98</v>
      </c>
      <c r="C416" t="s">
        <v>98</v>
      </c>
      <c r="E416" s="14"/>
      <c r="F416" s="14"/>
      <c r="G416" s="14"/>
      <c r="H416" s="15"/>
      <c r="I416" s="15"/>
      <c r="J416" s="15"/>
      <c r="K416" s="15"/>
      <c r="L416" s="14"/>
      <c r="M416" s="15"/>
      <c r="N416" s="15"/>
      <c r="O416" s="585">
        <v>1122</v>
      </c>
      <c r="P416" s="585">
        <v>1178</v>
      </c>
      <c r="Q416" s="586">
        <v>1178</v>
      </c>
      <c r="R416" s="585">
        <v>1192</v>
      </c>
      <c r="S416" s="585">
        <v>1294</v>
      </c>
      <c r="T416" s="585">
        <v>1388</v>
      </c>
      <c r="U416" s="585">
        <v>1582</v>
      </c>
      <c r="V416" s="586">
        <v>1582</v>
      </c>
      <c r="W416" s="585">
        <v>1527</v>
      </c>
      <c r="X416" s="585">
        <v>1613</v>
      </c>
      <c r="Y416" s="585">
        <v>1845</v>
      </c>
      <c r="Z416" s="585">
        <v>2061</v>
      </c>
      <c r="AA416" s="586">
        <v>2061</v>
      </c>
      <c r="AB416" s="585">
        <v>2174</v>
      </c>
      <c r="AC416" s="585">
        <v>2357</v>
      </c>
      <c r="AD416" s="585">
        <v>2621</v>
      </c>
      <c r="AE416" s="585">
        <v>3199</v>
      </c>
      <c r="AF416" s="586">
        <v>3199</v>
      </c>
      <c r="AG416" s="585">
        <v>3518</v>
      </c>
      <c r="AH416" s="585">
        <v>3471</v>
      </c>
      <c r="AI416" s="585">
        <v>3367</v>
      </c>
      <c r="AJ416" s="585">
        <v>3539</v>
      </c>
      <c r="AK416" s="586">
        <v>3539</v>
      </c>
      <c r="AL416" s="585">
        <v>3724</v>
      </c>
      <c r="AM416" s="585">
        <v>3948</v>
      </c>
      <c r="AN416" s="15">
        <f ca="1">AM416+AN438-AN461-AN459</f>
        <v>4348.3976731081248</v>
      </c>
      <c r="AO416" s="15">
        <f ca="1">AN416+AO438-AO461-AO459</f>
        <v>4810.8616808354973</v>
      </c>
      <c r="AP416" s="206">
        <f ca="1">AO416</f>
        <v>4810.8616808354973</v>
      </c>
      <c r="AQ416" s="15">
        <f t="shared" ref="AQ416:AT416" ca="1" si="970">AP416+AQ438-AQ461-AQ459</f>
        <v>4962.8018057752188</v>
      </c>
      <c r="AR416" s="15">
        <f t="shared" ca="1" si="970"/>
        <v>5259.359193300008</v>
      </c>
      <c r="AS416" s="15">
        <f t="shared" ca="1" si="970"/>
        <v>5660.9307484936262</v>
      </c>
      <c r="AT416" s="15">
        <f t="shared" ca="1" si="970"/>
        <v>6121.8195896546495</v>
      </c>
      <c r="AU416" s="206">
        <f ca="1">AT416</f>
        <v>6121.8195896546495</v>
      </c>
      <c r="AV416" s="15">
        <f t="shared" ref="AV416:AY416" ca="1" si="971">AU416+AV438-AV461-AV459</f>
        <v>6270.6196476654559</v>
      </c>
      <c r="AW416" s="15">
        <f t="shared" ca="1" si="971"/>
        <v>6564.5540870113182</v>
      </c>
      <c r="AX416" s="15">
        <f t="shared" ca="1" si="971"/>
        <v>6970.5004967635468</v>
      </c>
      <c r="AY416" s="15">
        <f t="shared" ca="1" si="971"/>
        <v>7433.026439038741</v>
      </c>
      <c r="AZ416" s="206">
        <f ca="1">AY416</f>
        <v>7433.026439038741</v>
      </c>
    </row>
    <row r="417" spans="2:52">
      <c r="B417" s="3" t="s">
        <v>99</v>
      </c>
      <c r="C417" t="s">
        <v>129</v>
      </c>
      <c r="E417" s="14"/>
      <c r="F417" s="14"/>
      <c r="G417" s="14"/>
      <c r="H417" s="15"/>
      <c r="I417" s="15"/>
      <c r="J417" s="15"/>
      <c r="K417" s="15"/>
      <c r="L417" s="14"/>
      <c r="M417" s="15"/>
      <c r="N417" s="15"/>
      <c r="O417" s="585">
        <v>21020</v>
      </c>
      <c r="P417" s="585">
        <v>21471</v>
      </c>
      <c r="Q417" s="586">
        <v>21471</v>
      </c>
      <c r="R417" s="585">
        <v>21505</v>
      </c>
      <c r="S417" s="585">
        <v>21524</v>
      </c>
      <c r="T417" s="585">
        <v>21539</v>
      </c>
      <c r="U417" s="585">
        <v>21557</v>
      </c>
      <c r="V417" s="586">
        <v>21557</v>
      </c>
      <c r="W417" s="585">
        <v>21579</v>
      </c>
      <c r="X417" s="585">
        <v>21624</v>
      </c>
      <c r="Y417" s="585">
        <v>21654</v>
      </c>
      <c r="Z417" s="585">
        <v>21677</v>
      </c>
      <c r="AA417" s="586">
        <v>21677</v>
      </c>
      <c r="AB417" s="585">
        <v>21718</v>
      </c>
      <c r="AC417" s="585">
        <v>21743</v>
      </c>
      <c r="AD417" s="585">
        <v>21764</v>
      </c>
      <c r="AE417" s="585">
        <v>21785</v>
      </c>
      <c r="AF417" s="586">
        <v>21785</v>
      </c>
      <c r="AG417" s="585">
        <v>21764</v>
      </c>
      <c r="AH417" s="585">
        <v>21701</v>
      </c>
      <c r="AI417" s="585">
        <v>21730</v>
      </c>
      <c r="AJ417" s="585">
        <v>21444</v>
      </c>
      <c r="AK417" s="586">
        <v>21444</v>
      </c>
      <c r="AL417" s="585">
        <v>21210</v>
      </c>
      <c r="AM417" s="585">
        <v>21009</v>
      </c>
      <c r="AN417" s="15">
        <f t="shared" ref="AN417:AO419" si="972">AM417</f>
        <v>21009</v>
      </c>
      <c r="AO417" s="15">
        <f t="shared" si="972"/>
        <v>21009</v>
      </c>
      <c r="AP417" s="206">
        <f t="shared" ref="AP417:AP424" si="973">AO417</f>
        <v>21009</v>
      </c>
      <c r="AQ417" s="15">
        <f t="shared" ref="AQ417:AY424" si="974">AP417</f>
        <v>21009</v>
      </c>
      <c r="AR417" s="15">
        <f t="shared" si="974"/>
        <v>21009</v>
      </c>
      <c r="AS417" s="15">
        <f t="shared" si="974"/>
        <v>21009</v>
      </c>
      <c r="AT417" s="15">
        <f t="shared" si="974"/>
        <v>21009</v>
      </c>
      <c r="AU417" s="206">
        <f t="shared" si="974"/>
        <v>21009</v>
      </c>
      <c r="AV417" s="15">
        <f t="shared" ref="AV417:AY417" si="975">AU417</f>
        <v>21009</v>
      </c>
      <c r="AW417" s="15">
        <f t="shared" si="975"/>
        <v>21009</v>
      </c>
      <c r="AX417" s="15">
        <f t="shared" si="975"/>
        <v>21009</v>
      </c>
      <c r="AY417" s="15">
        <f t="shared" si="975"/>
        <v>21009</v>
      </c>
      <c r="AZ417" s="206">
        <f t="shared" ref="AZ417:AZ424" si="976">AY417</f>
        <v>21009</v>
      </c>
    </row>
    <row r="418" spans="2:52">
      <c r="B418" s="3" t="s">
        <v>100</v>
      </c>
      <c r="C418" t="s">
        <v>125</v>
      </c>
      <c r="E418" s="14"/>
      <c r="F418" s="14"/>
      <c r="G418" s="14"/>
      <c r="H418" s="15"/>
      <c r="I418" s="15"/>
      <c r="J418" s="15"/>
      <c r="K418" s="15"/>
      <c r="L418" s="14"/>
      <c r="M418" s="15"/>
      <c r="N418" s="15"/>
      <c r="O418" s="585">
        <v>137</v>
      </c>
      <c r="P418" s="585">
        <v>-130</v>
      </c>
      <c r="Q418" s="586">
        <v>-130</v>
      </c>
      <c r="R418" s="585">
        <v>-37</v>
      </c>
      <c r="S418" s="585">
        <v>51</v>
      </c>
      <c r="T418" s="585">
        <v>-27</v>
      </c>
      <c r="U418" s="585">
        <v>104</v>
      </c>
      <c r="V418" s="586">
        <v>104</v>
      </c>
      <c r="W418" s="585">
        <v>-480</v>
      </c>
      <c r="X418" s="585">
        <v>-328</v>
      </c>
      <c r="Y418" s="585">
        <v>-217</v>
      </c>
      <c r="Z418" s="585">
        <v>77</v>
      </c>
      <c r="AA418" s="586">
        <v>77</v>
      </c>
      <c r="AB418" s="585">
        <v>164</v>
      </c>
      <c r="AC418" s="585">
        <v>128</v>
      </c>
      <c r="AD418" s="585">
        <v>6</v>
      </c>
      <c r="AE418" s="585">
        <v>-26</v>
      </c>
      <c r="AF418" s="586">
        <v>-26</v>
      </c>
      <c r="AG418" s="585">
        <v>215</v>
      </c>
      <c r="AH418" s="585">
        <v>205</v>
      </c>
      <c r="AI418" s="585">
        <v>-9</v>
      </c>
      <c r="AJ418" s="585">
        <v>129</v>
      </c>
      <c r="AK418" s="586">
        <v>129</v>
      </c>
      <c r="AL418" s="585">
        <v>155</v>
      </c>
      <c r="AM418" s="585">
        <v>297</v>
      </c>
      <c r="AN418" s="15">
        <f t="shared" si="972"/>
        <v>297</v>
      </c>
      <c r="AO418" s="15">
        <f t="shared" si="972"/>
        <v>297</v>
      </c>
      <c r="AP418" s="206">
        <f t="shared" si="973"/>
        <v>297</v>
      </c>
      <c r="AQ418" s="15">
        <f t="shared" ref="AQ418:AT418" si="977">AP418</f>
        <v>297</v>
      </c>
      <c r="AR418" s="15">
        <f t="shared" si="977"/>
        <v>297</v>
      </c>
      <c r="AS418" s="15">
        <f t="shared" si="977"/>
        <v>297</v>
      </c>
      <c r="AT418" s="15">
        <f t="shared" si="977"/>
        <v>297</v>
      </c>
      <c r="AU418" s="206">
        <f t="shared" si="974"/>
        <v>297</v>
      </c>
      <c r="AV418" s="15">
        <f t="shared" si="974"/>
        <v>297</v>
      </c>
      <c r="AW418" s="15">
        <f t="shared" si="974"/>
        <v>297</v>
      </c>
      <c r="AX418" s="15">
        <f t="shared" si="974"/>
        <v>297</v>
      </c>
      <c r="AY418" s="15">
        <f t="shared" si="974"/>
        <v>297</v>
      </c>
      <c r="AZ418" s="206">
        <f t="shared" si="976"/>
        <v>297</v>
      </c>
    </row>
    <row r="419" spans="2:52">
      <c r="B419" s="3" t="s">
        <v>101</v>
      </c>
      <c r="C419" t="s">
        <v>124</v>
      </c>
      <c r="E419" s="14"/>
      <c r="F419" s="14"/>
      <c r="G419" s="14"/>
      <c r="H419" s="15"/>
      <c r="I419" s="15"/>
      <c r="J419" s="15"/>
      <c r="K419" s="15"/>
      <c r="L419" s="14"/>
      <c r="M419" s="15"/>
      <c r="N419" s="15"/>
      <c r="O419" s="585" t="s">
        <v>865</v>
      </c>
      <c r="P419" s="585" t="s">
        <v>865</v>
      </c>
      <c r="Q419" s="586" t="s">
        <v>865</v>
      </c>
      <c r="R419" s="585" t="s">
        <v>865</v>
      </c>
      <c r="S419" s="585" t="s">
        <v>865</v>
      </c>
      <c r="T419" s="585" t="s">
        <v>865</v>
      </c>
      <c r="U419" s="585" t="s">
        <v>865</v>
      </c>
      <c r="V419" s="586" t="s">
        <v>865</v>
      </c>
      <c r="W419" s="585" t="s">
        <v>865</v>
      </c>
      <c r="X419" s="585" t="s">
        <v>865</v>
      </c>
      <c r="Y419" s="585" t="s">
        <v>865</v>
      </c>
      <c r="Z419" s="585" t="s">
        <v>865</v>
      </c>
      <c r="AA419" s="586" t="s">
        <v>865</v>
      </c>
      <c r="AB419" s="585" t="s">
        <v>865</v>
      </c>
      <c r="AC419" s="585" t="s">
        <v>865</v>
      </c>
      <c r="AD419" s="585" t="s">
        <v>865</v>
      </c>
      <c r="AE419" s="585" t="s">
        <v>865</v>
      </c>
      <c r="AF419" s="586" t="s">
        <v>865</v>
      </c>
      <c r="AG419" s="585" t="s">
        <v>865</v>
      </c>
      <c r="AH419" s="585" t="s">
        <v>865</v>
      </c>
      <c r="AI419" s="585" t="s">
        <v>865</v>
      </c>
      <c r="AJ419" s="585" t="s">
        <v>865</v>
      </c>
      <c r="AK419" s="586" t="s">
        <v>865</v>
      </c>
      <c r="AL419" s="585" t="s">
        <v>865</v>
      </c>
      <c r="AM419" s="585" t="s">
        <v>865</v>
      </c>
      <c r="AN419" s="15" t="str">
        <f t="shared" si="972"/>
        <v>-</v>
      </c>
      <c r="AO419" s="15" t="str">
        <f t="shared" si="972"/>
        <v>-</v>
      </c>
      <c r="AP419" s="206" t="str">
        <f t="shared" si="973"/>
        <v>-</v>
      </c>
      <c r="AQ419" s="15" t="str">
        <f t="shared" ref="AQ419:AT419" si="978">AP419</f>
        <v>-</v>
      </c>
      <c r="AR419" s="15" t="str">
        <f t="shared" si="978"/>
        <v>-</v>
      </c>
      <c r="AS419" s="15" t="str">
        <f t="shared" si="978"/>
        <v>-</v>
      </c>
      <c r="AT419" s="15" t="str">
        <f t="shared" si="978"/>
        <v>-</v>
      </c>
      <c r="AU419" s="206" t="str">
        <f t="shared" si="974"/>
        <v>-</v>
      </c>
      <c r="AV419" s="15" t="str">
        <f t="shared" si="974"/>
        <v>-</v>
      </c>
      <c r="AW419" s="15" t="str">
        <f t="shared" si="974"/>
        <v>-</v>
      </c>
      <c r="AX419" s="15" t="str">
        <f t="shared" si="974"/>
        <v>-</v>
      </c>
      <c r="AY419" s="15" t="str">
        <f t="shared" si="974"/>
        <v>-</v>
      </c>
      <c r="AZ419" s="206" t="str">
        <f t="shared" si="976"/>
        <v>-</v>
      </c>
    </row>
    <row r="420" spans="2:52">
      <c r="B420" s="3" t="s">
        <v>102</v>
      </c>
      <c r="C420" t="s">
        <v>126</v>
      </c>
      <c r="E420" s="14"/>
      <c r="F420" s="14"/>
      <c r="G420" s="14"/>
      <c r="H420" s="15"/>
      <c r="I420" s="15"/>
      <c r="J420" s="15"/>
      <c r="K420" s="15"/>
      <c r="L420" s="14"/>
      <c r="M420" s="15"/>
      <c r="N420" s="15"/>
      <c r="O420" s="585">
        <v>22293</v>
      </c>
      <c r="P420" s="585">
        <v>22533</v>
      </c>
      <c r="Q420" s="586">
        <v>22533</v>
      </c>
      <c r="R420" s="585">
        <v>22674</v>
      </c>
      <c r="S420" s="585">
        <v>22883</v>
      </c>
      <c r="T420" s="585">
        <v>22914</v>
      </c>
      <c r="U420" s="585">
        <v>23257</v>
      </c>
      <c r="V420" s="586">
        <v>23257</v>
      </c>
      <c r="W420" s="585">
        <v>22640</v>
      </c>
      <c r="X420" s="585">
        <v>22923</v>
      </c>
      <c r="Y420" s="585">
        <v>23297</v>
      </c>
      <c r="Z420" s="585">
        <v>23830</v>
      </c>
      <c r="AA420" s="586">
        <v>23830</v>
      </c>
      <c r="AB420" s="585">
        <v>24071</v>
      </c>
      <c r="AC420" s="585">
        <v>24243</v>
      </c>
      <c r="AD420" s="585">
        <v>24405</v>
      </c>
      <c r="AE420" s="585">
        <v>24972</v>
      </c>
      <c r="AF420" s="586">
        <v>24972</v>
      </c>
      <c r="AG420" s="585">
        <v>25511</v>
      </c>
      <c r="AH420" s="585">
        <v>25391</v>
      </c>
      <c r="AI420" s="585">
        <v>25101</v>
      </c>
      <c r="AJ420" s="585">
        <v>25125</v>
      </c>
      <c r="AK420" s="586">
        <v>25125</v>
      </c>
      <c r="AL420" s="585">
        <v>25102</v>
      </c>
      <c r="AM420" s="585">
        <v>25267</v>
      </c>
      <c r="AN420" s="15">
        <f ca="1">SUM(AN414:AN419)</f>
        <v>25668.397673108124</v>
      </c>
      <c r="AO420" s="15">
        <f ca="1">SUM(AO414:AO419)</f>
        <v>26130.861680835496</v>
      </c>
      <c r="AP420" s="206">
        <f t="shared" ca="1" si="973"/>
        <v>26130.861680835496</v>
      </c>
      <c r="AQ420" s="15">
        <f t="shared" ref="AQ420:AT420" ca="1" si="979">SUM(AQ414:AQ419)</f>
        <v>26282.80180577522</v>
      </c>
      <c r="AR420" s="15">
        <f t="shared" ca="1" si="979"/>
        <v>26579.359193300006</v>
      </c>
      <c r="AS420" s="15">
        <f t="shared" ca="1" si="979"/>
        <v>26980.930748493625</v>
      </c>
      <c r="AT420" s="15">
        <f t="shared" ca="1" si="979"/>
        <v>27441.819589654649</v>
      </c>
      <c r="AU420" s="206">
        <f t="shared" ca="1" si="974"/>
        <v>27441.819589654649</v>
      </c>
      <c r="AV420" s="15">
        <f t="shared" ref="AV420" ca="1" si="980">SUM(AV414:AV419)</f>
        <v>27590.619647665455</v>
      </c>
      <c r="AW420" s="15">
        <f t="shared" ref="AW420" ca="1" si="981">SUM(AW414:AW419)</f>
        <v>27884.554087011318</v>
      </c>
      <c r="AX420" s="15">
        <f t="shared" ref="AX420" ca="1" si="982">SUM(AX414:AX419)</f>
        <v>28290.500496763547</v>
      </c>
      <c r="AY420" s="15">
        <f t="shared" ref="AY420" ca="1" si="983">SUM(AY414:AY419)</f>
        <v>28753.026439038742</v>
      </c>
      <c r="AZ420" s="206">
        <f t="shared" ca="1" si="976"/>
        <v>28753.026439038742</v>
      </c>
    </row>
    <row r="421" spans="2:52">
      <c r="B421" s="3" t="s">
        <v>103</v>
      </c>
      <c r="C421" t="s">
        <v>128</v>
      </c>
      <c r="E421" s="14"/>
      <c r="F421" s="14"/>
      <c r="G421" s="14"/>
      <c r="H421" s="15"/>
      <c r="I421" s="15"/>
      <c r="J421" s="15"/>
      <c r="K421" s="15"/>
      <c r="L421" s="14"/>
      <c r="M421" s="15"/>
      <c r="N421" s="15"/>
      <c r="O421" s="585" t="s">
        <v>865</v>
      </c>
      <c r="P421" s="585" t="s">
        <v>865</v>
      </c>
      <c r="Q421" s="586" t="s">
        <v>865</v>
      </c>
      <c r="R421" s="585" t="s">
        <v>865</v>
      </c>
      <c r="S421" s="585" t="s">
        <v>865</v>
      </c>
      <c r="T421" s="585" t="s">
        <v>865</v>
      </c>
      <c r="U421" s="585" t="s">
        <v>865</v>
      </c>
      <c r="V421" s="586" t="s">
        <v>865</v>
      </c>
      <c r="W421" s="585" t="s">
        <v>865</v>
      </c>
      <c r="X421" s="585" t="s">
        <v>865</v>
      </c>
      <c r="Y421" s="585">
        <v>1</v>
      </c>
      <c r="Z421" s="585">
        <v>1</v>
      </c>
      <c r="AA421" s="586">
        <v>1</v>
      </c>
      <c r="AB421" s="585">
        <v>1</v>
      </c>
      <c r="AC421" s="585">
        <v>1</v>
      </c>
      <c r="AD421" s="585" t="s">
        <v>865</v>
      </c>
      <c r="AE421" s="585" t="s">
        <v>865</v>
      </c>
      <c r="AF421" s="586" t="s">
        <v>865</v>
      </c>
      <c r="AG421" s="585" t="s">
        <v>865</v>
      </c>
      <c r="AH421" s="585" t="s">
        <v>865</v>
      </c>
      <c r="AI421" s="585">
        <v>-1</v>
      </c>
      <c r="AJ421" s="585">
        <v>-1</v>
      </c>
      <c r="AK421" s="586">
        <v>-1</v>
      </c>
      <c r="AL421" s="585">
        <v>-1</v>
      </c>
      <c r="AM421" s="585">
        <v>-1</v>
      </c>
      <c r="AN421" s="278">
        <f>AM421</f>
        <v>-1</v>
      </c>
      <c r="AO421" s="278">
        <f>AN421</f>
        <v>-1</v>
      </c>
      <c r="AP421" s="206">
        <f t="shared" si="973"/>
        <v>-1</v>
      </c>
      <c r="AQ421" s="278">
        <f t="shared" ref="AQ421:AT421" si="984">AP421</f>
        <v>-1</v>
      </c>
      <c r="AR421" s="278">
        <f t="shared" si="984"/>
        <v>-1</v>
      </c>
      <c r="AS421" s="278">
        <f t="shared" si="984"/>
        <v>-1</v>
      </c>
      <c r="AT421" s="278">
        <f t="shared" si="984"/>
        <v>-1</v>
      </c>
      <c r="AU421" s="206">
        <f t="shared" si="974"/>
        <v>-1</v>
      </c>
      <c r="AV421" s="278">
        <f t="shared" si="974"/>
        <v>-1</v>
      </c>
      <c r="AW421" s="278">
        <f t="shared" si="974"/>
        <v>-1</v>
      </c>
      <c r="AX421" s="278">
        <f t="shared" si="974"/>
        <v>-1</v>
      </c>
      <c r="AY421" s="278">
        <f t="shared" si="974"/>
        <v>-1</v>
      </c>
      <c r="AZ421" s="206">
        <f t="shared" si="976"/>
        <v>-1</v>
      </c>
    </row>
    <row r="422" spans="2:52">
      <c r="B422" s="10" t="s">
        <v>104</v>
      </c>
      <c r="E422" s="14"/>
      <c r="F422" s="14"/>
      <c r="G422" s="14"/>
      <c r="H422" s="15"/>
      <c r="I422" s="15"/>
      <c r="J422" s="15"/>
      <c r="K422" s="15"/>
      <c r="L422" s="14"/>
      <c r="M422" s="15"/>
      <c r="N422" s="15"/>
      <c r="O422" s="585">
        <f t="shared" ref="O422:X422" si="985">O420</f>
        <v>22293</v>
      </c>
      <c r="P422" s="585">
        <f t="shared" si="985"/>
        <v>22533</v>
      </c>
      <c r="Q422" s="586">
        <f t="shared" si="985"/>
        <v>22533</v>
      </c>
      <c r="R422" s="585">
        <f t="shared" si="985"/>
        <v>22674</v>
      </c>
      <c r="S422" s="585">
        <f t="shared" si="985"/>
        <v>22883</v>
      </c>
      <c r="T422" s="585">
        <f t="shared" si="985"/>
        <v>22914</v>
      </c>
      <c r="U422" s="585">
        <f t="shared" si="985"/>
        <v>23257</v>
      </c>
      <c r="V422" s="586">
        <f t="shared" si="985"/>
        <v>23257</v>
      </c>
      <c r="W422" s="585">
        <f t="shared" si="985"/>
        <v>22640</v>
      </c>
      <c r="X422" s="585">
        <f t="shared" si="985"/>
        <v>22923</v>
      </c>
      <c r="Y422" s="585">
        <f t="shared" ref="Y422:AM422" si="986">Y420+Y421</f>
        <v>23298</v>
      </c>
      <c r="Z422" s="585">
        <f t="shared" si="986"/>
        <v>23831</v>
      </c>
      <c r="AA422" s="586">
        <f t="shared" si="986"/>
        <v>23831</v>
      </c>
      <c r="AB422" s="585">
        <f t="shared" si="986"/>
        <v>24072</v>
      </c>
      <c r="AC422" s="585">
        <f t="shared" si="986"/>
        <v>24244</v>
      </c>
      <c r="AD422" s="585">
        <f t="shared" ref="AD422:AH422" si="987">AD420</f>
        <v>24405</v>
      </c>
      <c r="AE422" s="585">
        <f t="shared" si="987"/>
        <v>24972</v>
      </c>
      <c r="AF422" s="586">
        <f t="shared" si="987"/>
        <v>24972</v>
      </c>
      <c r="AG422" s="585">
        <f t="shared" si="987"/>
        <v>25511</v>
      </c>
      <c r="AH422" s="585">
        <f t="shared" si="987"/>
        <v>25391</v>
      </c>
      <c r="AI422" s="585">
        <f t="shared" si="986"/>
        <v>25100</v>
      </c>
      <c r="AJ422" s="585">
        <f t="shared" si="986"/>
        <v>25124</v>
      </c>
      <c r="AK422" s="586">
        <f t="shared" si="986"/>
        <v>25124</v>
      </c>
      <c r="AL422" s="585">
        <f t="shared" si="986"/>
        <v>25101</v>
      </c>
      <c r="AM422" s="585">
        <f t="shared" si="986"/>
        <v>25266</v>
      </c>
      <c r="AN422" s="15">
        <f ca="1">AN420+AN421</f>
        <v>25667.397673108124</v>
      </c>
      <c r="AO422" s="15">
        <f ca="1">AO420+AO421</f>
        <v>26129.861680835496</v>
      </c>
      <c r="AP422" s="206">
        <f t="shared" ca="1" si="973"/>
        <v>26129.861680835496</v>
      </c>
      <c r="AQ422" s="15">
        <f t="shared" ref="AQ422:AT422" ca="1" si="988">AQ420+AQ421</f>
        <v>26281.80180577522</v>
      </c>
      <c r="AR422" s="15">
        <f t="shared" ca="1" si="988"/>
        <v>26578.359193300006</v>
      </c>
      <c r="AS422" s="15">
        <f t="shared" ca="1" si="988"/>
        <v>26979.930748493625</v>
      </c>
      <c r="AT422" s="15">
        <f t="shared" ca="1" si="988"/>
        <v>27440.819589654649</v>
      </c>
      <c r="AU422" s="206">
        <f t="shared" ca="1" si="974"/>
        <v>27440.819589654649</v>
      </c>
      <c r="AV422" s="15">
        <f t="shared" ref="AV422" ca="1" si="989">AV420+AV421</f>
        <v>27589.619647665455</v>
      </c>
      <c r="AW422" s="15">
        <f t="shared" ref="AW422" ca="1" si="990">AW420+AW421</f>
        <v>27883.554087011318</v>
      </c>
      <c r="AX422" s="15">
        <f t="shared" ref="AX422" ca="1" si="991">AX420+AX421</f>
        <v>28289.500496763547</v>
      </c>
      <c r="AY422" s="15">
        <f t="shared" ref="AY422" ca="1" si="992">AY420+AY421</f>
        <v>28752.026439038742</v>
      </c>
      <c r="AZ422" s="206">
        <f t="shared" ca="1" si="976"/>
        <v>28752.026439038742</v>
      </c>
    </row>
    <row r="423" spans="2:52">
      <c r="E423" s="14"/>
      <c r="F423" s="14"/>
      <c r="G423" s="14"/>
      <c r="H423" s="15"/>
      <c r="I423" s="15"/>
      <c r="J423" s="15"/>
      <c r="K423" s="15"/>
      <c r="L423" s="14"/>
      <c r="M423" s="15"/>
      <c r="N423" s="15"/>
      <c r="O423" s="585"/>
      <c r="P423" s="585"/>
      <c r="Q423" s="586"/>
      <c r="R423" s="585"/>
      <c r="S423" s="585"/>
      <c r="T423" s="585"/>
      <c r="U423" s="585"/>
      <c r="V423" s="586"/>
      <c r="W423" s="585"/>
      <c r="X423" s="585"/>
      <c r="Y423" s="585"/>
      <c r="Z423" s="585"/>
      <c r="AA423" s="586"/>
      <c r="AB423" s="585"/>
      <c r="AC423" s="585"/>
      <c r="AD423" s="585"/>
      <c r="AE423" s="585"/>
      <c r="AF423" s="586"/>
      <c r="AG423" s="585"/>
      <c r="AH423" s="585"/>
      <c r="AI423" s="585"/>
      <c r="AJ423" s="585"/>
      <c r="AK423" s="586"/>
      <c r="AL423" s="585"/>
      <c r="AM423" s="585"/>
      <c r="AP423" s="206">
        <f t="shared" si="973"/>
        <v>0</v>
      </c>
      <c r="AU423" s="206">
        <f t="shared" si="974"/>
        <v>0</v>
      </c>
      <c r="AZ423" s="206">
        <f t="shared" si="976"/>
        <v>0</v>
      </c>
    </row>
    <row r="424" spans="2:52">
      <c r="B424" s="11" t="s">
        <v>165</v>
      </c>
      <c r="C424" t="s">
        <v>127</v>
      </c>
      <c r="E424" s="14"/>
      <c r="F424" s="14"/>
      <c r="G424" s="14"/>
      <c r="H424" s="15"/>
      <c r="I424" s="15"/>
      <c r="J424" s="15"/>
      <c r="K424" s="15"/>
      <c r="L424" s="14"/>
      <c r="M424" s="15"/>
      <c r="N424" s="15"/>
      <c r="O424" s="585">
        <f>O422+O410</f>
        <v>49058</v>
      </c>
      <c r="P424" s="585">
        <f t="shared" ref="P424:AH424" si="993">P422+P410</f>
        <v>48918</v>
      </c>
      <c r="Q424" s="586">
        <f t="shared" si="993"/>
        <v>48918</v>
      </c>
      <c r="R424" s="585">
        <f t="shared" si="993"/>
        <v>49291</v>
      </c>
      <c r="S424" s="585">
        <f t="shared" si="993"/>
        <v>49547</v>
      </c>
      <c r="T424" s="585">
        <f t="shared" si="993"/>
        <v>49400</v>
      </c>
      <c r="U424" s="585">
        <f t="shared" si="993"/>
        <v>49518</v>
      </c>
      <c r="V424" s="586">
        <f t="shared" si="993"/>
        <v>49518</v>
      </c>
      <c r="W424" s="585">
        <f t="shared" si="993"/>
        <v>48843</v>
      </c>
      <c r="X424" s="585">
        <f t="shared" si="993"/>
        <v>49026</v>
      </c>
      <c r="Y424" s="585">
        <f>Y422+Y410-Y421</f>
        <v>49381</v>
      </c>
      <c r="Z424" s="585">
        <f>Z422+Z410-Z421</f>
        <v>49779</v>
      </c>
      <c r="AA424" s="586">
        <f t="shared" ref="AA424" si="994">AA422+AA410-AA421</f>
        <v>49779</v>
      </c>
      <c r="AB424" s="585">
        <f>AB422+AB410-AB421</f>
        <v>50403</v>
      </c>
      <c r="AC424" s="585">
        <f>AC422+AC410-AC421</f>
        <v>50344</v>
      </c>
      <c r="AD424" s="585">
        <f t="shared" si="993"/>
        <v>50330</v>
      </c>
      <c r="AE424" s="585">
        <f t="shared" si="993"/>
        <v>50598</v>
      </c>
      <c r="AF424" s="586">
        <f t="shared" si="993"/>
        <v>50598</v>
      </c>
      <c r="AG424" s="585">
        <f t="shared" si="993"/>
        <v>51244</v>
      </c>
      <c r="AH424" s="585">
        <f t="shared" si="993"/>
        <v>51428</v>
      </c>
      <c r="AI424" s="585">
        <f>AI422+AI410-AI421</f>
        <v>51440</v>
      </c>
      <c r="AJ424" s="585">
        <f t="shared" ref="AJ424:AM424" si="995">AJ422+AJ410-AJ421</f>
        <v>51837</v>
      </c>
      <c r="AK424" s="586">
        <f t="shared" si="995"/>
        <v>51837</v>
      </c>
      <c r="AL424" s="585">
        <f t="shared" si="995"/>
        <v>51660</v>
      </c>
      <c r="AM424" s="585">
        <f t="shared" si="995"/>
        <v>51801</v>
      </c>
      <c r="AN424" s="15">
        <f ca="1">AN422+AN410</f>
        <v>52172.388697236289</v>
      </c>
      <c r="AO424" s="15">
        <f ca="1">AO422+AO410</f>
        <v>52661.747332563595</v>
      </c>
      <c r="AP424" s="206">
        <f t="shared" ca="1" si="973"/>
        <v>52661.747332563595</v>
      </c>
      <c r="AQ424" s="15">
        <f t="shared" ref="AQ424:AT424" ca="1" si="996">AQ422+AQ410</f>
        <v>51592.68545044394</v>
      </c>
      <c r="AR424" s="15">
        <f t="shared" ca="1" si="996"/>
        <v>51990.524696335728</v>
      </c>
      <c r="AS424" s="15">
        <f t="shared" ca="1" si="996"/>
        <v>52371.283534311864</v>
      </c>
      <c r="AT424" s="15">
        <f t="shared" ca="1" si="996"/>
        <v>52856.636952563655</v>
      </c>
      <c r="AU424" s="206">
        <f t="shared" ca="1" si="974"/>
        <v>52856.636952563655</v>
      </c>
      <c r="AV424" s="15">
        <f t="shared" ref="AV424:AY424" ca="1" si="997">AV422+AV410</f>
        <v>52936.888325680018</v>
      </c>
      <c r="AW424" s="15">
        <f t="shared" ca="1" si="997"/>
        <v>53336.116977469341</v>
      </c>
      <c r="AX424" s="15">
        <f t="shared" ca="1" si="997"/>
        <v>53190.130650052226</v>
      </c>
      <c r="AY424" s="15">
        <f t="shared" ca="1" si="997"/>
        <v>53676.255891772249</v>
      </c>
      <c r="AZ424" s="206">
        <f t="shared" ca="1" si="976"/>
        <v>53676.255891772249</v>
      </c>
    </row>
    <row r="425" spans="2:52">
      <c r="E425" s="12"/>
      <c r="F425" s="12"/>
      <c r="G425" s="12"/>
      <c r="L425" s="12"/>
      <c r="Q425" s="12"/>
      <c r="V425" s="12"/>
      <c r="AA425" s="12"/>
      <c r="AF425" s="12"/>
      <c r="AK425" s="12"/>
      <c r="AP425" s="199"/>
      <c r="AU425" s="199"/>
      <c r="AZ425" s="199"/>
    </row>
    <row r="426" spans="2:52">
      <c r="B426" s="9" t="s">
        <v>105</v>
      </c>
      <c r="E426" s="13"/>
      <c r="F426" s="13"/>
      <c r="G426" s="13"/>
      <c r="H426" s="9"/>
      <c r="I426" s="9"/>
      <c r="J426" s="9"/>
      <c r="K426" s="9"/>
      <c r="L426" s="13"/>
      <c r="M426" s="9"/>
      <c r="N426" s="9"/>
      <c r="O426" s="9">
        <f t="shared" ref="O426:AN426" si="998">O398-O424</f>
        <v>0</v>
      </c>
      <c r="P426" s="9">
        <f t="shared" si="998"/>
        <v>0</v>
      </c>
      <c r="Q426" s="13">
        <f t="shared" si="998"/>
        <v>0</v>
      </c>
      <c r="R426" s="9">
        <f t="shared" si="998"/>
        <v>0</v>
      </c>
      <c r="S426" s="9">
        <f t="shared" si="998"/>
        <v>0</v>
      </c>
      <c r="T426" s="9">
        <f t="shared" si="998"/>
        <v>0</v>
      </c>
      <c r="U426" s="9">
        <f t="shared" si="998"/>
        <v>0</v>
      </c>
      <c r="V426" s="13">
        <f t="shared" si="998"/>
        <v>0</v>
      </c>
      <c r="W426" s="9">
        <f t="shared" si="998"/>
        <v>0</v>
      </c>
      <c r="X426" s="9">
        <f t="shared" si="998"/>
        <v>0</v>
      </c>
      <c r="Y426" s="9">
        <f t="shared" si="998"/>
        <v>0</v>
      </c>
      <c r="Z426" s="9">
        <f t="shared" si="998"/>
        <v>0</v>
      </c>
      <c r="AA426" s="13">
        <f t="shared" si="998"/>
        <v>0</v>
      </c>
      <c r="AB426" s="9">
        <f t="shared" si="998"/>
        <v>0</v>
      </c>
      <c r="AC426" s="9">
        <f t="shared" si="998"/>
        <v>0</v>
      </c>
      <c r="AD426" s="9">
        <f t="shared" si="998"/>
        <v>0</v>
      </c>
      <c r="AE426" s="9">
        <f t="shared" si="998"/>
        <v>0</v>
      </c>
      <c r="AF426" s="13">
        <f t="shared" si="998"/>
        <v>0</v>
      </c>
      <c r="AG426" s="9">
        <f t="shared" si="998"/>
        <v>0</v>
      </c>
      <c r="AH426" s="9">
        <f t="shared" si="998"/>
        <v>0</v>
      </c>
      <c r="AI426" s="9">
        <f t="shared" si="998"/>
        <v>0</v>
      </c>
      <c r="AJ426" s="9">
        <f t="shared" si="998"/>
        <v>0</v>
      </c>
      <c r="AK426" s="13">
        <f t="shared" si="998"/>
        <v>0</v>
      </c>
      <c r="AL426" s="9">
        <f t="shared" si="998"/>
        <v>0</v>
      </c>
      <c r="AM426" s="9">
        <f t="shared" si="998"/>
        <v>0</v>
      </c>
      <c r="AN426" s="9">
        <f t="shared" ca="1" si="998"/>
        <v>0</v>
      </c>
      <c r="AO426" s="9">
        <f t="shared" ref="AO426:AP426" ca="1" si="999">AO398-AO424</f>
        <v>0</v>
      </c>
      <c r="AP426" s="199">
        <f t="shared" ca="1" si="999"/>
        <v>0</v>
      </c>
      <c r="AQ426" s="9">
        <f t="shared" ref="AQ426:AU426" ca="1" si="1000">AQ398-AQ424</f>
        <v>0</v>
      </c>
      <c r="AR426" s="9">
        <f t="shared" ca="1" si="1000"/>
        <v>0</v>
      </c>
      <c r="AS426" s="9">
        <f t="shared" ca="1" si="1000"/>
        <v>0</v>
      </c>
      <c r="AT426" s="9">
        <f t="shared" ca="1" si="1000"/>
        <v>0</v>
      </c>
      <c r="AU426" s="199">
        <f t="shared" ca="1" si="1000"/>
        <v>0</v>
      </c>
      <c r="AV426" s="9">
        <f t="shared" ref="AV426:AY426" ca="1" si="1001">AV398-AV424</f>
        <v>0</v>
      </c>
      <c r="AW426" s="9">
        <f t="shared" ca="1" si="1001"/>
        <v>0</v>
      </c>
      <c r="AX426" s="9">
        <f t="shared" ca="1" si="1001"/>
        <v>0</v>
      </c>
      <c r="AY426" s="9">
        <f t="shared" ca="1" si="1001"/>
        <v>0</v>
      </c>
      <c r="AZ426" s="199">
        <f t="shared" ref="AZ426" ca="1" si="1002">AZ398-AZ424</f>
        <v>0</v>
      </c>
    </row>
    <row r="427" spans="2:52">
      <c r="B427" s="9"/>
      <c r="E427" s="13"/>
      <c r="F427" s="13"/>
      <c r="G427" s="13"/>
      <c r="H427" s="9"/>
      <c r="I427" s="9"/>
      <c r="J427" s="9"/>
      <c r="K427" s="9"/>
      <c r="L427" s="13"/>
      <c r="M427" s="9"/>
      <c r="N427" s="9"/>
      <c r="O427" s="9"/>
      <c r="P427" s="9"/>
      <c r="Q427" s="13"/>
      <c r="R427" s="9"/>
      <c r="S427" s="9"/>
      <c r="T427" s="9"/>
      <c r="U427" s="9"/>
      <c r="V427" s="13"/>
      <c r="W427" s="9"/>
      <c r="X427" s="9"/>
      <c r="Y427" s="9"/>
      <c r="Z427" s="9"/>
      <c r="AA427" s="13"/>
      <c r="AB427" s="9"/>
      <c r="AC427" s="9"/>
      <c r="AD427" s="9"/>
      <c r="AE427" s="9"/>
      <c r="AF427" s="13"/>
      <c r="AG427" s="9"/>
      <c r="AH427" s="9"/>
      <c r="AI427" s="9"/>
      <c r="AJ427" s="9"/>
      <c r="AK427" s="13"/>
      <c r="AL427" s="9"/>
      <c r="AM427" s="9"/>
      <c r="AP427" s="199"/>
      <c r="AU427" s="199"/>
      <c r="AV427" s="83"/>
      <c r="AW427" s="83"/>
      <c r="AX427" s="83"/>
      <c r="AY427" s="83"/>
      <c r="AZ427" s="199"/>
    </row>
    <row r="428" spans="2:52">
      <c r="B428" s="11" t="s">
        <v>578</v>
      </c>
      <c r="E428" s="13"/>
      <c r="F428" s="13"/>
      <c r="G428" s="13"/>
      <c r="H428" s="9"/>
      <c r="I428" s="9"/>
      <c r="J428" s="9"/>
      <c r="K428" s="9"/>
      <c r="L428" s="13"/>
      <c r="M428" s="9"/>
      <c r="N428" s="9"/>
      <c r="O428" s="9"/>
      <c r="P428" s="9"/>
      <c r="Q428" s="13"/>
      <c r="R428" s="9"/>
      <c r="S428" s="9"/>
      <c r="T428" s="9"/>
      <c r="U428" s="9"/>
      <c r="V428" s="13"/>
      <c r="W428" s="9"/>
      <c r="X428" s="9"/>
      <c r="Y428" s="9"/>
      <c r="Z428" s="9"/>
      <c r="AA428" s="13"/>
      <c r="AB428" s="9"/>
      <c r="AC428" s="9"/>
      <c r="AD428" s="9"/>
      <c r="AE428" s="9"/>
      <c r="AF428" s="13"/>
      <c r="AG428" s="9"/>
      <c r="AH428" s="9"/>
      <c r="AI428" s="9"/>
      <c r="AJ428" s="9"/>
      <c r="AK428" s="13"/>
      <c r="AL428" s="9"/>
      <c r="AP428" s="199"/>
      <c r="AU428" s="199"/>
      <c r="AV428" s="83"/>
      <c r="AW428" s="83"/>
      <c r="AX428" s="83"/>
      <c r="AY428" s="83"/>
      <c r="AZ428" s="199"/>
    </row>
    <row r="429" spans="2:52">
      <c r="B429" s="194" t="s">
        <v>579</v>
      </c>
      <c r="E429" s="13"/>
      <c r="F429" s="13"/>
      <c r="G429" s="13"/>
      <c r="H429" s="274"/>
      <c r="I429" s="274"/>
      <c r="J429" s="274"/>
      <c r="K429" s="274"/>
      <c r="L429" s="275"/>
      <c r="M429" s="274"/>
      <c r="N429" s="274"/>
      <c r="O429" s="274">
        <f>O390/O148*qdays</f>
        <v>38.107843137254903</v>
      </c>
      <c r="P429" s="274">
        <f>P390/P148*qdays</f>
        <v>37.202275151084251</v>
      </c>
      <c r="Q429" s="275">
        <f>Q390/Q148*ydays</f>
        <v>38.08983666061706</v>
      </c>
      <c r="R429" s="274">
        <f>R390/R148*qdays</f>
        <v>36.923322683706068</v>
      </c>
      <c r="S429" s="274">
        <f>S390/S148*qdays</f>
        <v>34.561877667140827</v>
      </c>
      <c r="T429" s="274">
        <f>T390/T148*qdays</f>
        <v>34.560975609756099</v>
      </c>
      <c r="U429" s="274">
        <f>U390/U148*qdays</f>
        <v>34.582481254260394</v>
      </c>
      <c r="V429" s="275">
        <f>V390/V148*ydays</f>
        <v>36.598471223021583</v>
      </c>
      <c r="W429" s="274">
        <f>W390/W148*qdays</f>
        <v>36.114427860696523</v>
      </c>
      <c r="X429" s="274">
        <f>X390/X148*qdays</f>
        <v>32.091480446927378</v>
      </c>
      <c r="Y429" s="274">
        <f>Y390/Y148*qdays</f>
        <v>31.669205298013246</v>
      </c>
      <c r="Z429" s="274">
        <f>Z390/Z148*qdays</f>
        <v>30.556872797180393</v>
      </c>
      <c r="AA429" s="275">
        <f>AA390/AA148*ydays</f>
        <v>32.924771905663626</v>
      </c>
      <c r="AB429" s="274">
        <f>AB390/AB148*qdays</f>
        <v>33.395933838731914</v>
      </c>
      <c r="AC429" s="274">
        <f>AC390/AC148*qdays</f>
        <v>31.154458598726112</v>
      </c>
      <c r="AD429" s="274">
        <f>AD390/AD148*qdays</f>
        <v>31.864000000000001</v>
      </c>
      <c r="AE429" s="274">
        <f>AE390/AE148*qdays</f>
        <v>30.807431436154527</v>
      </c>
      <c r="AF429" s="275">
        <f>AF390/AF148*ydays</f>
        <v>33.037924781203181</v>
      </c>
      <c r="AG429" s="274">
        <f>AG390/AG148*qdays</f>
        <v>35.891487979207277</v>
      </c>
      <c r="AH429" s="274">
        <f>AH390/AH148*qdays</f>
        <v>33.952166572875633</v>
      </c>
      <c r="AI429" s="274">
        <f>AI390/AI148*qdays</f>
        <v>36.982882385422421</v>
      </c>
      <c r="AJ429" s="274">
        <f>AJ390/AJ148*qdays</f>
        <v>35.509860636339731</v>
      </c>
      <c r="AK429" s="275">
        <f>AK390/AK148*ydays</f>
        <v>38.533115173934696</v>
      </c>
      <c r="AL429" s="274">
        <f>AL390/AL148*qdays</f>
        <v>39.379958246346554</v>
      </c>
      <c r="AM429" s="274">
        <f>AM390/AM148*qdays</f>
        <v>31.486144101346003</v>
      </c>
      <c r="AN429" s="20">
        <v>31</v>
      </c>
      <c r="AO429" s="20">
        <v>31</v>
      </c>
      <c r="AP429" s="276">
        <f>AP390/AP148*ydays</f>
        <v>32.791331474070219</v>
      </c>
      <c r="AQ429" s="20">
        <v>31</v>
      </c>
      <c r="AR429" s="20">
        <v>31</v>
      </c>
      <c r="AS429" s="20">
        <v>31</v>
      </c>
      <c r="AT429" s="20">
        <v>31</v>
      </c>
      <c r="AU429" s="276">
        <f>AU390/AU148*ydays</f>
        <v>32.641978720246058</v>
      </c>
      <c r="AV429" s="20">
        <v>31</v>
      </c>
      <c r="AW429" s="20">
        <v>31</v>
      </c>
      <c r="AX429" s="20">
        <v>31</v>
      </c>
      <c r="AY429" s="20">
        <v>31</v>
      </c>
      <c r="AZ429" s="276">
        <f>AZ390/AZ148*ydays</f>
        <v>32.584927046097434</v>
      </c>
    </row>
    <row r="430" spans="2:52">
      <c r="B430" s="194" t="s">
        <v>580</v>
      </c>
      <c r="E430" s="13"/>
      <c r="F430" s="13"/>
      <c r="G430" s="13"/>
      <c r="H430" s="274"/>
      <c r="I430" s="274"/>
      <c r="J430" s="274"/>
      <c r="K430" s="274"/>
      <c r="L430" s="275"/>
      <c r="M430" s="274"/>
      <c r="N430" s="274"/>
      <c r="O430" s="274">
        <f>O391/O151*qdays</f>
        <v>51.753554502369667</v>
      </c>
      <c r="P430" s="274">
        <f>P391/P151*qdays</f>
        <v>45.53637090327738</v>
      </c>
      <c r="Q430" s="275">
        <f>Q391/Q151*ydays</f>
        <v>46.975740131578945</v>
      </c>
      <c r="R430" s="274">
        <f>R391/R151*qdays</f>
        <v>55.606451612903221</v>
      </c>
      <c r="S430" s="274">
        <f>S391/S151*qdays</f>
        <v>52.239330543933058</v>
      </c>
      <c r="T430" s="274">
        <f>T391/T151*qdays</f>
        <v>55.516653127538582</v>
      </c>
      <c r="U430" s="274">
        <f>U391/U151*qdays</f>
        <v>46.459016393442624</v>
      </c>
      <c r="V430" s="275">
        <f>V391/V151*ydays</f>
        <v>49.81427378964942</v>
      </c>
      <c r="W430" s="274">
        <f>W391/W151*qdays</f>
        <v>54.970770593445529</v>
      </c>
      <c r="X430" s="274">
        <f>X391/X151*qdays</f>
        <v>54.25139664804469</v>
      </c>
      <c r="Y430" s="274">
        <f>Y391/Y151*qdays</f>
        <v>56.252063015753933</v>
      </c>
      <c r="Z430" s="274">
        <f>Z391/Z151*qdays</f>
        <v>50.35729847494553</v>
      </c>
      <c r="AA430" s="275">
        <f>AA391/AA151*ydays</f>
        <v>54.620974076983501</v>
      </c>
      <c r="AB430" s="274">
        <f>AB391/AB151*qdays</f>
        <v>59.280402788536016</v>
      </c>
      <c r="AC430" s="274">
        <f>AC391/AC151*qdays</f>
        <v>59.756222547584187</v>
      </c>
      <c r="AD430" s="274">
        <f>AD391/AD151*qdays</f>
        <v>62.377997179125536</v>
      </c>
      <c r="AE430" s="274">
        <f>AE391/AE151*qdays</f>
        <v>51.983386581469652</v>
      </c>
      <c r="AF430" s="275">
        <f>AF391/AF151*ydays</f>
        <v>57.85638297872341</v>
      </c>
      <c r="AG430" s="274">
        <f>AG391/AG151*qdays</f>
        <v>65.357388316151201</v>
      </c>
      <c r="AH430" s="274">
        <f>AH391/AH151*qdays</f>
        <v>70.073958980733366</v>
      </c>
      <c r="AI430" s="274">
        <f>AI391/AI151*qdays</f>
        <v>79.937690897984112</v>
      </c>
      <c r="AJ430" s="274">
        <f>AJ391/AJ151*qdays</f>
        <v>66.875838926174495</v>
      </c>
      <c r="AK430" s="275">
        <f>AK391/AK151*ydays</f>
        <v>73.91123439667129</v>
      </c>
      <c r="AL430" s="274">
        <f>AL391/AL151*qdays</f>
        <v>79.861829652996846</v>
      </c>
      <c r="AM430" s="274">
        <f>AM391/AM151*qdays</f>
        <v>73.522475189725625</v>
      </c>
      <c r="AN430" s="20">
        <v>73</v>
      </c>
      <c r="AO430" s="20">
        <v>73</v>
      </c>
      <c r="AP430" s="276">
        <f>AP391/AP151*ydays</f>
        <v>75.338064879030156</v>
      </c>
      <c r="AQ430" s="20">
        <v>73</v>
      </c>
      <c r="AR430" s="20">
        <v>73</v>
      </c>
      <c r="AS430" s="20">
        <v>73</v>
      </c>
      <c r="AT430" s="20">
        <v>73</v>
      </c>
      <c r="AU430" s="276">
        <f>AU391/AU151*ydays</f>
        <v>75.420006595926836</v>
      </c>
      <c r="AV430" s="20">
        <v>73</v>
      </c>
      <c r="AW430" s="20">
        <v>73</v>
      </c>
      <c r="AX430" s="20">
        <v>73</v>
      </c>
      <c r="AY430" s="20">
        <v>73</v>
      </c>
      <c r="AZ430" s="276">
        <f>AZ391/AZ151*ydays</f>
        <v>75.330196815581161</v>
      </c>
    </row>
    <row r="431" spans="2:52">
      <c r="B431" s="194" t="s">
        <v>581</v>
      </c>
      <c r="E431" s="13"/>
      <c r="F431" s="13"/>
      <c r="G431" s="13"/>
      <c r="H431" s="274"/>
      <c r="I431" s="274"/>
      <c r="J431" s="274"/>
      <c r="K431" s="274"/>
      <c r="L431" s="275"/>
      <c r="M431" s="274"/>
      <c r="N431" s="274"/>
      <c r="O431" s="274">
        <f>O403/O151*qdays</f>
        <v>119.53633491311216</v>
      </c>
      <c r="P431" s="274">
        <f>P403/P151*qdays</f>
        <v>111.87689848121504</v>
      </c>
      <c r="Q431" s="275">
        <f>Q403/Q151*ydays</f>
        <v>115.41324013157895</v>
      </c>
      <c r="R431" s="274">
        <f>R403/R151*qdays</f>
        <v>130.58709677419355</v>
      </c>
      <c r="S431" s="274">
        <f>S403/S151*qdays</f>
        <v>111.48451882845187</v>
      </c>
      <c r="T431" s="274">
        <f>T403/T151*qdays</f>
        <v>103.78878960194963</v>
      </c>
      <c r="U431" s="274">
        <f>U403/U151*qdays</f>
        <v>89.508196721311478</v>
      </c>
      <c r="V431" s="275">
        <f>V403/V151*ydays</f>
        <v>95.972454090150251</v>
      </c>
      <c r="W431" s="274">
        <f>W403/W151*qdays</f>
        <v>98.173604960141716</v>
      </c>
      <c r="X431" s="274">
        <f>X403/X151*qdays</f>
        <v>81.486033519553075</v>
      </c>
      <c r="Y431" s="274">
        <f>Y403/Y151*qdays</f>
        <v>83.763690922730675</v>
      </c>
      <c r="Z431" s="274">
        <f>Z403/Z151*qdays</f>
        <v>78.840232389251995</v>
      </c>
      <c r="AA431" s="275">
        <f>AA403/AA151*ydays</f>
        <v>85.51551453260015</v>
      </c>
      <c r="AB431" s="274">
        <f>AB403/AB151*qdays</f>
        <v>80.144848954298993</v>
      </c>
      <c r="AC431" s="274">
        <f>AC403/AC151*qdays</f>
        <v>77.47657393850659</v>
      </c>
      <c r="AD431" s="274">
        <f>AD403/AD151*qdays</f>
        <v>81.052891396332853</v>
      </c>
      <c r="AE431" s="274">
        <f>AE403/AE151*qdays</f>
        <v>72.8</v>
      </c>
      <c r="AF431" s="275">
        <f>AF403/AF151*ydays</f>
        <v>81.024822695035454</v>
      </c>
      <c r="AG431" s="274">
        <f>AG403/AG151*qdays</f>
        <v>73.23780068728523</v>
      </c>
      <c r="AH431" s="274">
        <f>AH403/AH151*qdays</f>
        <v>70.752641392169053</v>
      </c>
      <c r="AI431" s="274">
        <f>AI403/AI151*qdays</f>
        <v>70.821014050091634</v>
      </c>
      <c r="AJ431" s="274">
        <f>AJ403/AJ151*qdays</f>
        <v>65.654362416107389</v>
      </c>
      <c r="AK431" s="275">
        <f>AK403/AK151*ydays</f>
        <v>72.561257512713823</v>
      </c>
      <c r="AL431" s="274">
        <f>AL403/AL151*qdays</f>
        <v>67.919873817034699</v>
      </c>
      <c r="AM431" s="274">
        <f>AM403/AM151*qdays</f>
        <v>61.410391126678341</v>
      </c>
      <c r="AN431" s="20">
        <v>61</v>
      </c>
      <c r="AO431" s="20">
        <v>61</v>
      </c>
      <c r="AP431" s="276">
        <f>AP403/AP151*ydays</f>
        <v>62.953725446860823</v>
      </c>
      <c r="AQ431" s="20">
        <v>61</v>
      </c>
      <c r="AR431" s="20">
        <v>61</v>
      </c>
      <c r="AS431" s="20">
        <v>61</v>
      </c>
      <c r="AT431" s="20">
        <v>61</v>
      </c>
      <c r="AU431" s="276">
        <f>AU403/AU151*ydays</f>
        <v>63.022197292486815</v>
      </c>
      <c r="AV431" s="20">
        <v>61</v>
      </c>
      <c r="AW431" s="20">
        <v>61</v>
      </c>
      <c r="AX431" s="20">
        <v>61</v>
      </c>
      <c r="AY431" s="20">
        <v>61</v>
      </c>
      <c r="AZ431" s="276">
        <f>AZ403/AZ151*ydays</f>
        <v>62.947150763704812</v>
      </c>
    </row>
    <row r="432" spans="2:52">
      <c r="B432" s="194" t="s">
        <v>582</v>
      </c>
      <c r="E432" s="13"/>
      <c r="F432" s="13"/>
      <c r="G432" s="13"/>
      <c r="H432" s="274"/>
      <c r="I432" s="274"/>
      <c r="J432" s="274"/>
      <c r="K432" s="274"/>
      <c r="L432" s="275"/>
      <c r="M432" s="274"/>
      <c r="N432" s="274"/>
      <c r="O432" s="274">
        <f>O429+O430-O431</f>
        <v>-29.674937273487586</v>
      </c>
      <c r="P432" s="274">
        <f t="shared" ref="O432:P432" si="1003">P429+P430-P431</f>
        <v>-29.138252426853413</v>
      </c>
      <c r="Q432" s="275">
        <f>Q429+Q430-Q431</f>
        <v>-30.347663339382947</v>
      </c>
      <c r="R432" s="274">
        <f t="shared" ref="R432:U432" si="1004">R429+R430-R431</f>
        <v>-38.057322477584265</v>
      </c>
      <c r="S432" s="274">
        <f t="shared" si="1004"/>
        <v>-24.683310617377984</v>
      </c>
      <c r="T432" s="274">
        <f t="shared" si="1004"/>
        <v>-13.711160864654957</v>
      </c>
      <c r="U432" s="274">
        <f t="shared" si="1004"/>
        <v>-8.4666990736084671</v>
      </c>
      <c r="V432" s="275">
        <f>V429+V430-V431</f>
        <v>-9.5597090774792548</v>
      </c>
      <c r="W432" s="274">
        <f t="shared" ref="W432:Z432" si="1005">W429+W430-W431</f>
        <v>-7.0884065059996715</v>
      </c>
      <c r="X432" s="274">
        <f t="shared" si="1005"/>
        <v>4.856843575418992</v>
      </c>
      <c r="Y432" s="274">
        <f t="shared" si="1005"/>
        <v>4.1575773910364973</v>
      </c>
      <c r="Z432" s="274">
        <f t="shared" si="1005"/>
        <v>2.0739388828739322</v>
      </c>
      <c r="AA432" s="275">
        <f>AA429+AA430-AA431</f>
        <v>2.0302314500469834</v>
      </c>
      <c r="AB432" s="274">
        <f t="shared" ref="AB432:AE432" si="1006">AB429+AB430-AB431</f>
        <v>12.531487672968936</v>
      </c>
      <c r="AC432" s="274">
        <f t="shared" si="1006"/>
        <v>13.434107207803706</v>
      </c>
      <c r="AD432" s="274">
        <f t="shared" si="1006"/>
        <v>13.18910578279268</v>
      </c>
      <c r="AE432" s="274">
        <f t="shared" si="1006"/>
        <v>9.9908180176241785</v>
      </c>
      <c r="AF432" s="275">
        <f>AF429+AF430-AF431</f>
        <v>9.869485064891137</v>
      </c>
      <c r="AG432" s="274">
        <f t="shared" ref="AG432:AJ432" si="1007">AG429+AG430-AG431</f>
        <v>28.011075608073256</v>
      </c>
      <c r="AH432" s="274">
        <f t="shared" si="1007"/>
        <v>33.273484161439953</v>
      </c>
      <c r="AI432" s="274">
        <f t="shared" si="1007"/>
        <v>46.099559233314892</v>
      </c>
      <c r="AJ432" s="274">
        <f t="shared" si="1007"/>
        <v>36.73133714640683</v>
      </c>
      <c r="AK432" s="275">
        <f>AK429+AK430-AK431</f>
        <v>39.883092057892171</v>
      </c>
      <c r="AL432" s="274">
        <f>AL429+AL430-AL431</f>
        <v>51.321914082308695</v>
      </c>
      <c r="AM432" s="274">
        <f>AM429+AM430-AM431</f>
        <v>43.598228164393284</v>
      </c>
      <c r="AN432" s="21">
        <f t="shared" ref="AN432:AY432" si="1008">AN429+AN430-AN431</f>
        <v>43</v>
      </c>
      <c r="AO432" s="21">
        <f t="shared" si="1008"/>
        <v>43</v>
      </c>
      <c r="AP432" s="276">
        <f>AP429+AP430-AP431</f>
        <v>45.175670906239553</v>
      </c>
      <c r="AQ432" s="21">
        <f t="shared" si="1008"/>
        <v>43</v>
      </c>
      <c r="AR432" s="21">
        <f t="shared" si="1008"/>
        <v>43</v>
      </c>
      <c r="AS432" s="21">
        <f t="shared" si="1008"/>
        <v>43</v>
      </c>
      <c r="AT432" s="21">
        <f t="shared" si="1008"/>
        <v>43</v>
      </c>
      <c r="AU432" s="276">
        <f>AU429+AU430-AU431</f>
        <v>45.039788023686079</v>
      </c>
      <c r="AV432" s="277">
        <f t="shared" si="1008"/>
        <v>43</v>
      </c>
      <c r="AW432" s="277">
        <f t="shared" si="1008"/>
        <v>43</v>
      </c>
      <c r="AX432" s="277">
        <f t="shared" si="1008"/>
        <v>43</v>
      </c>
      <c r="AY432" s="277">
        <f t="shared" si="1008"/>
        <v>43</v>
      </c>
      <c r="AZ432" s="276">
        <f>AZ429+AZ430-AZ431</f>
        <v>44.967973097973783</v>
      </c>
    </row>
    <row r="433" spans="2:52">
      <c r="B433" s="194"/>
      <c r="E433" s="13"/>
      <c r="F433" s="13"/>
      <c r="G433" s="13"/>
      <c r="H433" s="9"/>
      <c r="I433" s="9"/>
      <c r="J433" s="9"/>
      <c r="K433" s="9"/>
      <c r="L433" s="13"/>
      <c r="M433" s="9"/>
      <c r="N433" s="9"/>
      <c r="O433" s="9"/>
      <c r="P433" s="9"/>
      <c r="Q433" s="13"/>
      <c r="R433" s="9"/>
      <c r="S433" s="9"/>
      <c r="T433" s="9"/>
      <c r="U433" s="9"/>
      <c r="V433" s="13"/>
      <c r="W433" s="9"/>
      <c r="X433" s="9"/>
      <c r="Y433" s="9"/>
      <c r="Z433" s="9"/>
      <c r="AA433" s="13"/>
      <c r="AB433" s="9"/>
      <c r="AC433" s="9"/>
      <c r="AD433" s="9"/>
      <c r="AE433" s="9"/>
      <c r="AF433" s="13"/>
      <c r="AG433" s="9"/>
      <c r="AH433" s="9"/>
      <c r="AI433" s="9"/>
      <c r="AJ433" s="9"/>
      <c r="AK433" s="13"/>
      <c r="AL433" s="9"/>
      <c r="AM433" s="9"/>
      <c r="AP433" s="199"/>
      <c r="AU433" s="199"/>
      <c r="AV433" s="83"/>
      <c r="AW433" s="83"/>
      <c r="AX433" s="83"/>
      <c r="AY433" s="83"/>
      <c r="AZ433" s="199"/>
    </row>
    <row r="434" spans="2:52">
      <c r="B434" s="194" t="s">
        <v>583</v>
      </c>
      <c r="C434">
        <v>91</v>
      </c>
      <c r="E434" s="13"/>
      <c r="F434" s="13"/>
      <c r="G434" s="13"/>
      <c r="H434" s="9"/>
      <c r="I434" s="9"/>
      <c r="J434" s="9"/>
      <c r="K434" s="9"/>
      <c r="L434" s="13"/>
      <c r="M434" s="9"/>
      <c r="N434" s="9"/>
      <c r="O434" s="9"/>
      <c r="P434" s="9"/>
      <c r="Q434" s="13"/>
      <c r="R434" s="9"/>
      <c r="S434" s="9"/>
      <c r="T434" s="9"/>
      <c r="U434" s="9"/>
      <c r="V434" s="13"/>
      <c r="W434" s="9"/>
      <c r="X434" s="9"/>
      <c r="Y434" s="9"/>
      <c r="Z434" s="9"/>
      <c r="AA434" s="13"/>
      <c r="AB434" s="9"/>
      <c r="AC434" s="9"/>
      <c r="AD434" s="9"/>
      <c r="AE434" s="9"/>
      <c r="AF434" s="13"/>
      <c r="AG434" s="9"/>
      <c r="AH434" s="9"/>
      <c r="AI434" s="9"/>
      <c r="AJ434" s="9"/>
      <c r="AK434" s="13"/>
      <c r="AL434" s="9"/>
      <c r="AM434" s="9"/>
      <c r="AP434" s="199"/>
      <c r="AU434" s="199"/>
      <c r="AV434" s="83"/>
      <c r="AW434" s="83"/>
      <c r="AX434" s="83"/>
      <c r="AY434" s="83"/>
      <c r="AZ434" s="199"/>
    </row>
    <row r="435" spans="2:52">
      <c r="B435" s="194" t="s">
        <v>584</v>
      </c>
      <c r="C435">
        <v>365</v>
      </c>
      <c r="E435" s="12"/>
      <c r="F435" s="12"/>
      <c r="G435" s="12"/>
      <c r="L435" s="12"/>
      <c r="Q435" s="12"/>
      <c r="V435" s="12"/>
      <c r="AA435" s="12"/>
      <c r="AF435" s="12"/>
      <c r="AK435" s="12"/>
      <c r="AP435" s="199"/>
      <c r="AU435" s="199"/>
      <c r="AV435" s="83"/>
      <c r="AW435" s="83"/>
      <c r="AX435" s="83"/>
      <c r="AY435" s="83"/>
      <c r="AZ435" s="199"/>
    </row>
    <row r="436" spans="2:52">
      <c r="B436" s="24" t="s">
        <v>131</v>
      </c>
      <c r="C436" s="27"/>
      <c r="D436" s="27"/>
      <c r="E436" s="665" t="s">
        <v>131</v>
      </c>
      <c r="F436" s="665"/>
      <c r="G436" s="665"/>
      <c r="H436" s="665"/>
      <c r="I436" s="665"/>
      <c r="J436" s="665"/>
      <c r="K436" s="665"/>
      <c r="L436" s="665"/>
      <c r="M436" s="665"/>
      <c r="N436" s="665"/>
      <c r="O436" s="665"/>
      <c r="P436" s="665"/>
      <c r="Q436" s="665"/>
      <c r="R436" s="665"/>
      <c r="S436" s="665"/>
      <c r="T436" s="665"/>
      <c r="U436" s="665"/>
      <c r="V436" s="665"/>
      <c r="W436" s="665"/>
      <c r="X436" s="665"/>
      <c r="Y436" s="665"/>
      <c r="Z436" s="665"/>
      <c r="AA436" s="665"/>
      <c r="AB436" s="665"/>
      <c r="AC436" s="665"/>
      <c r="AD436" s="665"/>
      <c r="AE436" s="665"/>
      <c r="AF436" s="665"/>
      <c r="AG436" s="665"/>
      <c r="AH436" s="665"/>
      <c r="AI436" s="665"/>
      <c r="AJ436" s="665"/>
      <c r="AK436" s="665"/>
      <c r="AL436" s="665"/>
      <c r="AM436" s="665"/>
      <c r="AN436" s="196"/>
      <c r="AO436" s="196"/>
      <c r="AP436" s="196"/>
      <c r="AQ436" s="196"/>
      <c r="AR436" s="196"/>
      <c r="AS436" s="196"/>
      <c r="AT436" s="196"/>
      <c r="AU436" s="196"/>
      <c r="AV436" s="196"/>
      <c r="AW436" s="196"/>
      <c r="AX436" s="196"/>
      <c r="AY436" s="196"/>
      <c r="AZ436" s="196"/>
    </row>
    <row r="437" spans="2:52">
      <c r="E437" s="12"/>
      <c r="F437" s="12"/>
      <c r="G437" s="12"/>
      <c r="L437" s="12"/>
      <c r="Q437" s="12"/>
      <c r="V437" s="12"/>
      <c r="AA437" s="12"/>
      <c r="AF437" s="12"/>
      <c r="AK437" s="12"/>
      <c r="AP437" s="199"/>
      <c r="AU437" s="199"/>
      <c r="AV437" s="83"/>
      <c r="AW437" s="83"/>
      <c r="AX437" s="83"/>
      <c r="AY437" s="83"/>
      <c r="AZ437" s="199"/>
    </row>
    <row r="438" spans="2:52">
      <c r="B438" s="11" t="s">
        <v>132</v>
      </c>
      <c r="C438" t="s">
        <v>152</v>
      </c>
      <c r="E438" s="14"/>
      <c r="F438" s="14"/>
      <c r="G438" s="14"/>
      <c r="H438" s="15"/>
      <c r="I438" s="15"/>
      <c r="J438" s="15"/>
      <c r="K438" s="15"/>
      <c r="L438" s="14"/>
      <c r="M438" s="15"/>
      <c r="N438" s="15"/>
      <c r="O438" s="585">
        <v>149</v>
      </c>
      <c r="P438" s="585">
        <v>619</v>
      </c>
      <c r="Q438" s="586">
        <v>589</v>
      </c>
      <c r="R438" s="585">
        <v>230</v>
      </c>
      <c r="S438" s="585">
        <v>314</v>
      </c>
      <c r="T438" s="585">
        <v>304</v>
      </c>
      <c r="U438" s="585">
        <v>406</v>
      </c>
      <c r="V438" s="586">
        <v>1254</v>
      </c>
      <c r="W438" s="585">
        <v>156</v>
      </c>
      <c r="X438" s="585">
        <v>298</v>
      </c>
      <c r="Y438" s="585">
        <v>443</v>
      </c>
      <c r="Z438" s="585">
        <v>428</v>
      </c>
      <c r="AA438" s="586">
        <v>1325</v>
      </c>
      <c r="AB438" s="585">
        <v>325</v>
      </c>
      <c r="AC438" s="585">
        <v>448</v>
      </c>
      <c r="AD438" s="585">
        <v>530</v>
      </c>
      <c r="AE438" s="585">
        <v>843</v>
      </c>
      <c r="AF438" s="586">
        <v>2146</v>
      </c>
      <c r="AG438" s="585">
        <v>585</v>
      </c>
      <c r="AH438" s="585">
        <v>218</v>
      </c>
      <c r="AI438" s="585">
        <v>180</v>
      </c>
      <c r="AJ438" s="585">
        <v>453</v>
      </c>
      <c r="AK438" s="586">
        <v>1436</v>
      </c>
      <c r="AL438" s="585">
        <v>467</v>
      </c>
      <c r="AM438" s="585">
        <v>503</v>
      </c>
      <c r="AN438" s="15">
        <f t="shared" ref="AN438:AZ438" ca="1" si="1009">AN346</f>
        <v>719.01767310812454</v>
      </c>
      <c r="AO438" s="15">
        <f t="shared" ca="1" si="1009"/>
        <v>780.88400772737236</v>
      </c>
      <c r="AP438" s="206">
        <f t="shared" ca="1" si="1009"/>
        <v>2469.9016808354968</v>
      </c>
      <c r="AQ438" s="15">
        <f t="shared" si="1009"/>
        <v>470.16012493972175</v>
      </c>
      <c r="AR438" s="15">
        <f t="shared" si="1009"/>
        <v>614.57738752478929</v>
      </c>
      <c r="AS438" s="15">
        <f t="shared" si="1009"/>
        <v>715.10257211391104</v>
      </c>
      <c r="AT438" s="15">
        <f t="shared" si="1009"/>
        <v>774.28767094648913</v>
      </c>
      <c r="AU438" s="206">
        <f t="shared" si="1009"/>
        <v>2574.1277555249112</v>
      </c>
      <c r="AV438" s="15">
        <f t="shared" si="1009"/>
        <v>466.2200580108065</v>
      </c>
      <c r="AW438" s="15">
        <f t="shared" si="1009"/>
        <v>611.15443934586233</v>
      </c>
      <c r="AX438" s="15">
        <f t="shared" si="1009"/>
        <v>718.77964608399509</v>
      </c>
      <c r="AY438" s="15">
        <f t="shared" si="1009"/>
        <v>775.30018077956981</v>
      </c>
      <c r="AZ438" s="206">
        <f t="shared" si="1009"/>
        <v>2571.4543242202344</v>
      </c>
    </row>
    <row r="439" spans="2:52">
      <c r="B439" t="s">
        <v>585</v>
      </c>
      <c r="E439" s="14"/>
      <c r="F439" s="14"/>
      <c r="G439" s="14"/>
      <c r="H439" s="15"/>
      <c r="I439" s="15"/>
      <c r="J439" s="15"/>
      <c r="K439" s="15"/>
      <c r="L439" s="14"/>
      <c r="M439" s="15"/>
      <c r="N439" s="15"/>
      <c r="O439" s="585"/>
      <c r="P439" s="585"/>
      <c r="Q439" s="586">
        <v>233</v>
      </c>
      <c r="R439" s="585">
        <v>85</v>
      </c>
      <c r="S439" s="585">
        <v>87</v>
      </c>
      <c r="T439" s="585">
        <v>99</v>
      </c>
      <c r="U439" s="585">
        <v>87</v>
      </c>
      <c r="V439" s="586">
        <v>358</v>
      </c>
      <c r="W439" s="585">
        <v>98</v>
      </c>
      <c r="X439" s="585">
        <v>85</v>
      </c>
      <c r="Y439" s="585">
        <v>89</v>
      </c>
      <c r="Z439" s="585">
        <v>90</v>
      </c>
      <c r="AA439" s="586">
        <v>362</v>
      </c>
      <c r="AB439" s="585">
        <v>102</v>
      </c>
      <c r="AC439" s="585">
        <v>104</v>
      </c>
      <c r="AD439" s="585">
        <v>98</v>
      </c>
      <c r="AE439" s="585">
        <v>106</v>
      </c>
      <c r="AF439" s="586">
        <v>410</v>
      </c>
      <c r="AG439" s="585">
        <v>106</v>
      </c>
      <c r="AH439" s="585">
        <v>99</v>
      </c>
      <c r="AI439" s="585">
        <v>96</v>
      </c>
      <c r="AJ439" s="585">
        <v>98</v>
      </c>
      <c r="AK439" s="586">
        <v>399</v>
      </c>
      <c r="AL439" s="585">
        <v>107</v>
      </c>
      <c r="AM439" s="585">
        <v>94</v>
      </c>
      <c r="AN439" s="2">
        <f>AN440*AM395</f>
        <v>99.56</v>
      </c>
      <c r="AO439" s="2">
        <f>AO440*AN395</f>
        <v>99.56</v>
      </c>
      <c r="AP439" s="206">
        <f>SUM(AL439:AO439)</f>
        <v>400.12</v>
      </c>
      <c r="AQ439" s="2">
        <f t="shared" ref="AQ439:AT439" si="1010">AQ440*AP395</f>
        <v>99.56</v>
      </c>
      <c r="AR439" s="2">
        <f t="shared" si="1010"/>
        <v>99.56</v>
      </c>
      <c r="AS439" s="2">
        <f t="shared" si="1010"/>
        <v>99.56</v>
      </c>
      <c r="AT439" s="2">
        <f t="shared" si="1010"/>
        <v>99.56</v>
      </c>
      <c r="AU439" s="206">
        <f>SUM(AQ439:AT439)</f>
        <v>398.24</v>
      </c>
      <c r="AV439" s="2">
        <f t="shared" ref="AV439:AY439" si="1011">AV440*AU395</f>
        <v>99.56</v>
      </c>
      <c r="AW439" s="2">
        <f t="shared" si="1011"/>
        <v>99.56</v>
      </c>
      <c r="AX439" s="2">
        <f t="shared" si="1011"/>
        <v>99.56</v>
      </c>
      <c r="AY439" s="2">
        <f t="shared" si="1011"/>
        <v>99.56</v>
      </c>
      <c r="AZ439" s="206">
        <f>SUM(AV439:AY439)</f>
        <v>398.24</v>
      </c>
    </row>
    <row r="440" spans="2:52">
      <c r="B440" s="5" t="s">
        <v>586</v>
      </c>
      <c r="E440" s="14"/>
      <c r="F440" s="14"/>
      <c r="G440" s="14"/>
      <c r="H440" s="15"/>
      <c r="I440" s="15"/>
      <c r="J440" s="15"/>
      <c r="K440" s="15"/>
      <c r="L440" s="14"/>
      <c r="M440" s="15"/>
      <c r="N440" s="15"/>
      <c r="O440" s="585"/>
      <c r="P440" s="585"/>
      <c r="Q440" s="595">
        <v>0.10086580086580087</v>
      </c>
      <c r="R440" s="596">
        <v>3.7248028045574061E-2</v>
      </c>
      <c r="S440" s="596">
        <v>3.7991266375545854E-2</v>
      </c>
      <c r="T440" s="596">
        <v>4.4275491949910553E-2</v>
      </c>
      <c r="U440" s="596">
        <v>4.2899408284023666E-2</v>
      </c>
      <c r="V440" s="597">
        <v>0.1765285996055227</v>
      </c>
      <c r="W440" s="596">
        <v>4.8587010411502228E-2</v>
      </c>
      <c r="X440" s="596">
        <v>4.1042974408498308E-2</v>
      </c>
      <c r="Y440" s="596">
        <v>4.2543021032504777E-2</v>
      </c>
      <c r="Z440" s="596">
        <v>4.0687160940325498E-2</v>
      </c>
      <c r="AA440" s="597">
        <v>0.16365280289330922</v>
      </c>
      <c r="AB440" s="596">
        <v>4.5112781954887216E-2</v>
      </c>
      <c r="AC440" s="596">
        <v>4.2975206611570248E-2</v>
      </c>
      <c r="AD440" s="596">
        <v>4.0412371134020617E-2</v>
      </c>
      <c r="AE440" s="596">
        <v>4.2502004811547714E-2</v>
      </c>
      <c r="AF440" s="597">
        <v>0.16439454691259023</v>
      </c>
      <c r="AG440" s="596">
        <v>4.3513957307060758E-2</v>
      </c>
      <c r="AH440" s="596">
        <v>4.0474243663123466E-2</v>
      </c>
      <c r="AI440" s="596">
        <v>3.8662907772855415E-2</v>
      </c>
      <c r="AJ440" s="596">
        <v>3.9341629867523084E-2</v>
      </c>
      <c r="AK440" s="597">
        <v>0.16017663588920111</v>
      </c>
      <c r="AL440" s="596">
        <v>4.314516129032258E-2</v>
      </c>
      <c r="AM440" s="596">
        <v>3.776617115307352E-2</v>
      </c>
      <c r="AN440" s="241">
        <v>0.04</v>
      </c>
      <c r="AO440" s="241">
        <v>0.04</v>
      </c>
      <c r="AP440" s="242">
        <f>AP439/AP395</f>
        <v>0.16075532342306148</v>
      </c>
      <c r="AQ440" s="241">
        <v>0.04</v>
      </c>
      <c r="AR440" s="241">
        <v>0.04</v>
      </c>
      <c r="AS440" s="241">
        <v>0.04</v>
      </c>
      <c r="AT440" s="241">
        <v>0.04</v>
      </c>
      <c r="AU440" s="242">
        <f>AU439/AU395</f>
        <v>0.16</v>
      </c>
      <c r="AV440" s="241">
        <v>0.04</v>
      </c>
      <c r="AW440" s="241">
        <v>0.04</v>
      </c>
      <c r="AX440" s="241">
        <v>0.04</v>
      </c>
      <c r="AY440" s="241">
        <v>0.04</v>
      </c>
      <c r="AZ440" s="242">
        <f>AZ439/AZ395</f>
        <v>0.16</v>
      </c>
    </row>
    <row r="441" spans="2:52">
      <c r="B441" t="s">
        <v>682</v>
      </c>
      <c r="E441" s="14"/>
      <c r="F441" s="14"/>
      <c r="G441" s="14"/>
      <c r="H441" s="15"/>
      <c r="I441" s="15"/>
      <c r="J441" s="15"/>
      <c r="K441" s="15"/>
      <c r="L441" s="14"/>
      <c r="M441" s="15"/>
      <c r="N441" s="15"/>
      <c r="O441" s="585"/>
      <c r="P441" s="585"/>
      <c r="Q441" s="586">
        <v>229</v>
      </c>
      <c r="R441" s="585">
        <v>78</v>
      </c>
      <c r="S441" s="585">
        <v>94</v>
      </c>
      <c r="T441" s="585">
        <v>87</v>
      </c>
      <c r="U441" s="585">
        <v>81</v>
      </c>
      <c r="V441" s="586">
        <v>340</v>
      </c>
      <c r="W441" s="585">
        <v>65</v>
      </c>
      <c r="X441" s="585">
        <v>77</v>
      </c>
      <c r="Y441" s="585">
        <v>76</v>
      </c>
      <c r="Z441" s="585">
        <v>73</v>
      </c>
      <c r="AA441" s="586">
        <v>291</v>
      </c>
      <c r="AB441" s="585">
        <v>73</v>
      </c>
      <c r="AC441" s="585">
        <v>74</v>
      </c>
      <c r="AD441" s="585">
        <v>72</v>
      </c>
      <c r="AE441" s="585">
        <v>79</v>
      </c>
      <c r="AF441" s="586">
        <v>298</v>
      </c>
      <c r="AG441" s="585">
        <v>76</v>
      </c>
      <c r="AH441" s="585">
        <v>77</v>
      </c>
      <c r="AI441" s="585">
        <v>76</v>
      </c>
      <c r="AJ441" s="585">
        <v>81</v>
      </c>
      <c r="AK441" s="586">
        <v>310</v>
      </c>
      <c r="AL441" s="585">
        <v>79</v>
      </c>
      <c r="AM441" s="585">
        <v>81</v>
      </c>
      <c r="AN441" s="2">
        <f>AN442*AM396</f>
        <v>87.076000000000008</v>
      </c>
      <c r="AO441" s="2">
        <f>AO442*AN396</f>
        <v>86.901848000000001</v>
      </c>
      <c r="AP441" s="206">
        <f>SUM(AL441:AO441)</f>
        <v>333.97784799999999</v>
      </c>
      <c r="AQ441" s="2">
        <f t="shared" ref="AQ441:AT441" si="1012">AQ442*AP396</f>
        <v>86.728044303999994</v>
      </c>
      <c r="AR441" s="2">
        <f t="shared" si="1012"/>
        <v>86.554588215392002</v>
      </c>
      <c r="AS441" s="2">
        <f t="shared" si="1012"/>
        <v>86.381479038961217</v>
      </c>
      <c r="AT441" s="2">
        <f t="shared" si="1012"/>
        <v>86.208716080883306</v>
      </c>
      <c r="AU441" s="206">
        <f>SUM(AQ441:AT441)</f>
        <v>345.87282763923656</v>
      </c>
      <c r="AV441" s="2">
        <f t="shared" ref="AV441:AX441" si="1013">AV442*AU396</f>
        <v>86.036298648721541</v>
      </c>
      <c r="AW441" s="2">
        <f t="shared" si="1013"/>
        <v>85.864226051424097</v>
      </c>
      <c r="AX441" s="2">
        <f t="shared" si="1013"/>
        <v>85.692497599321243</v>
      </c>
      <c r="AY441" s="2">
        <f>AY442*AX396</f>
        <v>85.521112604122592</v>
      </c>
      <c r="AZ441" s="206">
        <f>SUM(AV441:AY441)</f>
        <v>343.1141349035895</v>
      </c>
    </row>
    <row r="442" spans="2:52">
      <c r="B442" s="5" t="s">
        <v>683</v>
      </c>
      <c r="E442" s="177"/>
      <c r="F442" s="177"/>
      <c r="G442" s="177"/>
      <c r="H442" s="165"/>
      <c r="I442" s="165"/>
      <c r="J442" s="165"/>
      <c r="K442" s="165"/>
      <c r="L442" s="177"/>
      <c r="M442" s="165"/>
      <c r="N442" s="165"/>
      <c r="O442" s="596"/>
      <c r="P442" s="596"/>
      <c r="Q442" s="597">
        <v>5.2071490290599848E-3</v>
      </c>
      <c r="R442" s="596">
        <v>1.7701123340519687E-3</v>
      </c>
      <c r="S442" s="596">
        <v>2.1234779858585401E-3</v>
      </c>
      <c r="T442" s="596">
        <v>1.9708674081960901E-3</v>
      </c>
      <c r="U442" s="596">
        <v>1.828896565738671E-3</v>
      </c>
      <c r="V442" s="597">
        <v>7.6768497821129399E-3</v>
      </c>
      <c r="W442" s="596">
        <v>1.4906889276213192E-3</v>
      </c>
      <c r="X442" s="596">
        <v>1.7598793225607388E-3</v>
      </c>
      <c r="Y442" s="596">
        <v>1.7326676241935116E-3</v>
      </c>
      <c r="Z442" s="596">
        <v>1.6533792353687262E-3</v>
      </c>
      <c r="AA442" s="597">
        <v>6.5908679108534155E-3</v>
      </c>
      <c r="AB442" s="596">
        <v>1.6531545812763259E-3</v>
      </c>
      <c r="AC442" s="596">
        <v>1.6721274432267539E-3</v>
      </c>
      <c r="AD442" s="596">
        <v>1.6335420637081405E-3</v>
      </c>
      <c r="AE442" s="596">
        <v>1.7939052636359507E-3</v>
      </c>
      <c r="AF442" s="597">
        <v>6.7668831463735864E-3</v>
      </c>
      <c r="AG442" s="596">
        <v>1.7221064080485816E-3</v>
      </c>
      <c r="AH442" s="596">
        <v>1.7525092746432391E-3</v>
      </c>
      <c r="AI442" s="596">
        <v>1.754264478452554E-3</v>
      </c>
      <c r="AJ442" s="596">
        <v>1.8726158825569299E-3</v>
      </c>
      <c r="AK442" s="597">
        <v>7.1668015258351632E-3</v>
      </c>
      <c r="AL442" s="596">
        <v>1.8206960129061997E-3</v>
      </c>
      <c r="AM442" s="598">
        <v>1.8604437502871055E-3</v>
      </c>
      <c r="AN442" s="241">
        <v>2E-3</v>
      </c>
      <c r="AO442" s="241">
        <v>2E-3</v>
      </c>
      <c r="AP442" s="242">
        <f>AP441/AP396</f>
        <v>7.7017267178154632E-3</v>
      </c>
      <c r="AQ442" s="241">
        <v>2E-3</v>
      </c>
      <c r="AR442" s="241">
        <v>2E-3</v>
      </c>
      <c r="AS442" s="241">
        <v>2E-3</v>
      </c>
      <c r="AT442" s="241">
        <v>2E-3</v>
      </c>
      <c r="AU442" s="242">
        <f>AU441/AU396</f>
        <v>8.0401605617973909E-3</v>
      </c>
      <c r="AV442" s="241">
        <v>2E-3</v>
      </c>
      <c r="AW442" s="241">
        <v>2E-3</v>
      </c>
      <c r="AX442" s="241">
        <v>2E-3</v>
      </c>
      <c r="AY442" s="241">
        <v>2E-3</v>
      </c>
      <c r="AZ442" s="242">
        <f>AZ441/AZ396</f>
        <v>8.0401605617973926E-3</v>
      </c>
    </row>
    <row r="443" spans="2:52">
      <c r="B443" t="s">
        <v>133</v>
      </c>
      <c r="C443" t="s">
        <v>133</v>
      </c>
      <c r="E443" s="14"/>
      <c r="F443" s="14"/>
      <c r="G443" s="14"/>
      <c r="H443" s="15"/>
      <c r="I443" s="15"/>
      <c r="J443" s="15"/>
      <c r="K443" s="15"/>
      <c r="L443" s="14"/>
      <c r="M443" s="15"/>
      <c r="N443" s="15"/>
      <c r="O443" s="585">
        <v>-24</v>
      </c>
      <c r="P443" s="585">
        <v>-182</v>
      </c>
      <c r="Q443" s="586">
        <v>105</v>
      </c>
      <c r="R443" s="585">
        <v>23</v>
      </c>
      <c r="S443" s="585">
        <v>57</v>
      </c>
      <c r="T443" s="585">
        <v>86</v>
      </c>
      <c r="U443" s="585">
        <v>-42</v>
      </c>
      <c r="V443" s="586">
        <v>156</v>
      </c>
      <c r="W443" s="585">
        <v>168</v>
      </c>
      <c r="X443" s="585">
        <v>57</v>
      </c>
      <c r="Y443" s="585">
        <v>43</v>
      </c>
      <c r="Z443" s="585">
        <v>44</v>
      </c>
      <c r="AA443" s="586">
        <v>312</v>
      </c>
      <c r="AB443" s="585">
        <v>123</v>
      </c>
      <c r="AC443" s="585">
        <v>-37</v>
      </c>
      <c r="AD443" s="585">
        <v>28</v>
      </c>
      <c r="AE443" s="585">
        <v>-445</v>
      </c>
      <c r="AF443" s="586">
        <v>-331</v>
      </c>
      <c r="AG443" s="585">
        <v>-24</v>
      </c>
      <c r="AH443" s="585">
        <v>496</v>
      </c>
      <c r="AI443" s="585">
        <v>342</v>
      </c>
      <c r="AJ443" s="585">
        <v>153</v>
      </c>
      <c r="AK443" s="586">
        <v>967</v>
      </c>
      <c r="AL443" s="585">
        <v>-76</v>
      </c>
      <c r="AM443" s="585">
        <v>64</v>
      </c>
      <c r="AN443" s="20">
        <v>0</v>
      </c>
      <c r="AO443" s="20">
        <v>0</v>
      </c>
      <c r="AP443" s="206">
        <f>SUM(AL443:AO443)</f>
        <v>-12</v>
      </c>
      <c r="AQ443" s="20">
        <v>0</v>
      </c>
      <c r="AR443" s="20">
        <v>0</v>
      </c>
      <c r="AS443" s="20">
        <v>0</v>
      </c>
      <c r="AT443" s="20">
        <v>0</v>
      </c>
      <c r="AU443" s="206">
        <f>SUM(AQ443:AT443)</f>
        <v>0</v>
      </c>
      <c r="AV443" s="20">
        <v>0</v>
      </c>
      <c r="AW443" s="20">
        <v>0</v>
      </c>
      <c r="AX443" s="20">
        <v>0</v>
      </c>
      <c r="AY443" s="20">
        <v>0</v>
      </c>
      <c r="AZ443" s="206">
        <f>SUM(AV443:AY443)</f>
        <v>0</v>
      </c>
    </row>
    <row r="444" spans="2:52">
      <c r="B444" t="s">
        <v>134</v>
      </c>
      <c r="E444" s="14"/>
      <c r="F444" s="14"/>
      <c r="G444" s="14"/>
      <c r="H444" s="15"/>
      <c r="I444" s="15"/>
      <c r="J444" s="15"/>
      <c r="K444" s="15"/>
      <c r="L444" s="14"/>
      <c r="M444" s="15"/>
      <c r="N444" s="15"/>
      <c r="O444" s="585"/>
      <c r="P444" s="585"/>
      <c r="Q444" s="586"/>
      <c r="R444" s="585"/>
      <c r="S444" s="585"/>
      <c r="T444" s="585"/>
      <c r="U444" s="585"/>
      <c r="V444" s="586"/>
      <c r="W444" s="585"/>
      <c r="X444" s="585"/>
      <c r="Y444" s="585"/>
      <c r="Z444" s="585"/>
      <c r="AA444" s="586"/>
      <c r="AB444" s="585"/>
      <c r="AC444" s="585"/>
      <c r="AD444" s="585"/>
      <c r="AE444" s="585"/>
      <c r="AF444" s="586"/>
      <c r="AG444" s="585"/>
      <c r="AH444" s="585"/>
      <c r="AI444" s="585"/>
      <c r="AJ444" s="585"/>
      <c r="AK444" s="586"/>
      <c r="AL444" s="585"/>
      <c r="AM444" s="585"/>
      <c r="AP444" s="199"/>
      <c r="AU444" s="199"/>
      <c r="AV444" s="83"/>
      <c r="AW444" s="83"/>
      <c r="AX444" s="83"/>
      <c r="AY444" s="83"/>
      <c r="AZ444" s="199"/>
    </row>
    <row r="445" spans="2:52">
      <c r="B445" s="4" t="s">
        <v>156</v>
      </c>
      <c r="C445" t="s">
        <v>156</v>
      </c>
      <c r="E445" s="14"/>
      <c r="F445" s="14"/>
      <c r="G445" s="14"/>
      <c r="H445" s="15"/>
      <c r="I445" s="15"/>
      <c r="J445" s="15"/>
      <c r="K445" s="15"/>
      <c r="L445" s="14"/>
      <c r="M445" s="15"/>
      <c r="N445" s="15"/>
      <c r="O445" s="585">
        <v>-71</v>
      </c>
      <c r="P445" s="585">
        <v>-55</v>
      </c>
      <c r="Q445" s="586">
        <v>82</v>
      </c>
      <c r="R445" s="585">
        <v>126</v>
      </c>
      <c r="S445" s="585">
        <v>-58</v>
      </c>
      <c r="T445" s="585">
        <v>-32</v>
      </c>
      <c r="U445" s="585">
        <v>-43</v>
      </c>
      <c r="V445" s="586">
        <v>-7</v>
      </c>
      <c r="W445" s="585">
        <v>42</v>
      </c>
      <c r="X445" s="585">
        <v>16</v>
      </c>
      <c r="Y445" s="585">
        <v>-59</v>
      </c>
      <c r="Z445" s="585">
        <v>-4</v>
      </c>
      <c r="AA445" s="586">
        <v>-5</v>
      </c>
      <c r="AB445" s="585">
        <v>-37</v>
      </c>
      <c r="AC445" s="585">
        <v>-4</v>
      </c>
      <c r="AD445" s="585">
        <v>-85</v>
      </c>
      <c r="AE445" s="585">
        <v>-26</v>
      </c>
      <c r="AF445" s="586">
        <v>-152</v>
      </c>
      <c r="AG445" s="585">
        <v>-73</v>
      </c>
      <c r="AH445" s="585">
        <v>-133</v>
      </c>
      <c r="AI445" s="585">
        <v>-166</v>
      </c>
      <c r="AJ445" s="585">
        <v>-26</v>
      </c>
      <c r="AK445" s="586">
        <v>-398</v>
      </c>
      <c r="AL445" s="585">
        <v>28</v>
      </c>
      <c r="AM445" s="585">
        <v>134</v>
      </c>
      <c r="AN445" s="15">
        <f>AM390-AN390</f>
        <v>17.641838313779999</v>
      </c>
      <c r="AO445" s="15">
        <f>AN390-AO390</f>
        <v>-41.352733239440795</v>
      </c>
      <c r="AP445" s="206">
        <f t="shared" ref="AP445:AP448" si="1014">SUM(AL445:AO445)</f>
        <v>138.2891050743392</v>
      </c>
      <c r="AQ445" s="15">
        <f t="shared" ref="AQ445:AT445" si="1015">AP390-AQ390</f>
        <v>170.05754086364345</v>
      </c>
      <c r="AR445" s="15">
        <f t="shared" si="1015"/>
        <v>-161.95495008448984</v>
      </c>
      <c r="AS445" s="15">
        <f t="shared" si="1015"/>
        <v>8.1489092013825939</v>
      </c>
      <c r="AT445" s="15">
        <f t="shared" si="1015"/>
        <v>-37.686982578996776</v>
      </c>
      <c r="AU445" s="206">
        <f t="shared" ref="AU445:AU448" si="1016">SUM(AQ445:AT445)</f>
        <v>-21.435482598460567</v>
      </c>
      <c r="AV445" s="15">
        <f t="shared" ref="AV445:AY445" si="1017">AU390-AV390</f>
        <v>167.90077359129555</v>
      </c>
      <c r="AW445" s="15">
        <f t="shared" si="1017"/>
        <v>-166.25254175257123</v>
      </c>
      <c r="AX445" s="15">
        <f t="shared" si="1017"/>
        <v>8.6623958256373044</v>
      </c>
      <c r="AY445" s="15">
        <f t="shared" si="1017"/>
        <v>-35.103360262189881</v>
      </c>
      <c r="AZ445" s="206">
        <f t="shared" ref="AZ445:AZ448" si="1018">SUM(AV445:AY445)</f>
        <v>-24.792732597828262</v>
      </c>
    </row>
    <row r="446" spans="2:52">
      <c r="B446" s="4" t="s">
        <v>135</v>
      </c>
      <c r="C446" t="s">
        <v>135</v>
      </c>
      <c r="E446" s="14"/>
      <c r="F446" s="14"/>
      <c r="G446" s="14"/>
      <c r="H446" s="15"/>
      <c r="I446" s="15"/>
      <c r="J446" s="15"/>
      <c r="K446" s="15"/>
      <c r="L446" s="14"/>
      <c r="M446" s="15"/>
      <c r="N446" s="15"/>
      <c r="O446" s="585">
        <v>121</v>
      </c>
      <c r="P446" s="585">
        <v>94</v>
      </c>
      <c r="Q446" s="586">
        <v>185</v>
      </c>
      <c r="R446" s="585">
        <v>-36</v>
      </c>
      <c r="S446" s="585">
        <v>-20</v>
      </c>
      <c r="T446" s="585">
        <v>-68</v>
      </c>
      <c r="U446" s="585">
        <v>100</v>
      </c>
      <c r="V446" s="586">
        <v>-24</v>
      </c>
      <c r="W446" s="585">
        <v>-38</v>
      </c>
      <c r="X446" s="585">
        <v>-63</v>
      </c>
      <c r="Y446" s="585">
        <v>-74</v>
      </c>
      <c r="Z446" s="585">
        <v>68</v>
      </c>
      <c r="AA446" s="586">
        <v>-107</v>
      </c>
      <c r="AB446" s="585">
        <v>-77</v>
      </c>
      <c r="AC446" s="585">
        <v>-54</v>
      </c>
      <c r="AD446" s="585">
        <v>-79</v>
      </c>
      <c r="AE446" s="585">
        <v>77</v>
      </c>
      <c r="AF446" s="586">
        <v>-133</v>
      </c>
      <c r="AG446" s="585">
        <v>-147</v>
      </c>
      <c r="AH446" s="585">
        <v>-199</v>
      </c>
      <c r="AI446" s="585">
        <v>-206</v>
      </c>
      <c r="AJ446" s="585">
        <v>126</v>
      </c>
      <c r="AK446" s="586">
        <v>-426</v>
      </c>
      <c r="AL446" s="585">
        <v>-74</v>
      </c>
      <c r="AM446" s="585">
        <v>13</v>
      </c>
      <c r="AN446" s="15">
        <f>AM391-AN391</f>
        <v>30.830457697525844</v>
      </c>
      <c r="AO446" s="15">
        <f>AN391-AO391</f>
        <v>-32.177079617626532</v>
      </c>
      <c r="AP446" s="206">
        <f t="shared" si="1014"/>
        <v>-62.346621920100688</v>
      </c>
      <c r="AQ446" s="15">
        <f t="shared" ref="AQ446:AT446" si="1019">AP391-AQ391</f>
        <v>89.436686496883567</v>
      </c>
      <c r="AR446" s="15">
        <f t="shared" si="1019"/>
        <v>-121.20615837362993</v>
      </c>
      <c r="AS446" s="15">
        <f t="shared" si="1019"/>
        <v>20.495980192327352</v>
      </c>
      <c r="AT446" s="15">
        <f t="shared" si="1019"/>
        <v>-29.207538048179458</v>
      </c>
      <c r="AU446" s="206">
        <f t="shared" si="1016"/>
        <v>-40.481029732598472</v>
      </c>
      <c r="AV446" s="15">
        <f t="shared" ref="AV446:AY446" si="1020">AU391-AV391</f>
        <v>86.374971405766928</v>
      </c>
      <c r="AW446" s="15">
        <f t="shared" si="1020"/>
        <v>-126.00782800610773</v>
      </c>
      <c r="AX446" s="15">
        <f t="shared" si="1020"/>
        <v>21.941460383156027</v>
      </c>
      <c r="AY446" s="15">
        <f t="shared" si="1020"/>
        <v>-28.096769667455419</v>
      </c>
      <c r="AZ446" s="206">
        <f t="shared" si="1018"/>
        <v>-45.788165884640193</v>
      </c>
    </row>
    <row r="447" spans="2:52">
      <c r="B447" s="4" t="s">
        <v>157</v>
      </c>
      <c r="C447" t="s">
        <v>166</v>
      </c>
      <c r="E447" s="14"/>
      <c r="F447" s="14"/>
      <c r="G447" s="14"/>
      <c r="H447" s="15"/>
      <c r="I447" s="15"/>
      <c r="J447" s="15"/>
      <c r="K447" s="15"/>
      <c r="L447" s="14"/>
      <c r="M447" s="15"/>
      <c r="N447" s="15"/>
      <c r="O447" s="585">
        <v>147</v>
      </c>
      <c r="P447" s="585">
        <v>113</v>
      </c>
      <c r="Q447" s="586">
        <v>190</v>
      </c>
      <c r="R447" s="585">
        <v>85</v>
      </c>
      <c r="S447" s="585">
        <v>138</v>
      </c>
      <c r="T447" s="585">
        <v>124</v>
      </c>
      <c r="U447" s="585">
        <v>50</v>
      </c>
      <c r="V447" s="586">
        <v>397</v>
      </c>
      <c r="W447" s="585">
        <v>-77</v>
      </c>
      <c r="X447" s="585">
        <v>178</v>
      </c>
      <c r="Y447" s="585">
        <v>86</v>
      </c>
      <c r="Z447" s="585">
        <v>91</v>
      </c>
      <c r="AA447" s="586">
        <v>278</v>
      </c>
      <c r="AB447" s="585">
        <v>37</v>
      </c>
      <c r="AC447" s="585">
        <v>62</v>
      </c>
      <c r="AD447" s="585">
        <v>230</v>
      </c>
      <c r="AE447" s="585">
        <v>307</v>
      </c>
      <c r="AF447" s="586">
        <v>636</v>
      </c>
      <c r="AG447" s="585">
        <v>140</v>
      </c>
      <c r="AH447" s="585">
        <v>118</v>
      </c>
      <c r="AI447" s="585">
        <v>437</v>
      </c>
      <c r="AJ447" s="585">
        <v>-146</v>
      </c>
      <c r="AK447" s="586">
        <v>549</v>
      </c>
      <c r="AL447" s="585">
        <v>-460</v>
      </c>
      <c r="AM447" s="585">
        <v>-508</v>
      </c>
      <c r="AN447" s="15">
        <f>AN403-AM403</f>
        <v>-25.269286569165615</v>
      </c>
      <c r="AO447" s="15">
        <f>AO403-AN403</f>
        <v>26.887696666784223</v>
      </c>
      <c r="AP447" s="206">
        <f>SUM(AL447:AO447)</f>
        <v>-966.38158990238139</v>
      </c>
      <c r="AQ447" s="15">
        <f t="shared" ref="AQ447:AT447" si="1021">AQ403-AP403</f>
        <v>-74.734765428903074</v>
      </c>
      <c r="AR447" s="15">
        <f t="shared" si="1021"/>
        <v>101.28185836700595</v>
      </c>
      <c r="AS447" s="15">
        <f t="shared" si="1021"/>
        <v>-17.126777968931037</v>
      </c>
      <c r="AT447" s="15">
        <f t="shared" si="1021"/>
        <v>24.406298916971991</v>
      </c>
      <c r="AU447" s="206">
        <f t="shared" si="1016"/>
        <v>33.826613886143832</v>
      </c>
      <c r="AV447" s="15">
        <f t="shared" ref="AV447:AY447" si="1022">AV403-AU403</f>
        <v>-72.176345969202657</v>
      </c>
      <c r="AW447" s="15">
        <f t="shared" si="1022"/>
        <v>105.29421244345986</v>
      </c>
      <c r="AX447" s="15">
        <f t="shared" si="1022"/>
        <v>-18.334644977705693</v>
      </c>
      <c r="AY447" s="15">
        <f t="shared" si="1022"/>
        <v>23.47812259883267</v>
      </c>
      <c r="AZ447" s="206">
        <f t="shared" si="1018"/>
        <v>38.261344095384175</v>
      </c>
    </row>
    <row r="448" spans="2:52">
      <c r="B448" s="4" t="s">
        <v>136</v>
      </c>
      <c r="C448" t="s">
        <v>136</v>
      </c>
      <c r="E448" s="14"/>
      <c r="F448" s="14"/>
      <c r="G448" s="14"/>
      <c r="H448" s="15"/>
      <c r="I448" s="15"/>
      <c r="J448" s="15"/>
      <c r="K448" s="15"/>
      <c r="L448" s="14"/>
      <c r="M448" s="15"/>
      <c r="N448" s="15"/>
      <c r="O448" s="585">
        <v>197</v>
      </c>
      <c r="P448" s="585">
        <v>147</v>
      </c>
      <c r="Q448" s="586">
        <v>457</v>
      </c>
      <c r="R448" s="585">
        <v>175</v>
      </c>
      <c r="S448" s="585">
        <v>60</v>
      </c>
      <c r="T448" s="585">
        <v>24</v>
      </c>
      <c r="U448" s="585">
        <v>107</v>
      </c>
      <c r="V448" s="586">
        <v>366</v>
      </c>
      <c r="W448" s="585">
        <v>-73</v>
      </c>
      <c r="X448" s="585">
        <v>131</v>
      </c>
      <c r="Y448" s="585">
        <v>-47</v>
      </c>
      <c r="Z448" s="585">
        <v>155</v>
      </c>
      <c r="AA448" s="586">
        <v>166</v>
      </c>
      <c r="AB448" s="585">
        <v>-77</v>
      </c>
      <c r="AC448" s="585">
        <v>4</v>
      </c>
      <c r="AD448" s="585">
        <v>66</v>
      </c>
      <c r="AE448" s="585">
        <v>358</v>
      </c>
      <c r="AF448" s="586">
        <v>351</v>
      </c>
      <c r="AG448" s="585">
        <v>-80</v>
      </c>
      <c r="AH448" s="585">
        <v>-214</v>
      </c>
      <c r="AI448" s="585">
        <v>65</v>
      </c>
      <c r="AJ448" s="585">
        <v>-46</v>
      </c>
      <c r="AK448" s="586">
        <v>-275</v>
      </c>
      <c r="AL448" s="585">
        <v>-506</v>
      </c>
      <c r="AM448" s="585">
        <v>-361</v>
      </c>
      <c r="AN448" s="15">
        <f>SUM(AN445:AN447)</f>
        <v>23.203009442140228</v>
      </c>
      <c r="AO448" s="15">
        <f>SUM(AO445:AO447)</f>
        <v>-46.642116190283105</v>
      </c>
      <c r="AP448" s="206">
        <f t="shared" si="1014"/>
        <v>-890.43910674814288</v>
      </c>
      <c r="AQ448" s="15">
        <f t="shared" ref="AQ448:AT448" si="1023">SUM(AQ445:AQ447)</f>
        <v>184.75946193162395</v>
      </c>
      <c r="AR448" s="15">
        <f t="shared" si="1023"/>
        <v>-181.87925009111382</v>
      </c>
      <c r="AS448" s="15">
        <f t="shared" si="1023"/>
        <v>11.518111424778908</v>
      </c>
      <c r="AT448" s="15">
        <f t="shared" si="1023"/>
        <v>-42.488221710204243</v>
      </c>
      <c r="AU448" s="206">
        <f t="shared" si="1016"/>
        <v>-28.089898444915207</v>
      </c>
      <c r="AV448" s="15">
        <f t="shared" ref="AV448:AY448" si="1024">SUM(AV445:AV447)</f>
        <v>182.09939902785982</v>
      </c>
      <c r="AW448" s="15">
        <f t="shared" si="1024"/>
        <v>-186.96615731521911</v>
      </c>
      <c r="AX448" s="15">
        <f t="shared" si="1024"/>
        <v>12.269211231087638</v>
      </c>
      <c r="AY448" s="15">
        <f t="shared" si="1024"/>
        <v>-39.72200733081263</v>
      </c>
      <c r="AZ448" s="206">
        <f t="shared" si="1018"/>
        <v>-32.319554387084281</v>
      </c>
    </row>
    <row r="449" spans="2:54" s="11" customFormat="1">
      <c r="B449" s="10" t="s">
        <v>146</v>
      </c>
      <c r="C449" s="11" t="s">
        <v>137</v>
      </c>
      <c r="E449" s="16"/>
      <c r="F449" s="16"/>
      <c r="G449" s="16"/>
      <c r="H449" s="17"/>
      <c r="I449" s="17"/>
      <c r="J449" s="17"/>
      <c r="K449" s="17"/>
      <c r="L449" s="16"/>
      <c r="M449" s="17"/>
      <c r="N449" s="17"/>
      <c r="O449" s="581">
        <v>485</v>
      </c>
      <c r="P449" s="581">
        <v>550</v>
      </c>
      <c r="Q449" s="582">
        <v>1613</v>
      </c>
      <c r="R449" s="581">
        <v>591</v>
      </c>
      <c r="S449" s="581">
        <v>612</v>
      </c>
      <c r="T449" s="581">
        <v>600</v>
      </c>
      <c r="U449" s="581">
        <v>671</v>
      </c>
      <c r="V449" s="582">
        <v>2474</v>
      </c>
      <c r="W449" s="581">
        <v>414</v>
      </c>
      <c r="X449" s="581">
        <v>648</v>
      </c>
      <c r="Y449" s="581">
        <v>604</v>
      </c>
      <c r="Z449" s="581">
        <v>790</v>
      </c>
      <c r="AA449" s="582">
        <v>2456</v>
      </c>
      <c r="AB449" s="581">
        <v>546</v>
      </c>
      <c r="AC449" s="581">
        <v>593</v>
      </c>
      <c r="AD449" s="581">
        <v>794</v>
      </c>
      <c r="AE449" s="581">
        <v>941</v>
      </c>
      <c r="AF449" s="582">
        <v>2874</v>
      </c>
      <c r="AG449" s="581">
        <v>663</v>
      </c>
      <c r="AH449" s="581">
        <v>676</v>
      </c>
      <c r="AI449" s="581">
        <v>759</v>
      </c>
      <c r="AJ449" s="581">
        <v>739</v>
      </c>
      <c r="AK449" s="582">
        <v>2837</v>
      </c>
      <c r="AL449" s="581">
        <v>71</v>
      </c>
      <c r="AM449" s="581">
        <v>381</v>
      </c>
      <c r="AN449" s="17">
        <f ca="1">AN438+AN439+AN441+AN443+AN448</f>
        <v>929.5923591343967</v>
      </c>
      <c r="AO449" s="17">
        <f t="shared" ref="AO449:AZ449" ca="1" si="1025">AO438+AO439+AO441+AO443+AO448</f>
        <v>920.70237607483</v>
      </c>
      <c r="AP449" s="204">
        <f ca="1">AP438+AP439+AP441+AP443+AP448</f>
        <v>2302.2947352092265</v>
      </c>
      <c r="AQ449" s="17">
        <f t="shared" si="1025"/>
        <v>841.20763117534568</v>
      </c>
      <c r="AR449" s="17">
        <f t="shared" si="1025"/>
        <v>618.81272564906749</v>
      </c>
      <c r="AS449" s="17">
        <f t="shared" si="1025"/>
        <v>912.56216257765107</v>
      </c>
      <c r="AT449" s="17">
        <f t="shared" si="1025"/>
        <v>917.56816531716822</v>
      </c>
      <c r="AU449" s="204">
        <f t="shared" si="1025"/>
        <v>3290.1506847192331</v>
      </c>
      <c r="AV449" s="17">
        <f t="shared" si="1025"/>
        <v>833.91575568738779</v>
      </c>
      <c r="AW449" s="17">
        <f t="shared" si="1025"/>
        <v>609.61250808206728</v>
      </c>
      <c r="AX449" s="17">
        <f t="shared" si="1025"/>
        <v>916.30135491440399</v>
      </c>
      <c r="AY449" s="17">
        <f t="shared" si="1025"/>
        <v>920.65928605287979</v>
      </c>
      <c r="AZ449" s="204">
        <f t="shared" si="1025"/>
        <v>3280.4889047367396</v>
      </c>
      <c r="BB449" s="257"/>
    </row>
    <row r="450" spans="2:54">
      <c r="E450" s="14"/>
      <c r="F450" s="14"/>
      <c r="G450" s="14"/>
      <c r="H450" s="15"/>
      <c r="I450" s="15"/>
      <c r="J450" s="15"/>
      <c r="K450" s="15"/>
      <c r="L450" s="14"/>
      <c r="M450" s="15"/>
      <c r="N450" s="15"/>
      <c r="O450" s="585"/>
      <c r="P450" s="585"/>
      <c r="Q450" s="586"/>
      <c r="R450" s="585"/>
      <c r="S450" s="585"/>
      <c r="T450" s="585"/>
      <c r="U450" s="585"/>
      <c r="V450" s="586"/>
      <c r="W450" s="585"/>
      <c r="X450" s="585"/>
      <c r="Y450" s="585"/>
      <c r="Z450" s="585"/>
      <c r="AA450" s="586"/>
      <c r="AB450" s="585"/>
      <c r="AC450" s="585"/>
      <c r="AD450" s="585"/>
      <c r="AE450" s="585"/>
      <c r="AF450" s="586"/>
      <c r="AG450" s="585"/>
      <c r="AH450" s="585"/>
      <c r="AI450" s="585"/>
      <c r="AJ450" s="585"/>
      <c r="AK450" s="586"/>
      <c r="AL450" s="585"/>
      <c r="AM450" s="585"/>
      <c r="AP450" s="199"/>
      <c r="AU450" s="199"/>
      <c r="AV450" s="83"/>
      <c r="AW450" s="83"/>
      <c r="AX450" s="83"/>
      <c r="AY450" s="83"/>
      <c r="AZ450" s="199"/>
    </row>
    <row r="451" spans="2:54">
      <c r="E451" s="14"/>
      <c r="F451" s="14"/>
      <c r="G451" s="14"/>
      <c r="H451" s="15"/>
      <c r="I451" s="15"/>
      <c r="J451" s="15"/>
      <c r="K451" s="15"/>
      <c r="L451" s="14"/>
      <c r="M451" s="15"/>
      <c r="N451" s="15"/>
      <c r="O451" s="585"/>
      <c r="P451" s="585"/>
      <c r="Q451" s="586"/>
      <c r="R451" s="585"/>
      <c r="S451" s="585"/>
      <c r="T451" s="585"/>
      <c r="U451" s="585"/>
      <c r="V451" s="586"/>
      <c r="W451" s="585"/>
      <c r="X451" s="585"/>
      <c r="Y451" s="585"/>
      <c r="Z451" s="585"/>
      <c r="AA451" s="586"/>
      <c r="AB451" s="585"/>
      <c r="AC451" s="585"/>
      <c r="AD451" s="585"/>
      <c r="AE451" s="585"/>
      <c r="AF451" s="586"/>
      <c r="AG451" s="585"/>
      <c r="AH451" s="585"/>
      <c r="AI451" s="585"/>
      <c r="AJ451" s="585"/>
      <c r="AK451" s="586"/>
      <c r="AL451" s="585"/>
      <c r="AM451" s="585"/>
      <c r="AP451" s="199"/>
      <c r="AU451" s="199"/>
      <c r="AV451" s="83"/>
      <c r="AW451" s="83"/>
      <c r="AX451" s="83"/>
      <c r="AY451" s="83"/>
      <c r="AZ451" s="199"/>
    </row>
    <row r="452" spans="2:54">
      <c r="B452" t="s">
        <v>138</v>
      </c>
      <c r="C452" t="s">
        <v>153</v>
      </c>
      <c r="E452" s="14"/>
      <c r="F452" s="14"/>
      <c r="G452" s="14"/>
      <c r="H452" s="15"/>
      <c r="I452" s="15"/>
      <c r="J452" s="15"/>
      <c r="K452" s="15"/>
      <c r="L452" s="14"/>
      <c r="M452" s="15"/>
      <c r="N452" s="15"/>
      <c r="O452" s="585">
        <v>-23</v>
      </c>
      <c r="P452" s="585">
        <v>-85</v>
      </c>
      <c r="Q452" s="586">
        <v>-180</v>
      </c>
      <c r="R452" s="585">
        <v>-62</v>
      </c>
      <c r="S452" s="585">
        <v>-37</v>
      </c>
      <c r="T452" s="585">
        <v>-90</v>
      </c>
      <c r="U452" s="585">
        <v>-122</v>
      </c>
      <c r="V452" s="586">
        <v>-330</v>
      </c>
      <c r="W452" s="585">
        <v>-151</v>
      </c>
      <c r="X452" s="585">
        <v>-125</v>
      </c>
      <c r="Y452" s="585">
        <v>-80</v>
      </c>
      <c r="Z452" s="585">
        <v>-105</v>
      </c>
      <c r="AA452" s="586">
        <v>-461</v>
      </c>
      <c r="AB452" s="585">
        <v>-95</v>
      </c>
      <c r="AC452" s="585">
        <v>-109</v>
      </c>
      <c r="AD452" s="585">
        <v>-121</v>
      </c>
      <c r="AE452" s="585">
        <v>-98</v>
      </c>
      <c r="AF452" s="586">
        <v>-423</v>
      </c>
      <c r="AG452" s="585">
        <v>-109</v>
      </c>
      <c r="AH452" s="585">
        <v>-77</v>
      </c>
      <c r="AI452" s="585">
        <v>-73</v>
      </c>
      <c r="AJ452" s="585">
        <v>-93</v>
      </c>
      <c r="AK452" s="586">
        <v>-353</v>
      </c>
      <c r="AL452" s="585">
        <v>-55</v>
      </c>
      <c r="AM452" s="585">
        <v>-86</v>
      </c>
      <c r="AN452" s="15">
        <f>AN453*AN439</f>
        <v>-99.56</v>
      </c>
      <c r="AO452" s="15">
        <f>AO453*AO439</f>
        <v>-99.56</v>
      </c>
      <c r="AP452" s="206">
        <f>SUM(AL452:AO452)</f>
        <v>-340.12</v>
      </c>
      <c r="AQ452" s="15">
        <f t="shared" ref="AQ452:AT452" si="1026">AQ453*AQ439</f>
        <v>-99.56</v>
      </c>
      <c r="AR452" s="15">
        <f t="shared" si="1026"/>
        <v>-99.56</v>
      </c>
      <c r="AS452" s="15">
        <f t="shared" si="1026"/>
        <v>-99.56</v>
      </c>
      <c r="AT452" s="15">
        <f t="shared" si="1026"/>
        <v>-99.56</v>
      </c>
      <c r="AU452" s="206">
        <f>SUM(AQ452:AT452)</f>
        <v>-398.24</v>
      </c>
      <c r="AV452" s="15">
        <f t="shared" ref="AV452:AY452" si="1027">AV453*AV439</f>
        <v>-99.56</v>
      </c>
      <c r="AW452" s="15">
        <f t="shared" si="1027"/>
        <v>-99.56</v>
      </c>
      <c r="AX452" s="15">
        <f t="shared" si="1027"/>
        <v>-99.56</v>
      </c>
      <c r="AY452" s="15">
        <f t="shared" si="1027"/>
        <v>-99.56</v>
      </c>
      <c r="AZ452" s="206">
        <f>SUM(AV452:AY452)</f>
        <v>-398.24</v>
      </c>
    </row>
    <row r="453" spans="2:54">
      <c r="B453" s="194" t="s">
        <v>587</v>
      </c>
      <c r="E453" s="177"/>
      <c r="F453" s="177"/>
      <c r="G453" s="177"/>
      <c r="H453" s="165"/>
      <c r="I453" s="165"/>
      <c r="J453" s="165"/>
      <c r="K453" s="165"/>
      <c r="L453" s="177"/>
      <c r="M453" s="165"/>
      <c r="N453" s="165"/>
      <c r="O453" s="596"/>
      <c r="P453" s="596"/>
      <c r="Q453" s="597">
        <v>-0.77253218884120167</v>
      </c>
      <c r="R453" s="596">
        <v>-0.72941176470588232</v>
      </c>
      <c r="S453" s="596">
        <v>-0.42528735632183906</v>
      </c>
      <c r="T453" s="596">
        <v>-0.90909090909090906</v>
      </c>
      <c r="U453" s="596">
        <v>-1.4022988505747127</v>
      </c>
      <c r="V453" s="597">
        <v>-0.92178770949720668</v>
      </c>
      <c r="W453" s="596">
        <v>-1.5408163265306123</v>
      </c>
      <c r="X453" s="596">
        <v>-1.4705882352941178</v>
      </c>
      <c r="Y453" s="596">
        <v>-0.898876404494382</v>
      </c>
      <c r="Z453" s="596">
        <v>-1.1666666666666667</v>
      </c>
      <c r="AA453" s="597">
        <v>-1.2734806629834254</v>
      </c>
      <c r="AB453" s="596">
        <v>-0.93137254901960786</v>
      </c>
      <c r="AC453" s="596">
        <v>-1.0480769230769231</v>
      </c>
      <c r="AD453" s="596">
        <v>-1.2346938775510203</v>
      </c>
      <c r="AE453" s="596">
        <v>-0.92452830188679247</v>
      </c>
      <c r="AF453" s="597">
        <v>-1.0317073170731708</v>
      </c>
      <c r="AG453" s="596">
        <v>-1.0283018867924529</v>
      </c>
      <c r="AH453" s="596">
        <v>-0.77777777777777779</v>
      </c>
      <c r="AI453" s="596">
        <v>-0.76041666666666663</v>
      </c>
      <c r="AJ453" s="596">
        <v>-0.94897959183673475</v>
      </c>
      <c r="AK453" s="597">
        <v>-0.88471177944862156</v>
      </c>
      <c r="AL453" s="596">
        <v>-0.51401869158878499</v>
      </c>
      <c r="AM453" s="598">
        <v>-0.91489361702127658</v>
      </c>
      <c r="AN453" s="241">
        <v>-1</v>
      </c>
      <c r="AO453" s="241">
        <v>-1</v>
      </c>
      <c r="AP453" s="242">
        <f>AP452/AP439</f>
        <v>-0.85004498650404881</v>
      </c>
      <c r="AQ453" s="241">
        <v>-1</v>
      </c>
      <c r="AR453" s="241">
        <v>-1</v>
      </c>
      <c r="AS453" s="241">
        <v>-1</v>
      </c>
      <c r="AT453" s="241">
        <v>-1</v>
      </c>
      <c r="AU453" s="242">
        <f>AU452/AU439</f>
        <v>-1</v>
      </c>
      <c r="AV453" s="241">
        <v>-1</v>
      </c>
      <c r="AW453" s="241">
        <v>-1</v>
      </c>
      <c r="AX453" s="241">
        <v>-1</v>
      </c>
      <c r="AY453" s="241">
        <v>-1</v>
      </c>
      <c r="AZ453" s="242">
        <f>AZ452/AZ439</f>
        <v>-1</v>
      </c>
    </row>
    <row r="454" spans="2:54">
      <c r="B454" t="s">
        <v>139</v>
      </c>
      <c r="C454" t="s">
        <v>158</v>
      </c>
      <c r="E454" s="14"/>
      <c r="F454" s="14"/>
      <c r="G454" s="14"/>
      <c r="H454" s="15"/>
      <c r="I454" s="15"/>
      <c r="J454" s="15"/>
      <c r="K454" s="15"/>
      <c r="L454" s="14"/>
      <c r="M454" s="15"/>
      <c r="N454" s="15"/>
      <c r="O454" s="585">
        <v>-19124</v>
      </c>
      <c r="P454" s="585">
        <v>-31.6</v>
      </c>
      <c r="Q454" s="586">
        <v>-18945</v>
      </c>
      <c r="R454" s="585">
        <v>-62</v>
      </c>
      <c r="S454" s="585">
        <v>-8</v>
      </c>
      <c r="T454" s="585">
        <v>-12</v>
      </c>
      <c r="U454" s="585">
        <v>115.5</v>
      </c>
      <c r="V454" s="586">
        <v>-8</v>
      </c>
      <c r="W454" s="585">
        <v>50</v>
      </c>
      <c r="X454" s="585">
        <v>-65</v>
      </c>
      <c r="Y454" s="585">
        <v>-7</v>
      </c>
      <c r="Z454" s="585">
        <v>-12</v>
      </c>
      <c r="AA454" s="586">
        <v>71</v>
      </c>
      <c r="AB454" s="585">
        <v>1</v>
      </c>
      <c r="AC454" s="585">
        <v>8</v>
      </c>
      <c r="AD454" s="585">
        <v>-16</v>
      </c>
      <c r="AE454" s="585">
        <v>647</v>
      </c>
      <c r="AF454" s="586">
        <v>623</v>
      </c>
      <c r="AG454" s="585">
        <v>54.75</v>
      </c>
      <c r="AH454" s="585">
        <v>-28.5</v>
      </c>
      <c r="AI454" s="585">
        <v>50</v>
      </c>
      <c r="AJ454" s="585">
        <v>-718.2</v>
      </c>
      <c r="AK454" s="586">
        <v>-552</v>
      </c>
      <c r="AL454" s="585">
        <v>7</v>
      </c>
      <c r="AM454" s="585">
        <v>-6</v>
      </c>
      <c r="AN454" s="20">
        <v>0</v>
      </c>
      <c r="AO454" s="20">
        <v>0</v>
      </c>
      <c r="AP454" s="206">
        <f>SUM(AL454:AO454)</f>
        <v>1</v>
      </c>
      <c r="AQ454" s="20">
        <v>0</v>
      </c>
      <c r="AR454" s="20">
        <v>0</v>
      </c>
      <c r="AS454" s="20">
        <v>0</v>
      </c>
      <c r="AT454" s="20">
        <v>0</v>
      </c>
      <c r="AU454" s="206">
        <f>SUM(AQ454:AT454)</f>
        <v>0</v>
      </c>
      <c r="AV454" s="20">
        <v>0</v>
      </c>
      <c r="AW454" s="20">
        <v>0</v>
      </c>
      <c r="AX454" s="20">
        <v>0</v>
      </c>
      <c r="AY454" s="20">
        <v>0</v>
      </c>
      <c r="AZ454" s="206">
        <f>SUM(AV454:AY454)</f>
        <v>0</v>
      </c>
    </row>
    <row r="455" spans="2:54">
      <c r="B455" t="s">
        <v>140</v>
      </c>
      <c r="C455" t="s">
        <v>154</v>
      </c>
      <c r="E455" s="14"/>
      <c r="F455" s="14"/>
      <c r="G455" s="14"/>
      <c r="H455" s="15"/>
      <c r="I455" s="15"/>
      <c r="J455" s="15"/>
      <c r="K455" s="15"/>
      <c r="L455" s="14"/>
      <c r="M455" s="15"/>
      <c r="N455" s="15"/>
      <c r="O455" s="585">
        <v>157</v>
      </c>
      <c r="P455" s="585">
        <v>12</v>
      </c>
      <c r="Q455" s="586">
        <v>-6</v>
      </c>
      <c r="R455" s="585">
        <v>17</v>
      </c>
      <c r="S455" s="585">
        <v>-5</v>
      </c>
      <c r="T455" s="585">
        <v>-12</v>
      </c>
      <c r="U455" s="585">
        <v>188</v>
      </c>
      <c r="V455" s="586">
        <v>188</v>
      </c>
      <c r="W455" s="585">
        <v>185</v>
      </c>
      <c r="X455" s="585">
        <v>-1</v>
      </c>
      <c r="Y455" s="585">
        <v>-10</v>
      </c>
      <c r="Z455" s="585">
        <v>-29</v>
      </c>
      <c r="AA455" s="586">
        <v>-58</v>
      </c>
      <c r="AB455" s="585">
        <v>-11</v>
      </c>
      <c r="AC455" s="585">
        <v>8</v>
      </c>
      <c r="AD455" s="585">
        <v>-29</v>
      </c>
      <c r="AE455" s="585">
        <v>554</v>
      </c>
      <c r="AF455" s="586">
        <v>511</v>
      </c>
      <c r="AG455" s="585">
        <v>34</v>
      </c>
      <c r="AH455" s="585">
        <v>-57</v>
      </c>
      <c r="AI455" s="585">
        <v>-9</v>
      </c>
      <c r="AJ455" s="585">
        <v>-918</v>
      </c>
      <c r="AK455" s="586">
        <v>-950</v>
      </c>
      <c r="AL455" s="585">
        <v>-50</v>
      </c>
      <c r="AM455" s="585">
        <v>-12</v>
      </c>
      <c r="AN455" s="20">
        <v>0</v>
      </c>
      <c r="AO455" s="20">
        <v>0</v>
      </c>
      <c r="AP455" s="206">
        <f>SUM(AL455:AO455)</f>
        <v>-62</v>
      </c>
      <c r="AQ455" s="20">
        <v>0</v>
      </c>
      <c r="AR455" s="20">
        <v>0</v>
      </c>
      <c r="AS455" s="20">
        <v>0</v>
      </c>
      <c r="AT455" s="20">
        <v>0</v>
      </c>
      <c r="AU455" s="206">
        <f>SUM(AQ455:AT455)</f>
        <v>0</v>
      </c>
      <c r="AV455" s="20">
        <v>0</v>
      </c>
      <c r="AW455" s="20">
        <v>0</v>
      </c>
      <c r="AX455" s="20">
        <v>0</v>
      </c>
      <c r="AY455" s="20">
        <v>0</v>
      </c>
      <c r="AZ455" s="206">
        <f>SUM(AV455:AY455)</f>
        <v>0</v>
      </c>
    </row>
    <row r="456" spans="2:54" s="11" customFormat="1">
      <c r="B456" s="11" t="s">
        <v>155</v>
      </c>
      <c r="C456" s="11" t="s">
        <v>141</v>
      </c>
      <c r="E456" s="16"/>
      <c r="F456" s="16"/>
      <c r="G456" s="16"/>
      <c r="H456" s="17"/>
      <c r="I456" s="17"/>
      <c r="J456" s="17"/>
      <c r="K456" s="17"/>
      <c r="L456" s="16"/>
      <c r="M456" s="17"/>
      <c r="N456" s="17"/>
      <c r="O456" s="581">
        <v>-18990</v>
      </c>
      <c r="P456" s="581">
        <v>-18</v>
      </c>
      <c r="Q456" s="582">
        <v>-19131</v>
      </c>
      <c r="R456" s="581">
        <v>-45</v>
      </c>
      <c r="S456" s="581">
        <v>-69</v>
      </c>
      <c r="T456" s="581">
        <v>-102</v>
      </c>
      <c r="U456" s="581">
        <v>66</v>
      </c>
      <c r="V456" s="582">
        <v>-150</v>
      </c>
      <c r="W456" s="581">
        <v>34</v>
      </c>
      <c r="X456" s="581">
        <v>-126</v>
      </c>
      <c r="Y456" s="581">
        <v>-90</v>
      </c>
      <c r="Z456" s="581">
        <v>-134</v>
      </c>
      <c r="AA456" s="582">
        <v>-316</v>
      </c>
      <c r="AB456" s="581">
        <v>-99</v>
      </c>
      <c r="AC456" s="581">
        <v>-101</v>
      </c>
      <c r="AD456" s="581">
        <v>-150</v>
      </c>
      <c r="AE456" s="581">
        <v>560</v>
      </c>
      <c r="AF456" s="582">
        <v>210</v>
      </c>
      <c r="AG456" s="581">
        <v>3</v>
      </c>
      <c r="AH456" s="581">
        <v>-134</v>
      </c>
      <c r="AI456" s="581">
        <v>-82</v>
      </c>
      <c r="AJ456" s="581">
        <v>-922</v>
      </c>
      <c r="AK456" s="582">
        <v>-1135</v>
      </c>
      <c r="AL456" s="581">
        <v>-105</v>
      </c>
      <c r="AM456" s="581">
        <v>-98</v>
      </c>
      <c r="AN456" s="17">
        <f>AN452+AN454+AN455</f>
        <v>-99.56</v>
      </c>
      <c r="AO456" s="17">
        <f t="shared" ref="AO456:AZ456" si="1028">AO452+AO454+AO455</f>
        <v>-99.56</v>
      </c>
      <c r="AP456" s="204">
        <f t="shared" si="1028"/>
        <v>-401.12</v>
      </c>
      <c r="AQ456" s="17">
        <f t="shared" si="1028"/>
        <v>-99.56</v>
      </c>
      <c r="AR456" s="17">
        <f t="shared" si="1028"/>
        <v>-99.56</v>
      </c>
      <c r="AS456" s="17">
        <f t="shared" si="1028"/>
        <v>-99.56</v>
      </c>
      <c r="AT456" s="17">
        <f t="shared" si="1028"/>
        <v>-99.56</v>
      </c>
      <c r="AU456" s="204">
        <f t="shared" si="1028"/>
        <v>-398.24</v>
      </c>
      <c r="AV456" s="267">
        <f t="shared" si="1028"/>
        <v>-99.56</v>
      </c>
      <c r="AW456" s="267">
        <f t="shared" si="1028"/>
        <v>-99.56</v>
      </c>
      <c r="AX456" s="267">
        <f t="shared" si="1028"/>
        <v>-99.56</v>
      </c>
      <c r="AY456" s="267">
        <f t="shared" si="1028"/>
        <v>-99.56</v>
      </c>
      <c r="AZ456" s="204">
        <f t="shared" si="1028"/>
        <v>-398.24</v>
      </c>
      <c r="BB456" s="257"/>
    </row>
    <row r="457" spans="2:54">
      <c r="E457" s="14"/>
      <c r="F457" s="14"/>
      <c r="G457" s="14"/>
      <c r="H457" s="15"/>
      <c r="I457" s="15"/>
      <c r="J457" s="15"/>
      <c r="K457" s="15"/>
      <c r="L457" s="14"/>
      <c r="M457" s="15"/>
      <c r="N457" s="15"/>
      <c r="O457" s="585"/>
      <c r="P457" s="585"/>
      <c r="Q457" s="586"/>
      <c r="R457" s="585"/>
      <c r="S457" s="585"/>
      <c r="T457" s="585"/>
      <c r="U457" s="585"/>
      <c r="V457" s="586"/>
      <c r="W457" s="585"/>
      <c r="X457" s="585"/>
      <c r="Y457" s="585"/>
      <c r="Z457" s="585"/>
      <c r="AA457" s="586"/>
      <c r="AB457" s="585"/>
      <c r="AC457" s="585"/>
      <c r="AD457" s="585"/>
      <c r="AE457" s="585"/>
      <c r="AF457" s="586"/>
      <c r="AG457" s="585"/>
      <c r="AH457" s="585"/>
      <c r="AI457" s="585"/>
      <c r="AJ457" s="585"/>
      <c r="AK457" s="586"/>
      <c r="AL457" s="585"/>
      <c r="AM457" s="585"/>
      <c r="AP457" s="199"/>
      <c r="AU457" s="199"/>
      <c r="AV457" s="83"/>
      <c r="AW457" s="83"/>
      <c r="AX457" s="83"/>
      <c r="AY457" s="83"/>
      <c r="AZ457" s="199"/>
    </row>
    <row r="458" spans="2:54">
      <c r="E458" s="14"/>
      <c r="F458" s="14"/>
      <c r="G458" s="14"/>
      <c r="H458" s="15"/>
      <c r="I458" s="15"/>
      <c r="J458" s="15"/>
      <c r="K458" s="15"/>
      <c r="L458" s="14"/>
      <c r="M458" s="15"/>
      <c r="N458" s="15"/>
      <c r="O458" s="585"/>
      <c r="P458" s="585"/>
      <c r="Q458" s="586"/>
      <c r="R458" s="585"/>
      <c r="S458" s="585"/>
      <c r="T458" s="585"/>
      <c r="U458" s="585"/>
      <c r="V458" s="586"/>
      <c r="W458" s="585"/>
      <c r="X458" s="585"/>
      <c r="Y458" s="585"/>
      <c r="Z458" s="585"/>
      <c r="AA458" s="586"/>
      <c r="AB458" s="585"/>
      <c r="AC458" s="585"/>
      <c r="AD458" s="585"/>
      <c r="AE458" s="585"/>
      <c r="AF458" s="586"/>
      <c r="AG458" s="585"/>
      <c r="AH458" s="585"/>
      <c r="AI458" s="585"/>
      <c r="AJ458" s="585"/>
      <c r="AK458" s="586"/>
      <c r="AL458" s="585"/>
      <c r="AM458" s="585"/>
      <c r="AP458" s="199"/>
      <c r="AU458" s="199"/>
      <c r="AV458" s="83"/>
      <c r="AW458" s="83"/>
      <c r="AX458" s="83"/>
      <c r="AY458" s="83"/>
      <c r="AZ458" s="199"/>
    </row>
    <row r="459" spans="2:54">
      <c r="B459" t="s">
        <v>142</v>
      </c>
      <c r="C459" t="s">
        <v>142</v>
      </c>
      <c r="E459" s="14"/>
      <c r="F459" s="14"/>
      <c r="G459" s="14"/>
      <c r="H459" s="15"/>
      <c r="I459" s="15"/>
      <c r="J459" s="15"/>
      <c r="K459" s="15"/>
      <c r="L459" s="14"/>
      <c r="M459" s="15"/>
      <c r="N459" s="15"/>
      <c r="O459" s="585">
        <v>-3007.3333333333298</v>
      </c>
      <c r="P459" s="585">
        <v>1</v>
      </c>
      <c r="Q459" s="586">
        <v>-9004.7999999999993</v>
      </c>
      <c r="R459" s="585">
        <v>-8</v>
      </c>
      <c r="S459" s="585">
        <v>8</v>
      </c>
      <c r="T459" s="585" t="s">
        <v>865</v>
      </c>
      <c r="U459" s="585">
        <v>-20</v>
      </c>
      <c r="V459" s="586">
        <v>-20</v>
      </c>
      <c r="W459" s="585" t="s">
        <v>865</v>
      </c>
      <c r="X459" s="585" t="s">
        <v>865</v>
      </c>
      <c r="Y459" s="585">
        <v>-7</v>
      </c>
      <c r="Z459" s="585" t="s">
        <v>865</v>
      </c>
      <c r="AA459" s="586">
        <v>-29</v>
      </c>
      <c r="AB459" s="585">
        <v>-140</v>
      </c>
      <c r="AC459" s="585">
        <v>140</v>
      </c>
      <c r="AD459" s="585" t="s">
        <v>865</v>
      </c>
      <c r="AE459" s="585" t="s">
        <v>865</v>
      </c>
      <c r="AF459" s="586">
        <v>-140</v>
      </c>
      <c r="AG459" s="585" t="s">
        <v>865</v>
      </c>
      <c r="AH459" s="585">
        <v>88</v>
      </c>
      <c r="AI459" s="585" t="s">
        <v>865</v>
      </c>
      <c r="AJ459" s="585">
        <v>291</v>
      </c>
      <c r="AK459" s="586">
        <v>379</v>
      </c>
      <c r="AL459" s="585">
        <v>231</v>
      </c>
      <c r="AM459" s="585">
        <v>226</v>
      </c>
      <c r="AN459" s="15">
        <f>AN356</f>
        <v>37</v>
      </c>
      <c r="AO459" s="15">
        <f>AO356</f>
        <v>37</v>
      </c>
      <c r="AP459" s="206">
        <f>SUM(AL459:AO459)</f>
        <v>531</v>
      </c>
      <c r="AQ459" s="15">
        <f>AQ356</f>
        <v>37</v>
      </c>
      <c r="AR459" s="15">
        <f>AR356</f>
        <v>37</v>
      </c>
      <c r="AS459" s="15">
        <f>AS356</f>
        <v>37</v>
      </c>
      <c r="AT459" s="15">
        <f>AT356</f>
        <v>37</v>
      </c>
      <c r="AU459" s="206">
        <f>SUM(AQ459:AT459)</f>
        <v>148</v>
      </c>
      <c r="AV459" s="15">
        <f>AV356</f>
        <v>37</v>
      </c>
      <c r="AW459" s="15">
        <f>AW356</f>
        <v>37</v>
      </c>
      <c r="AX459" s="15">
        <f>AX356</f>
        <v>37</v>
      </c>
      <c r="AY459" s="15">
        <f>AY356</f>
        <v>37</v>
      </c>
      <c r="AZ459" s="206">
        <f>SUM(AV459:AY459)</f>
        <v>148</v>
      </c>
    </row>
    <row r="460" spans="2:54">
      <c r="B460" t="s">
        <v>143</v>
      </c>
      <c r="C460" t="s">
        <v>169</v>
      </c>
      <c r="E460" s="14"/>
      <c r="F460" s="14"/>
      <c r="G460" s="14"/>
      <c r="H460" s="15"/>
      <c r="I460" s="15"/>
      <c r="J460" s="15"/>
      <c r="K460" s="15"/>
      <c r="L460" s="14"/>
      <c r="M460" s="15"/>
      <c r="N460" s="15"/>
      <c r="O460" s="585">
        <v>-502</v>
      </c>
      <c r="P460" s="585">
        <v>-1143</v>
      </c>
      <c r="Q460" s="586">
        <v>6012</v>
      </c>
      <c r="R460" s="585">
        <v>-355</v>
      </c>
      <c r="S460" s="585">
        <v>-303</v>
      </c>
      <c r="T460" s="585">
        <v>-336</v>
      </c>
      <c r="U460" s="585">
        <v>-522</v>
      </c>
      <c r="V460" s="586">
        <v>-1525</v>
      </c>
      <c r="W460" s="585">
        <v>-118</v>
      </c>
      <c r="X460" s="585">
        <v>-363</v>
      </c>
      <c r="Y460" s="585">
        <v>-257</v>
      </c>
      <c r="Z460" s="585">
        <v>-435</v>
      </c>
      <c r="AA460" s="586">
        <v>-1173</v>
      </c>
      <c r="AB460" s="585">
        <v>-141</v>
      </c>
      <c r="AC460" s="585">
        <v>-625</v>
      </c>
      <c r="AD460" s="585">
        <v>-406</v>
      </c>
      <c r="AE460" s="585">
        <v>-849</v>
      </c>
      <c r="AF460" s="586">
        <v>-1732</v>
      </c>
      <c r="AG460" s="585">
        <v>-349</v>
      </c>
      <c r="AH460" s="585">
        <v>-161</v>
      </c>
      <c r="AI460" s="585">
        <v>-1</v>
      </c>
      <c r="AJ460" s="585">
        <v>393</v>
      </c>
      <c r="AK460" s="586">
        <v>-118</v>
      </c>
      <c r="AL460" s="585">
        <v>267</v>
      </c>
      <c r="AM460" s="585">
        <v>311</v>
      </c>
      <c r="AN460" s="20">
        <v>0</v>
      </c>
      <c r="AO460" s="20">
        <v>0</v>
      </c>
      <c r="AP460" s="206">
        <f>SUM(AL460:AO460)</f>
        <v>578</v>
      </c>
      <c r="AQ460" s="247">
        <v>-1150</v>
      </c>
      <c r="AR460" s="20">
        <v>0</v>
      </c>
      <c r="AS460" s="20">
        <v>0</v>
      </c>
      <c r="AT460" s="20">
        <v>0</v>
      </c>
      <c r="AU460" s="206">
        <f>SUM(AQ460:AT460)</f>
        <v>-1150</v>
      </c>
      <c r="AV460" s="273">
        <v>0</v>
      </c>
      <c r="AW460" s="273">
        <v>0</v>
      </c>
      <c r="AX460" s="273">
        <v>-530</v>
      </c>
      <c r="AY460" s="273">
        <v>0</v>
      </c>
      <c r="AZ460" s="206">
        <f>SUM(AV460:AY460)</f>
        <v>-530</v>
      </c>
    </row>
    <row r="461" spans="2:54">
      <c r="B461" t="s">
        <v>144</v>
      </c>
      <c r="C461" t="s">
        <v>144</v>
      </c>
      <c r="E461" s="14"/>
      <c r="F461" s="14"/>
      <c r="G461" s="14"/>
      <c r="H461" s="15"/>
      <c r="I461" s="15"/>
      <c r="J461" s="15"/>
      <c r="K461" s="15"/>
      <c r="L461" s="14"/>
      <c r="M461" s="15"/>
      <c r="N461" s="15"/>
      <c r="O461" s="585">
        <v>15.333333333333336</v>
      </c>
      <c r="P461" s="585">
        <v>209</v>
      </c>
      <c r="Q461" s="586">
        <v>232</v>
      </c>
      <c r="R461" s="585">
        <v>211</v>
      </c>
      <c r="S461" s="585">
        <v>212</v>
      </c>
      <c r="T461" s="585">
        <v>210</v>
      </c>
      <c r="U461" s="585">
        <v>211</v>
      </c>
      <c r="V461" s="586">
        <v>844</v>
      </c>
      <c r="W461" s="585">
        <v>212</v>
      </c>
      <c r="X461" s="585">
        <v>211</v>
      </c>
      <c r="Y461" s="585">
        <v>212</v>
      </c>
      <c r="Z461" s="585">
        <v>211</v>
      </c>
      <c r="AA461" s="586">
        <v>846</v>
      </c>
      <c r="AB461" s="585">
        <v>192</v>
      </c>
      <c r="AC461" s="585">
        <v>232</v>
      </c>
      <c r="AD461" s="585">
        <v>263</v>
      </c>
      <c r="AE461" s="585">
        <v>268</v>
      </c>
      <c r="AF461" s="586">
        <v>955</v>
      </c>
      <c r="AG461" s="585">
        <v>265</v>
      </c>
      <c r="AH461" s="585">
        <v>266</v>
      </c>
      <c r="AI461" s="585">
        <v>265</v>
      </c>
      <c r="AJ461" s="585">
        <v>284</v>
      </c>
      <c r="AK461" s="586">
        <v>1080</v>
      </c>
      <c r="AL461" s="585">
        <v>281</v>
      </c>
      <c r="AM461" s="585">
        <v>282</v>
      </c>
      <c r="AN461" s="15">
        <f>AN369*AN357</f>
        <v>281.62</v>
      </c>
      <c r="AO461" s="15">
        <f>AO369*AO357</f>
        <v>281.42</v>
      </c>
      <c r="AP461" s="206">
        <f>SUM(AL461:AO461)</f>
        <v>1126.04</v>
      </c>
      <c r="AQ461" s="15">
        <f>AQ369*AQ357</f>
        <v>281.21999999999997</v>
      </c>
      <c r="AR461" s="15">
        <f>AR369*AR357</f>
        <v>281.02</v>
      </c>
      <c r="AS461" s="15">
        <f>AS369*AS357</f>
        <v>280.82</v>
      </c>
      <c r="AT461" s="15">
        <f>AT369*AT357</f>
        <v>280.62</v>
      </c>
      <c r="AU461" s="206">
        <f>SUM(AQ461:AT461)</f>
        <v>1123.6799999999998</v>
      </c>
      <c r="AV461" s="15">
        <f>AV369*AV357</f>
        <v>280.42</v>
      </c>
      <c r="AW461" s="15">
        <f>AW369*AW357</f>
        <v>280.21999999999997</v>
      </c>
      <c r="AX461" s="15">
        <f>AX369*AX357</f>
        <v>280.02</v>
      </c>
      <c r="AY461" s="15">
        <f>AY369*AY357</f>
        <v>279.82</v>
      </c>
      <c r="AZ461" s="206">
        <f>SUM(AV461:AY461)</f>
        <v>1120.48</v>
      </c>
    </row>
    <row r="462" spans="2:54">
      <c r="B462" t="s">
        <v>145</v>
      </c>
      <c r="C462" t="s">
        <v>145</v>
      </c>
      <c r="E462" s="14"/>
      <c r="F462" s="14"/>
      <c r="G462" s="14"/>
      <c r="H462" s="15"/>
      <c r="I462" s="15"/>
      <c r="J462" s="15"/>
      <c r="K462" s="15"/>
      <c r="L462" s="14"/>
      <c r="M462" s="15"/>
      <c r="N462" s="15"/>
      <c r="O462" s="585">
        <v>10892</v>
      </c>
      <c r="P462" s="585">
        <v>1</v>
      </c>
      <c r="Q462" s="586">
        <v>7929</v>
      </c>
      <c r="R462" s="585">
        <v>6</v>
      </c>
      <c r="S462" s="585">
        <v>-9</v>
      </c>
      <c r="T462" s="585">
        <v>-10</v>
      </c>
      <c r="U462" s="585">
        <v>-14</v>
      </c>
      <c r="V462" s="586">
        <v>5</v>
      </c>
      <c r="W462" s="585">
        <v>-11</v>
      </c>
      <c r="X462" s="585">
        <v>-10</v>
      </c>
      <c r="Y462" s="585">
        <v>-7</v>
      </c>
      <c r="Z462" s="585">
        <v>-8529</v>
      </c>
      <c r="AA462" s="586">
        <v>-23</v>
      </c>
      <c r="AB462" s="585">
        <v>-177</v>
      </c>
      <c r="AC462" s="585">
        <v>128</v>
      </c>
      <c r="AD462" s="585">
        <v>-11</v>
      </c>
      <c r="AE462" s="585">
        <v>-15</v>
      </c>
      <c r="AF462" s="586">
        <v>-215</v>
      </c>
      <c r="AG462" s="585">
        <v>-30</v>
      </c>
      <c r="AH462" s="585">
        <v>-62</v>
      </c>
      <c r="AI462" s="585">
        <v>-28</v>
      </c>
      <c r="AJ462" s="585">
        <v>-31</v>
      </c>
      <c r="AK462" s="586">
        <v>-151</v>
      </c>
      <c r="AL462" s="585">
        <v>-58</v>
      </c>
      <c r="AM462" s="585">
        <v>-23</v>
      </c>
      <c r="AN462" s="20">
        <v>0</v>
      </c>
      <c r="AO462" s="20">
        <v>0</v>
      </c>
      <c r="AP462" s="206">
        <f>SUM(AL462:AO462)</f>
        <v>-81</v>
      </c>
      <c r="AQ462" s="20">
        <v>0</v>
      </c>
      <c r="AR462" s="20">
        <v>0</v>
      </c>
      <c r="AS462" s="20">
        <v>0</v>
      </c>
      <c r="AT462" s="20">
        <v>0</v>
      </c>
      <c r="AU462" s="206">
        <f>SUM(AQ462:AT462)</f>
        <v>0</v>
      </c>
      <c r="AV462" s="20">
        <v>0</v>
      </c>
      <c r="AW462" s="20">
        <v>0</v>
      </c>
      <c r="AX462" s="20">
        <v>0</v>
      </c>
      <c r="AY462" s="20">
        <v>0</v>
      </c>
      <c r="AZ462" s="206">
        <f>SUM(AV462:AY462)</f>
        <v>0</v>
      </c>
    </row>
    <row r="463" spans="2:54" s="11" customFormat="1">
      <c r="B463" s="11" t="s">
        <v>147</v>
      </c>
      <c r="C463" s="11" t="s">
        <v>167</v>
      </c>
      <c r="E463" s="16"/>
      <c r="F463" s="16"/>
      <c r="G463" s="16"/>
      <c r="H463" s="17"/>
      <c r="I463" s="17"/>
      <c r="J463" s="17"/>
      <c r="K463" s="17"/>
      <c r="L463" s="16"/>
      <c r="M463" s="17"/>
      <c r="N463" s="17"/>
      <c r="O463" s="581">
        <v>10394</v>
      </c>
      <c r="P463" s="581">
        <v>-507</v>
      </c>
      <c r="Q463" s="582">
        <v>17577</v>
      </c>
      <c r="R463" s="581">
        <v>-556</v>
      </c>
      <c r="S463" s="581">
        <v>-524</v>
      </c>
      <c r="T463" s="581">
        <v>-546</v>
      </c>
      <c r="U463" s="581">
        <v>-738</v>
      </c>
      <c r="V463" s="582">
        <v>-2364</v>
      </c>
      <c r="W463" s="581">
        <v>-328</v>
      </c>
      <c r="X463" s="581">
        <v>-573</v>
      </c>
      <c r="Y463" s="581">
        <v>-465</v>
      </c>
      <c r="Z463" s="581">
        <v>-624</v>
      </c>
      <c r="AA463" s="582">
        <v>-1990</v>
      </c>
      <c r="AB463" s="581">
        <v>-355</v>
      </c>
      <c r="AC463" s="581">
        <v>-673</v>
      </c>
      <c r="AD463" s="581">
        <v>-602</v>
      </c>
      <c r="AE463" s="581">
        <v>-1132</v>
      </c>
      <c r="AF463" s="582">
        <v>-2762</v>
      </c>
      <c r="AG463" s="581">
        <v>-644</v>
      </c>
      <c r="AH463" s="581">
        <v>-577</v>
      </c>
      <c r="AI463" s="581">
        <v>-294</v>
      </c>
      <c r="AJ463" s="581">
        <v>-213</v>
      </c>
      <c r="AK463" s="582">
        <v>-1728</v>
      </c>
      <c r="AL463" s="581">
        <v>-303</v>
      </c>
      <c r="AM463" s="581">
        <v>-220</v>
      </c>
      <c r="AN463" s="17">
        <f>-AN459+AN460-AN461+AN462</f>
        <v>-318.62</v>
      </c>
      <c r="AO463" s="17">
        <f t="shared" ref="AO463:AU463" si="1029">-AO459+AO460-AO461+AO462</f>
        <v>-318.42</v>
      </c>
      <c r="AP463" s="204">
        <f t="shared" si="1029"/>
        <v>-1160.04</v>
      </c>
      <c r="AQ463" s="17">
        <f t="shared" si="1029"/>
        <v>-1468.22</v>
      </c>
      <c r="AR463" s="17">
        <f t="shared" si="1029"/>
        <v>-318.02</v>
      </c>
      <c r="AS463" s="17">
        <f t="shared" si="1029"/>
        <v>-317.82</v>
      </c>
      <c r="AT463" s="17">
        <f t="shared" si="1029"/>
        <v>-317.62</v>
      </c>
      <c r="AU463" s="204">
        <f t="shared" si="1029"/>
        <v>-2421.6799999999998</v>
      </c>
      <c r="AV463" s="17">
        <f t="shared" ref="AV463" si="1030">-AV459+AV460-AV461+AV462</f>
        <v>-317.42</v>
      </c>
      <c r="AW463" s="17">
        <f t="shared" ref="AW463" si="1031">-AW459+AW460-AW461+AW462</f>
        <v>-317.21999999999997</v>
      </c>
      <c r="AX463" s="17">
        <f t="shared" ref="AX463" si="1032">-AX459+AX460-AX461+AX462</f>
        <v>-847.02</v>
      </c>
      <c r="AY463" s="17">
        <f t="shared" ref="AY463" si="1033">-AY459+AY460-AY461+AY462</f>
        <v>-316.82</v>
      </c>
      <c r="AZ463" s="204">
        <f t="shared" ref="AZ463" si="1034">-AZ459+AZ460-AZ461+AZ462</f>
        <v>-1798.48</v>
      </c>
      <c r="BB463" s="257"/>
    </row>
    <row r="464" spans="2:54">
      <c r="E464" s="14"/>
      <c r="F464" s="14"/>
      <c r="G464" s="14"/>
      <c r="H464" s="15"/>
      <c r="I464" s="15"/>
      <c r="J464" s="15"/>
      <c r="K464" s="15"/>
      <c r="L464" s="14"/>
      <c r="M464" s="15"/>
      <c r="N464" s="15"/>
      <c r="O464" s="585"/>
      <c r="P464" s="585"/>
      <c r="Q464" s="586"/>
      <c r="R464" s="585"/>
      <c r="S464" s="585"/>
      <c r="T464" s="585"/>
      <c r="U464" s="585"/>
      <c r="V464" s="586"/>
      <c r="W464" s="585"/>
      <c r="X464" s="585"/>
      <c r="Y464" s="585"/>
      <c r="Z464" s="585"/>
      <c r="AA464" s="586"/>
      <c r="AB464" s="585"/>
      <c r="AC464" s="585"/>
      <c r="AD464" s="585"/>
      <c r="AE464" s="585"/>
      <c r="AF464" s="586"/>
      <c r="AG464" s="585"/>
      <c r="AH464" s="585"/>
      <c r="AI464" s="585"/>
      <c r="AJ464" s="585"/>
      <c r="AK464" s="586"/>
      <c r="AL464" s="585"/>
      <c r="AM464" s="585"/>
      <c r="AP464" s="199"/>
      <c r="AU464" s="199"/>
      <c r="AV464" s="83"/>
      <c r="AW464" s="83"/>
      <c r="AX464" s="83"/>
      <c r="AY464" s="83"/>
      <c r="AZ464" s="199"/>
    </row>
    <row r="465" spans="2:52">
      <c r="B465" t="s">
        <v>149</v>
      </c>
      <c r="C465" t="s">
        <v>168</v>
      </c>
      <c r="E465" s="14"/>
      <c r="F465" s="14"/>
      <c r="G465" s="14"/>
      <c r="H465" s="15"/>
      <c r="I465" s="15"/>
      <c r="J465" s="15"/>
      <c r="K465" s="15"/>
      <c r="L465" s="14"/>
      <c r="M465" s="15"/>
      <c r="N465" s="15"/>
      <c r="O465" s="585">
        <v>-51</v>
      </c>
      <c r="P465" s="585">
        <v>-1</v>
      </c>
      <c r="Q465" s="586">
        <v>-15</v>
      </c>
      <c r="R465" s="585">
        <v>10</v>
      </c>
      <c r="S465" s="585">
        <v>2</v>
      </c>
      <c r="T465" s="585">
        <v>16</v>
      </c>
      <c r="U465" s="585" t="s">
        <v>865</v>
      </c>
      <c r="V465" s="586">
        <v>12</v>
      </c>
      <c r="W465" s="585">
        <v>-8</v>
      </c>
      <c r="X465" s="585">
        <v>5</v>
      </c>
      <c r="Y465" s="585">
        <v>-8</v>
      </c>
      <c r="Z465" s="585">
        <v>5</v>
      </c>
      <c r="AA465" s="586">
        <v>-6</v>
      </c>
      <c r="AB465" s="585">
        <v>2</v>
      </c>
      <c r="AC465" s="585">
        <v>2</v>
      </c>
      <c r="AD465" s="585">
        <v>-9</v>
      </c>
      <c r="AE465" s="585">
        <v>-4</v>
      </c>
      <c r="AF465" s="586">
        <v>-9</v>
      </c>
      <c r="AG465" s="585">
        <v>4</v>
      </c>
      <c r="AH465" s="585">
        <v>-5</v>
      </c>
      <c r="AI465" s="585">
        <v>-9</v>
      </c>
      <c r="AJ465" s="585">
        <v>3</v>
      </c>
      <c r="AK465" s="586">
        <v>-7</v>
      </c>
      <c r="AL465" s="585">
        <v>6</v>
      </c>
      <c r="AM465" s="585">
        <v>11</v>
      </c>
      <c r="AN465" s="20">
        <v>0</v>
      </c>
      <c r="AO465" s="20">
        <v>0</v>
      </c>
      <c r="AP465" s="206">
        <f>SUM(AL465:AO465)</f>
        <v>17</v>
      </c>
      <c r="AQ465" s="20">
        <v>0</v>
      </c>
      <c r="AR465" s="20">
        <v>0</v>
      </c>
      <c r="AS465" s="20">
        <v>0</v>
      </c>
      <c r="AT465" s="20">
        <v>0</v>
      </c>
      <c r="AU465" s="206">
        <f>SUM(AQ465:AT465)</f>
        <v>0</v>
      </c>
      <c r="AV465" s="20">
        <v>0</v>
      </c>
      <c r="AW465" s="20">
        <v>0</v>
      </c>
      <c r="AX465" s="20">
        <v>0</v>
      </c>
      <c r="AY465" s="20">
        <v>0</v>
      </c>
      <c r="AZ465" s="206">
        <f>SUM(AV465:AY465)</f>
        <v>0</v>
      </c>
    </row>
    <row r="466" spans="2:52">
      <c r="E466" s="14"/>
      <c r="F466" s="14"/>
      <c r="G466" s="14"/>
      <c r="H466" s="15"/>
      <c r="I466" s="15"/>
      <c r="J466" s="15"/>
      <c r="K466" s="15"/>
      <c r="L466" s="14"/>
      <c r="M466" s="15"/>
      <c r="N466" s="15"/>
      <c r="O466" s="585"/>
      <c r="P466" s="585"/>
      <c r="Q466" s="586"/>
      <c r="R466" s="585"/>
      <c r="S466" s="585"/>
      <c r="T466" s="585"/>
      <c r="U466" s="585"/>
      <c r="V466" s="586"/>
      <c r="W466" s="585"/>
      <c r="X466" s="585"/>
      <c r="Y466" s="585"/>
      <c r="Z466" s="585"/>
      <c r="AA466" s="586"/>
      <c r="AB466" s="585"/>
      <c r="AC466" s="585"/>
      <c r="AD466" s="585"/>
      <c r="AE466" s="585"/>
      <c r="AF466" s="586"/>
      <c r="AG466" s="585"/>
      <c r="AH466" s="585"/>
      <c r="AI466" s="585"/>
      <c r="AJ466" s="585"/>
      <c r="AK466" s="586"/>
      <c r="AL466" s="585"/>
      <c r="AM466" s="585"/>
      <c r="AP466" s="199"/>
      <c r="AU466" s="199"/>
      <c r="AV466" s="83"/>
      <c r="AW466" s="83"/>
      <c r="AX466" s="83"/>
      <c r="AY466" s="83"/>
      <c r="AZ466" s="199"/>
    </row>
    <row r="467" spans="2:52">
      <c r="B467" t="s">
        <v>150</v>
      </c>
      <c r="C467" t="s">
        <v>170</v>
      </c>
      <c r="E467" s="14"/>
      <c r="F467" s="14"/>
      <c r="G467" s="14"/>
      <c r="H467" s="15"/>
      <c r="I467" s="15"/>
      <c r="J467" s="15"/>
      <c r="K467" s="15"/>
      <c r="L467" s="14"/>
      <c r="M467" s="15"/>
      <c r="N467" s="15"/>
      <c r="O467" s="585">
        <v>95</v>
      </c>
      <c r="P467" s="585">
        <v>349</v>
      </c>
      <c r="Q467" s="586">
        <v>95</v>
      </c>
      <c r="R467" s="585">
        <v>139</v>
      </c>
      <c r="S467" s="585">
        <v>129</v>
      </c>
      <c r="T467" s="585">
        <v>152.5</v>
      </c>
      <c r="U467" s="585">
        <v>102</v>
      </c>
      <c r="V467" s="586">
        <v>139</v>
      </c>
      <c r="W467" s="585">
        <v>111</v>
      </c>
      <c r="X467" s="585">
        <v>223</v>
      </c>
      <c r="Y467" s="585">
        <v>177</v>
      </c>
      <c r="Z467" s="585">
        <v>218</v>
      </c>
      <c r="AA467" s="586">
        <v>111</v>
      </c>
      <c r="AB467" s="585">
        <v>255</v>
      </c>
      <c r="AC467" s="585">
        <v>349</v>
      </c>
      <c r="AD467" s="585">
        <v>170</v>
      </c>
      <c r="AE467" s="585">
        <v>203</v>
      </c>
      <c r="AF467" s="586">
        <v>255</v>
      </c>
      <c r="AG467" s="585">
        <v>568</v>
      </c>
      <c r="AH467" s="585">
        <v>594</v>
      </c>
      <c r="AI467" s="585">
        <v>554</v>
      </c>
      <c r="AJ467" s="585">
        <v>928</v>
      </c>
      <c r="AK467" s="586">
        <v>568</v>
      </c>
      <c r="AL467" s="585">
        <v>535</v>
      </c>
      <c r="AM467" s="585">
        <v>204</v>
      </c>
      <c r="AN467" s="15">
        <f>AM469</f>
        <v>278</v>
      </c>
      <c r="AO467" s="15">
        <f ca="1">AN469</f>
        <v>789.41235913439675</v>
      </c>
      <c r="AP467" s="206">
        <f>AK469</f>
        <v>535</v>
      </c>
      <c r="AQ467" s="15">
        <f ca="1">AO469</f>
        <v>1292.1347352092268</v>
      </c>
      <c r="AR467" s="15">
        <f t="shared" ref="AR467:AT467" ca="1" si="1035">AQ469</f>
        <v>564.82805326269977</v>
      </c>
      <c r="AS467" s="15">
        <f t="shared" ca="1" si="1035"/>
        <v>766.06077891176733</v>
      </c>
      <c r="AT467" s="15">
        <f t="shared" ca="1" si="1035"/>
        <v>1266.2570273721183</v>
      </c>
      <c r="AU467" s="206">
        <f ca="1">AP469</f>
        <v>1292.1347352092268</v>
      </c>
      <c r="AV467" s="15">
        <f ca="1">AT469</f>
        <v>1770.8548983450423</v>
      </c>
      <c r="AW467" s="15">
        <f t="shared" ref="AW467:AY467" ca="1" si="1036">AV469</f>
        <v>2187.0770157882148</v>
      </c>
      <c r="AX467" s="15">
        <f t="shared" ca="1" si="1036"/>
        <v>2379.9095238702821</v>
      </c>
      <c r="AY467" s="15">
        <f t="shared" ca="1" si="1036"/>
        <v>2354.525463867667</v>
      </c>
      <c r="AZ467" s="206">
        <f ca="1">AU469</f>
        <v>1770.8548983450423</v>
      </c>
    </row>
    <row r="468" spans="2:52">
      <c r="B468" t="s">
        <v>148</v>
      </c>
      <c r="E468" s="14"/>
      <c r="F468" s="14"/>
      <c r="G468" s="14"/>
      <c r="H468" s="15"/>
      <c r="I468" s="15"/>
      <c r="J468" s="15"/>
      <c r="K468" s="15"/>
      <c r="L468" s="14"/>
      <c r="M468" s="15"/>
      <c r="N468" s="15"/>
      <c r="O468" s="585">
        <v>-8162</v>
      </c>
      <c r="P468" s="585">
        <v>24</v>
      </c>
      <c r="Q468" s="586">
        <v>44</v>
      </c>
      <c r="R468" s="585">
        <v>0</v>
      </c>
      <c r="S468" s="585">
        <v>21</v>
      </c>
      <c r="T468" s="585">
        <v>-32</v>
      </c>
      <c r="U468" s="585">
        <v>-1</v>
      </c>
      <c r="V468" s="586">
        <v>-28</v>
      </c>
      <c r="W468" s="585">
        <v>112</v>
      </c>
      <c r="X468" s="585">
        <v>-46</v>
      </c>
      <c r="Y468" s="585">
        <v>41</v>
      </c>
      <c r="Z468" s="585">
        <v>37</v>
      </c>
      <c r="AA468" s="586">
        <v>144</v>
      </c>
      <c r="AB468" s="585">
        <v>94</v>
      </c>
      <c r="AC468" s="585">
        <v>-179</v>
      </c>
      <c r="AD468" s="585">
        <v>33</v>
      </c>
      <c r="AE468" s="585">
        <v>365</v>
      </c>
      <c r="AF468" s="586">
        <v>313</v>
      </c>
      <c r="AG468" s="585">
        <v>26</v>
      </c>
      <c r="AH468" s="585">
        <v>-40</v>
      </c>
      <c r="AI468" s="585">
        <v>374</v>
      </c>
      <c r="AJ468" s="585">
        <v>-393</v>
      </c>
      <c r="AK468" s="586">
        <v>-33</v>
      </c>
      <c r="AL468" s="585">
        <v>-331</v>
      </c>
      <c r="AM468" s="585">
        <v>74</v>
      </c>
      <c r="AN468" s="15">
        <f ca="1">AN449+AN456+AN463+AN465</f>
        <v>511.41235913439675</v>
      </c>
      <c r="AO468" s="15">
        <f ca="1">AO449+AO456+AO463+AO465</f>
        <v>502.72237607483004</v>
      </c>
      <c r="AP468" s="206">
        <f ca="1">SUM(AL468:AO468)</f>
        <v>757.13473520922685</v>
      </c>
      <c r="AQ468" s="15">
        <f t="shared" ref="AQ468:AT468" si="1037">AQ449+AQ456+AQ463+AQ465</f>
        <v>-726.5723688246544</v>
      </c>
      <c r="AR468" s="15">
        <f t="shared" si="1037"/>
        <v>201.23272564906756</v>
      </c>
      <c r="AS468" s="15">
        <f t="shared" si="1037"/>
        <v>495.18216257765101</v>
      </c>
      <c r="AT468" s="15">
        <f t="shared" si="1037"/>
        <v>500.38816531716827</v>
      </c>
      <c r="AU468" s="206">
        <f>SUM(AQ468:AT468)</f>
        <v>470.23068471923244</v>
      </c>
      <c r="AV468" s="15">
        <f t="shared" ref="AV468:AY468" si="1038">AV449+AV456+AV463+AV465</f>
        <v>416.93575568738771</v>
      </c>
      <c r="AW468" s="15">
        <f t="shared" si="1038"/>
        <v>192.83250808206731</v>
      </c>
      <c r="AX468" s="15">
        <f t="shared" si="1038"/>
        <v>-30.278645085596054</v>
      </c>
      <c r="AY468" s="15">
        <f t="shared" si="1038"/>
        <v>504.27928605287974</v>
      </c>
      <c r="AZ468" s="206">
        <f>SUM(AV468:AY468)</f>
        <v>1083.7689047367387</v>
      </c>
    </row>
    <row r="469" spans="2:52">
      <c r="B469" t="s">
        <v>151</v>
      </c>
      <c r="E469" s="14"/>
      <c r="F469" s="14"/>
      <c r="G469" s="14"/>
      <c r="H469" s="15"/>
      <c r="I469" s="15"/>
      <c r="J469" s="15"/>
      <c r="K469" s="15"/>
      <c r="L469" s="14"/>
      <c r="M469" s="15"/>
      <c r="N469" s="15"/>
      <c r="O469" s="585">
        <v>-8067</v>
      </c>
      <c r="P469" s="585">
        <v>373</v>
      </c>
      <c r="Q469" s="586">
        <v>139</v>
      </c>
      <c r="R469" s="585">
        <v>139</v>
      </c>
      <c r="S469" s="585">
        <v>150</v>
      </c>
      <c r="T469" s="585">
        <v>120.5</v>
      </c>
      <c r="U469" s="585">
        <v>101</v>
      </c>
      <c r="V469" s="586">
        <v>111</v>
      </c>
      <c r="W469" s="585">
        <v>223</v>
      </c>
      <c r="X469" s="585">
        <v>177</v>
      </c>
      <c r="Y469" s="585">
        <v>218</v>
      </c>
      <c r="Z469" s="585">
        <v>255</v>
      </c>
      <c r="AA469" s="586">
        <v>255</v>
      </c>
      <c r="AB469" s="585">
        <v>349</v>
      </c>
      <c r="AC469" s="585">
        <v>170</v>
      </c>
      <c r="AD469" s="585">
        <v>203</v>
      </c>
      <c r="AE469" s="585">
        <v>568</v>
      </c>
      <c r="AF469" s="586">
        <v>568</v>
      </c>
      <c r="AG469" s="585">
        <v>594</v>
      </c>
      <c r="AH469" s="585">
        <v>554</v>
      </c>
      <c r="AI469" s="585">
        <v>928</v>
      </c>
      <c r="AJ469" s="585">
        <v>535</v>
      </c>
      <c r="AK469" s="586">
        <v>535</v>
      </c>
      <c r="AL469" s="585">
        <v>204</v>
      </c>
      <c r="AM469" s="585">
        <v>278</v>
      </c>
      <c r="AN469" s="15">
        <f ca="1">AN467+AN468</f>
        <v>789.41235913439675</v>
      </c>
      <c r="AO469" s="15">
        <f ca="1">AO467+AO468</f>
        <v>1292.1347352092268</v>
      </c>
      <c r="AP469" s="206">
        <f ca="1">AP468+AP467</f>
        <v>1292.1347352092268</v>
      </c>
      <c r="AQ469" s="15">
        <f t="shared" ref="AQ469:AT469" ca="1" si="1039">AQ467+AQ468</f>
        <v>564.82805326269977</v>
      </c>
      <c r="AR469" s="15">
        <f t="shared" ca="1" si="1039"/>
        <v>766.06077891176733</v>
      </c>
      <c r="AS469" s="15">
        <f t="shared" ca="1" si="1039"/>
        <v>1266.2570273721183</v>
      </c>
      <c r="AT469" s="15">
        <f t="shared" ca="1" si="1039"/>
        <v>1770.8548983450423</v>
      </c>
      <c r="AU469" s="206">
        <f ca="1">AU468+AU467</f>
        <v>1770.8548983450423</v>
      </c>
      <c r="AV469" s="15">
        <f t="shared" ref="AV469:AY469" ca="1" si="1040">AV467+AV468</f>
        <v>2187.0770157882148</v>
      </c>
      <c r="AW469" s="15">
        <f t="shared" ca="1" si="1040"/>
        <v>2379.9095238702821</v>
      </c>
      <c r="AX469" s="15">
        <f t="shared" ca="1" si="1040"/>
        <v>2354.525463867667</v>
      </c>
      <c r="AY469" s="15">
        <f t="shared" ca="1" si="1040"/>
        <v>2862.8266733481046</v>
      </c>
      <c r="AZ469" s="206">
        <f ca="1">AZ468+AZ467</f>
        <v>2862.826673348105</v>
      </c>
    </row>
  </sheetData>
  <mergeCells count="4">
    <mergeCell ref="E9:AM9"/>
    <mergeCell ref="E386:AM386"/>
    <mergeCell ref="E436:AM436"/>
    <mergeCell ref="E146:AM146"/>
  </mergeCells>
  <conditionalFormatting sqref="R383:U383 W383:Z383 AB383:AE383 AG383:AJ383 AL383:AM383">
    <cfRule type="colorScale" priority="5">
      <colorScale>
        <cfvo type="min"/>
        <cfvo type="percentile" val="50"/>
        <cfvo type="max"/>
        <color rgb="FFF8696B"/>
        <color rgb="FFFFEB84"/>
        <color rgb="FF63BE7B"/>
      </colorScale>
    </cfRule>
  </conditionalFormatting>
  <conditionalFormatting sqref="R370:U370 W370:Z370 AB370:AE370 AG370:AJ370 AL370:AO370">
    <cfRule type="colorScale" priority="4">
      <colorScale>
        <cfvo type="min"/>
        <cfvo type="percentile" val="50"/>
        <cfvo type="max"/>
        <color rgb="FFF8696B"/>
        <color rgb="FFFFEB84"/>
        <color rgb="FF63BE7B"/>
      </colorScale>
    </cfRule>
  </conditionalFormatting>
  <conditionalFormatting sqref="N370:P370">
    <cfRule type="colorScale" priority="2">
      <colorScale>
        <cfvo type="min"/>
        <cfvo type="percentile" val="50"/>
        <cfvo type="max"/>
        <color rgb="FFF8696B"/>
        <color rgb="FFFFEB84"/>
        <color rgb="FF63BE7B"/>
      </colorScale>
    </cfRule>
  </conditionalFormatting>
  <conditionalFormatting sqref="O370:P370 R370:U370 W370:Z370 AB370:AE370 AG370:AJ370 AL370:AO370">
    <cfRule type="colorScale" priority="1">
      <colorScale>
        <cfvo type="min"/>
        <cfvo type="max"/>
        <color rgb="FFFCFCFF"/>
        <color rgb="FF63BE7B"/>
      </colorScale>
    </cfRule>
  </conditionalFormatting>
  <pageMargins left="0.7" right="0.7" top="0.75" bottom="0.75" header="0.3" footer="0.3"/>
  <pageSetup orientation="portrait" verticalDpi="1200" r:id="rId1"/>
  <customProperties>
    <customPr name="UniqueWorksheetId" r:id="rId2"/>
  </customProperties>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F23AB-288E-485A-A6A8-5F4FAC08EE77}">
  <dimension ref="B2:F30"/>
  <sheetViews>
    <sheetView workbookViewId="0">
      <selection activeCell="C22" sqref="C22"/>
    </sheetView>
  </sheetViews>
  <sheetFormatPr defaultRowHeight="14.5"/>
  <cols>
    <col min="1" max="1" width="3.453125" customWidth="1"/>
    <col min="2" max="2" width="39.90625" customWidth="1"/>
    <col min="3" max="6" width="19" customWidth="1"/>
  </cols>
  <sheetData>
    <row r="2" spans="2:6">
      <c r="C2" s="666" t="s">
        <v>765</v>
      </c>
      <c r="D2" s="666"/>
      <c r="E2" s="666"/>
      <c r="F2" s="666"/>
    </row>
    <row r="3" spans="2:6" ht="15" thickBot="1">
      <c r="C3" s="667"/>
      <c r="D3" s="667"/>
      <c r="E3" s="667"/>
      <c r="F3" s="667"/>
    </row>
    <row r="4" spans="2:6">
      <c r="B4" s="633" t="s">
        <v>753</v>
      </c>
      <c r="C4" t="s">
        <v>760</v>
      </c>
      <c r="D4" t="s">
        <v>761</v>
      </c>
      <c r="E4" t="s">
        <v>730</v>
      </c>
      <c r="F4" t="s">
        <v>762</v>
      </c>
    </row>
    <row r="5" spans="2:6">
      <c r="B5" s="634" t="s">
        <v>756</v>
      </c>
    </row>
    <row r="6" spans="2:6">
      <c r="B6" s="635" t="s">
        <v>754</v>
      </c>
      <c r="C6" s="19">
        <f>Tower!AN15</f>
        <v>4.8214252626832543E-2</v>
      </c>
      <c r="D6" s="19">
        <f>Tower!AO15</f>
        <v>3.0245149739468236E-2</v>
      </c>
      <c r="E6" s="19">
        <f>Tower!AP15</f>
        <v>5.6886556695851631E-2</v>
      </c>
      <c r="F6" s="19">
        <f>Tower!AU15</f>
        <v>2.0708982524391795E-2</v>
      </c>
    </row>
    <row r="7" spans="2:6">
      <c r="B7" s="635" t="s">
        <v>755</v>
      </c>
      <c r="C7" s="19" cm="1">
        <f t="array" ref="C7">_xll.VAData("KDP_US", "3QFY-2023", "CC growth", "Consensus", "CD", "IMPL","","")/100</f>
        <v>3.4725630276408077E-2</v>
      </c>
      <c r="D7" s="19" cm="1">
        <f t="array" ref="D7">_xll.VAData("KDP_US", "4QFY-2023", "CC growth", "Consensus", "CD", "IMPL","","")/100</f>
        <v>4.2806230852254774E-2</v>
      </c>
      <c r="E7" s="19" cm="1">
        <f t="array" ref="E7">_xll.VAData("KDP_US", "FY-2023", "CC growth", "Consensus", "CD", "IMPL","","")/100</f>
        <v>5.566802740304836E-2</v>
      </c>
      <c r="F7" s="19" cm="1">
        <f t="array" ref="F7">_xll.VAData("KDP_US", "FY-2024", "CC growth", "Consensus", "CD", "IMPL","","")/100</f>
        <v>4.6816739569441407E-2</v>
      </c>
    </row>
    <row r="8" spans="2:6">
      <c r="B8" s="635" t="s">
        <v>763</v>
      </c>
      <c r="C8" s="29">
        <f>(C6-C7)*10000</f>
        <v>134.88622350424467</v>
      </c>
      <c r="D8" s="29">
        <f t="shared" ref="D8:F8" si="0">(D6-D7)*10000</f>
        <v>-125.61081112786539</v>
      </c>
      <c r="E8" s="29">
        <f t="shared" si="0"/>
        <v>12.185292928032707</v>
      </c>
      <c r="F8" s="29">
        <f t="shared" si="0"/>
        <v>-261.07757045049613</v>
      </c>
    </row>
    <row r="9" spans="2:6">
      <c r="B9" s="633"/>
      <c r="C9" s="19"/>
      <c r="D9" s="19"/>
      <c r="E9" s="19"/>
      <c r="F9" s="19"/>
    </row>
    <row r="10" spans="2:6">
      <c r="B10" s="634" t="s">
        <v>758</v>
      </c>
      <c r="C10" s="19"/>
      <c r="D10" s="19"/>
      <c r="E10" s="19"/>
      <c r="F10" s="19"/>
    </row>
    <row r="11" spans="2:6">
      <c r="B11" s="635" t="s">
        <v>754</v>
      </c>
      <c r="C11" s="19">
        <f>Tower!AN26</f>
        <v>0.09</v>
      </c>
      <c r="D11" s="19">
        <f>Tower!AO26</f>
        <v>6.9999999999999993E-2</v>
      </c>
      <c r="E11" s="19">
        <f>Tower!AP26</f>
        <v>0.10124999999999999</v>
      </c>
      <c r="F11" s="19">
        <f>Tower!AU26</f>
        <v>3.7499999999999999E-2</v>
      </c>
    </row>
    <row r="12" spans="2:6">
      <c r="B12" s="635" t="s">
        <v>755</v>
      </c>
      <c r="C12" s="19" cm="1">
        <f t="array" ref="C12">_xll.VAData("KDP_US", "3QFY-2023", "Total growth - US - Refreshment beverages", "Consensus", "CD", "IMPL","","")/100</f>
        <v>5.498855156037992E-2</v>
      </c>
      <c r="D12" s="19" cm="1">
        <f t="array" ref="D12">_xll.VAData("KDP_US", "4QFY-2023", "Total growth - US - Refreshment beverages", "Consensus", "CD", "IMPL","","")/100</f>
        <v>5.0563250635574646E-2</v>
      </c>
      <c r="E12" s="19" cm="1">
        <f t="array" ref="E12">_xll.VAData("KDP_US", "FY-2023", "Total growth - US - Refreshment beverages", "Consensus", "CD", "IMPL","","")/100</f>
        <v>8.6136985079567296E-2</v>
      </c>
      <c r="F12" s="19" cm="1">
        <f t="array" ref="F12">_xll.VAData("KDP_US", "FY-2024", "Total growth - US - Refreshment beverages", "Consensus", "CD", "IMPL","","")/100</f>
        <v>4.6136575181879053E-2</v>
      </c>
    </row>
    <row r="13" spans="2:6">
      <c r="B13" s="635" t="s">
        <v>763</v>
      </c>
      <c r="C13" s="29">
        <f>(C11-C12)*10000</f>
        <v>350.11448439620079</v>
      </c>
      <c r="D13" s="29">
        <f t="shared" ref="D13" si="1">(D11-D12)*10000</f>
        <v>194.36749364425347</v>
      </c>
      <c r="E13" s="29">
        <f t="shared" ref="E13" si="2">(E11-E12)*10000</f>
        <v>151.13014920432695</v>
      </c>
      <c r="F13" s="29">
        <f t="shared" ref="F13" si="3">(F11-F12)*10000</f>
        <v>-86.365751818790542</v>
      </c>
    </row>
    <row r="14" spans="2:6">
      <c r="B14" s="633"/>
      <c r="C14" s="19"/>
      <c r="D14" s="19"/>
      <c r="E14" s="19"/>
      <c r="F14" s="19"/>
    </row>
    <row r="15" spans="2:6">
      <c r="B15" s="634" t="s">
        <v>757</v>
      </c>
      <c r="C15" s="19"/>
      <c r="D15" s="19"/>
      <c r="E15" s="19"/>
      <c r="F15" s="19"/>
    </row>
    <row r="16" spans="2:6">
      <c r="B16" s="635" t="s">
        <v>754</v>
      </c>
      <c r="C16" s="19">
        <f>Tower!AN51</f>
        <v>-5.1658000403879245E-2</v>
      </c>
      <c r="D16" s="19">
        <f>Tower!AO51</f>
        <v>-5.3665457524314952E-2</v>
      </c>
      <c r="E16" s="19">
        <f>Tower!AP51</f>
        <v>-4.5081990548767714E-2</v>
      </c>
      <c r="F16" s="19">
        <f>Tower!AU51</f>
        <v>-3.3740895625992251E-2</v>
      </c>
    </row>
    <row r="17" spans="2:6">
      <c r="B17" s="635" t="s">
        <v>755</v>
      </c>
      <c r="C17" s="19" cm="1">
        <f t="array" ref="C17">_xll.VAData("KDP_US", "3QFY-2023", "Total growth - US - Coffee", "Consensus", "CD", "IMPL","","")/100</f>
        <v>-1.3403642754545459E-2</v>
      </c>
      <c r="D17" s="19" cm="1">
        <f t="array" ref="D17">_xll.VAData("KDP_US", "4QFY-2023", "Total growth - US - Coffee", "Consensus", "CD", "IMPL","","")/100</f>
        <v>1.5276623372727269E-2</v>
      </c>
      <c r="E17" s="19" cm="1">
        <f t="array" ref="E17">_xll.VAData("KDP_US", "FY-2023", "Total growth - US - Coffee", "Consensus", "CD", "IMPL","","")/100</f>
        <v>-1.526625229789625E-2</v>
      </c>
      <c r="F17" s="19" cm="1">
        <f t="array" ref="F17">_xll.VAData("KDP_US", "FY-2024", "Total growth - US - Coffee", "Consensus", "CD", "IMPL","","")/100</f>
        <v>3.3661366183523909E-2</v>
      </c>
    </row>
    <row r="18" spans="2:6">
      <c r="B18" s="635" t="s">
        <v>763</v>
      </c>
      <c r="C18" s="29">
        <f>(C16-C17)*10000</f>
        <v>-382.54357649333787</v>
      </c>
      <c r="D18" s="29">
        <f t="shared" ref="D18" si="4">(D16-D17)*10000</f>
        <v>-689.42080897042217</v>
      </c>
      <c r="E18" s="29">
        <f t="shared" ref="E18" si="5">(E16-E17)*10000</f>
        <v>-298.15738250871465</v>
      </c>
      <c r="F18" s="29">
        <f t="shared" ref="F18" si="6">(F16-F17)*10000</f>
        <v>-674.02261809516165</v>
      </c>
    </row>
    <row r="19" spans="2:6">
      <c r="B19" s="633"/>
      <c r="C19" s="19"/>
      <c r="D19" s="19"/>
      <c r="E19" s="19"/>
      <c r="F19" s="19"/>
    </row>
    <row r="20" spans="2:6">
      <c r="B20" s="634" t="s">
        <v>759</v>
      </c>
      <c r="C20" s="19"/>
      <c r="D20" s="19"/>
      <c r="E20" s="19"/>
      <c r="F20" s="19"/>
    </row>
    <row r="21" spans="2:6">
      <c r="B21" s="635" t="s">
        <v>754</v>
      </c>
      <c r="C21" s="19">
        <f>Tower!AN304</f>
        <v>0.26912216853888388</v>
      </c>
      <c r="D21" s="19">
        <f>Tower!AO304</f>
        <v>0.2810305584855517</v>
      </c>
      <c r="E21" s="19">
        <f>Tower!AP304</f>
        <v>0.24869945534952329</v>
      </c>
      <c r="F21" s="19">
        <f>Tower!AU304</f>
        <v>0.2450338484290982</v>
      </c>
    </row>
    <row r="22" spans="2:6">
      <c r="B22" s="635" t="s">
        <v>755</v>
      </c>
      <c r="C22" s="19" cm="1">
        <f t="array" ref="C22">_xll.BQL("KDP US Equity", "CB_IS_ADJ_OPERATING_MARGIN", "FPR=2023Q3", "FPT=Q", "FA_ACT_EST_DATA=E", "ACT_EST_MAPPING=PRECISE", "FS=MRC", "CURRENCY=USD", "XLFILL=b")/100</f>
        <v>0.25801902990696407</v>
      </c>
      <c r="D22" s="19" cm="1">
        <f t="array" ref="D22">_xll.BQL("KDP US Equity", "CB_IS_ADJ_OPERATING_MARGIN", "FPR=2023Q4", "FPT=Q", "FA_ACT_EST_DATA=E", "ACT_EST_MAPPING=PRECISE", "FS=MRC", "CURRENCY=USD", "XLFILL=b")/100</f>
        <v>0.28141643270705002</v>
      </c>
      <c r="E22" s="19" cm="1">
        <f t="array" ref="E22">_xll.BQL("KDP US Equity", "CB_IS_ADJ_OPERATING_MARGIN", "FPR=2023Y", "FPT=A", "FA_ACT_EST_DATA=E", "ACT_EST_MAPPING=PRECISE", "FS=MRC", "CURRENCY=USD", "XLFILL=b")/100</f>
        <v>0.24690032687624519</v>
      </c>
      <c r="F22" s="19" cm="1">
        <f t="array" ref="F22">_xll.BQL("KDP US Equity", "CB_IS_ADJ_OPERATING_MARGIN", "FPR=2024Y", "FPT=A", "FA_ACT_EST_DATA=E", "ACT_EST_MAPPING=PRECISE", "FS=MRC", "CURRENCY=USD", "XLFILL=b")/100</f>
        <v>0.2529063508005569</v>
      </c>
    </row>
    <row r="23" spans="2:6">
      <c r="B23" s="635" t="s">
        <v>763</v>
      </c>
      <c r="C23" s="29">
        <f>(C21-C22)*10000</f>
        <v>111.03138631919806</v>
      </c>
      <c r="D23" s="29">
        <f t="shared" ref="D23" si="7">(D21-D22)*10000</f>
        <v>-3.8587422149832795</v>
      </c>
      <c r="E23" s="29">
        <f t="shared" ref="E23" si="8">(E21-E22)*10000</f>
        <v>17.991284732780944</v>
      </c>
      <c r="F23" s="29">
        <f t="shared" ref="F23" si="9">(F21-F22)*10000</f>
        <v>-78.72502371458701</v>
      </c>
    </row>
    <row r="24" spans="2:6">
      <c r="B24" s="633"/>
    </row>
    <row r="25" spans="2:6">
      <c r="B25" s="634" t="s">
        <v>921</v>
      </c>
    </row>
    <row r="26" spans="2:6">
      <c r="B26" s="635" t="s">
        <v>754</v>
      </c>
      <c r="C26" s="162">
        <f ca="1">Tower!AN359</f>
        <v>0.51062969470074893</v>
      </c>
      <c r="D26" s="162">
        <f ca="1">Tower!AO359</f>
        <v>0.5549598519844875</v>
      </c>
      <c r="E26" s="162">
        <f ca="1">Tower!AP359</f>
        <v>1.8299351011552107</v>
      </c>
      <c r="F26" s="162">
        <f>Tower!AU359</f>
        <v>1.8346003531643584</v>
      </c>
    </row>
    <row r="27" spans="2:6">
      <c r="B27" s="635" t="s">
        <v>755</v>
      </c>
      <c r="C27" s="162" cm="1">
        <f t="array" ref="C27">_xll.VAData("KDP_US", "3QFY-2023", "EPS - Diluted", "Consensus", "CD", "IMPL","","")</f>
        <v>0.45570136614794299</v>
      </c>
      <c r="D27" s="162" cm="1">
        <f t="array" ref="D27">_xll.VAData("KDP_US", "4QFY-2023", "EPS - Diluted", "Consensus", "CD", "IMPL","","")</f>
        <v>0.54209318840633403</v>
      </c>
      <c r="E27" s="162" cm="1">
        <f t="array" ref="E27">_xll.VAData("KDP_US", "FY-2023", "EPS - Diluted", "Consensus", "CD", "IMPL","","")</f>
        <v>1.6970342534433911</v>
      </c>
      <c r="F27" s="162" cm="1">
        <f t="array" ref="F27">_xll.VAData("KDP_US", "FY-2024", "EPS - Diluted", "Consensus", "CD", "IMPL","","")</f>
        <v>1.8648202392953639</v>
      </c>
    </row>
    <row r="28" spans="2:6">
      <c r="B28" s="635" t="s">
        <v>764</v>
      </c>
      <c r="C28" s="19">
        <f ca="1">C26/C27-1</f>
        <v>0.12053579961174288</v>
      </c>
      <c r="D28" s="19">
        <f t="shared" ref="D28:F28" ca="1" si="10">D26/D27-1</f>
        <v>2.3735150806781791E-2</v>
      </c>
      <c r="E28" s="19">
        <f t="shared" ca="1" si="10"/>
        <v>7.831359175111241E-2</v>
      </c>
      <c r="F28" s="19">
        <f t="shared" si="10"/>
        <v>-1.6205254262161128E-2</v>
      </c>
    </row>
    <row r="30" spans="2:6">
      <c r="B30" s="6"/>
    </row>
  </sheetData>
  <mergeCells count="1">
    <mergeCell ref="C2:F3"/>
  </mergeCells>
  <conditionalFormatting sqref="C28:F28">
    <cfRule type="colorScale" priority="8">
      <colorScale>
        <cfvo type="min"/>
        <cfvo type="max"/>
        <color rgb="FFFCFCFF"/>
        <color rgb="FF63BE7B"/>
      </colorScale>
    </cfRule>
  </conditionalFormatting>
  <conditionalFormatting sqref="C18:F18">
    <cfRule type="colorScale" priority="7">
      <colorScale>
        <cfvo type="min"/>
        <cfvo type="percentile" val="50"/>
        <cfvo type="max"/>
        <color rgb="FFF8696B"/>
        <color rgb="FFFCFCFF"/>
        <color rgb="FF63BE7B"/>
      </colorScale>
    </cfRule>
  </conditionalFormatting>
  <conditionalFormatting sqref="C13:F13">
    <cfRule type="colorScale" priority="6">
      <colorScale>
        <cfvo type="min"/>
        <cfvo type="percentile" val="50"/>
        <cfvo type="max"/>
        <color rgb="FFF8696B"/>
        <color rgb="FFFCFCFF"/>
        <color rgb="FF63BE7B"/>
      </colorScale>
    </cfRule>
  </conditionalFormatting>
  <conditionalFormatting sqref="C8:F8">
    <cfRule type="colorScale" priority="4">
      <colorScale>
        <cfvo type="min"/>
        <cfvo type="percentile" val="50"/>
        <cfvo type="max"/>
        <color rgb="FFF8696B"/>
        <color rgb="FFFFEB84"/>
        <color rgb="FF63BE7B"/>
      </colorScale>
    </cfRule>
  </conditionalFormatting>
  <conditionalFormatting sqref="C8:F8 C13:F13 C18:F18">
    <cfRule type="colorScale" priority="3">
      <colorScale>
        <cfvo type="min"/>
        <cfvo type="percentile" val="50"/>
        <cfvo type="max"/>
        <color rgb="FFF8696B"/>
        <color rgb="FFFFEB84"/>
        <color rgb="FF63BE7B"/>
      </colorScale>
    </cfRule>
  </conditionalFormatting>
  <conditionalFormatting sqref="C23:F23">
    <cfRule type="colorScale" priority="2">
      <colorScale>
        <cfvo type="min"/>
        <cfvo type="percentile" val="50"/>
        <cfvo type="max"/>
        <color rgb="FFF8696B"/>
        <color rgb="FFFCFCFF"/>
        <color rgb="FF63BE7B"/>
      </colorScale>
    </cfRule>
  </conditionalFormatting>
  <conditionalFormatting sqref="C23:F23">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verticalDpi="0" r:id="rId1"/>
  <customProperties>
    <customPr name="UniqueWorksheet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FBCC8-B842-4EC2-8534-5112C25C426C}">
  <dimension ref="B2:G13"/>
  <sheetViews>
    <sheetView workbookViewId="0"/>
  </sheetViews>
  <sheetFormatPr defaultRowHeight="14.5"/>
  <cols>
    <col min="1" max="1" width="6.1796875" customWidth="1"/>
    <col min="2" max="2" width="48.90625" customWidth="1"/>
    <col min="3" max="7" width="19.81640625" customWidth="1"/>
  </cols>
  <sheetData>
    <row r="2" spans="2:7">
      <c r="C2" s="668" t="s">
        <v>615</v>
      </c>
      <c r="D2" s="668"/>
      <c r="E2" s="668"/>
      <c r="F2" s="668"/>
      <c r="G2" s="668"/>
    </row>
    <row r="3" spans="2:7">
      <c r="C3" s="24">
        <v>2018</v>
      </c>
      <c r="D3" s="24">
        <v>2019</v>
      </c>
      <c r="E3" s="24">
        <f>D3+1</f>
        <v>2020</v>
      </c>
      <c r="F3" s="24">
        <f t="shared" ref="F3:G3" si="0">E3+1</f>
        <v>2021</v>
      </c>
      <c r="G3" s="24">
        <f t="shared" si="0"/>
        <v>2022</v>
      </c>
    </row>
    <row r="4" spans="2:7">
      <c r="B4" t="s">
        <v>607</v>
      </c>
      <c r="C4" s="19">
        <v>0</v>
      </c>
      <c r="D4" s="19">
        <v>0</v>
      </c>
      <c r="E4" s="19">
        <v>0</v>
      </c>
      <c r="F4" s="19">
        <v>0</v>
      </c>
      <c r="G4" s="19">
        <v>0.29799999999999999</v>
      </c>
    </row>
    <row r="5" spans="2:7">
      <c r="B5" t="s">
        <v>608</v>
      </c>
      <c r="C5" s="19">
        <v>0</v>
      </c>
      <c r="D5" s="19">
        <v>0</v>
      </c>
      <c r="E5" s="19">
        <v>0</v>
      </c>
      <c r="F5" s="19">
        <v>0</v>
      </c>
      <c r="G5" s="19">
        <v>0.192</v>
      </c>
    </row>
    <row r="6" spans="2:7">
      <c r="B6" t="s">
        <v>609</v>
      </c>
      <c r="C6" s="19">
        <v>0</v>
      </c>
      <c r="D6" s="19">
        <v>0</v>
      </c>
      <c r="E6" s="19">
        <v>0</v>
      </c>
      <c r="F6" s="19">
        <v>0</v>
      </c>
      <c r="G6" s="19">
        <v>0.13100000000000001</v>
      </c>
    </row>
    <row r="7" spans="2:7">
      <c r="B7" t="s">
        <v>610</v>
      </c>
      <c r="C7" s="19">
        <v>0.126</v>
      </c>
      <c r="D7" s="19">
        <v>0.124</v>
      </c>
      <c r="E7" s="19">
        <v>0.124</v>
      </c>
      <c r="F7" s="19">
        <v>0.124</v>
      </c>
      <c r="G7" s="19">
        <v>0.124</v>
      </c>
    </row>
    <row r="8" spans="2:7">
      <c r="B8" t="s">
        <v>611</v>
      </c>
      <c r="C8" s="19">
        <v>0.33300000000000002</v>
      </c>
      <c r="D8" s="19">
        <v>0.33300000000000002</v>
      </c>
      <c r="E8" s="19">
        <v>0.33300000000000002</v>
      </c>
      <c r="F8" s="19">
        <v>0.33300000000000002</v>
      </c>
      <c r="G8" s="19">
        <v>0.33300000000000002</v>
      </c>
    </row>
    <row r="9" spans="2:7">
      <c r="B9" t="s">
        <v>616</v>
      </c>
      <c r="C9" s="19">
        <v>0.155</v>
      </c>
      <c r="D9" s="19">
        <v>0.125</v>
      </c>
      <c r="E9" s="19">
        <v>0.125</v>
      </c>
      <c r="F9" s="19">
        <v>0</v>
      </c>
      <c r="G9" s="19">
        <v>0</v>
      </c>
    </row>
    <row r="10" spans="2:7">
      <c r="B10" t="s">
        <v>617</v>
      </c>
      <c r="C10" s="19">
        <v>0.3</v>
      </c>
      <c r="D10" s="19">
        <v>0.3</v>
      </c>
      <c r="E10" s="19">
        <v>0.3</v>
      </c>
      <c r="F10" s="19">
        <v>0.3</v>
      </c>
      <c r="G10" s="19">
        <v>0</v>
      </c>
    </row>
    <row r="11" spans="2:7">
      <c r="B11" t="s">
        <v>618</v>
      </c>
      <c r="C11" s="19">
        <v>0.26700000000000002</v>
      </c>
      <c r="D11" s="19">
        <v>0</v>
      </c>
      <c r="E11" s="19">
        <v>0</v>
      </c>
      <c r="F11" s="19">
        <v>0</v>
      </c>
      <c r="G11" s="19">
        <v>0</v>
      </c>
    </row>
    <row r="12" spans="2:7">
      <c r="B12" t="s">
        <v>612</v>
      </c>
      <c r="C12" t="s">
        <v>614</v>
      </c>
      <c r="D12" t="s">
        <v>614</v>
      </c>
      <c r="E12" t="s">
        <v>614</v>
      </c>
      <c r="F12" t="s">
        <v>614</v>
      </c>
      <c r="G12" t="s">
        <v>614</v>
      </c>
    </row>
    <row r="13" spans="2:7">
      <c r="B13" t="s">
        <v>613</v>
      </c>
      <c r="C13" t="s">
        <v>614</v>
      </c>
      <c r="D13" t="s">
        <v>614</v>
      </c>
      <c r="E13" t="s">
        <v>614</v>
      </c>
      <c r="F13" t="s">
        <v>614</v>
      </c>
      <c r="G13" t="s">
        <v>614</v>
      </c>
    </row>
  </sheetData>
  <mergeCells count="1">
    <mergeCell ref="C2:G2"/>
  </mergeCells>
  <pageMargins left="0.7" right="0.7" top="0.75" bottom="0.75" header="0.3" footer="0.3"/>
  <pageSetup orientation="portrait" verticalDpi="0" r:id="rId1"/>
  <customProperties>
    <customPr name="UniqueWorksheet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90956-E333-4507-822C-BE55F0D06F67}">
  <dimension ref="B4:O40"/>
  <sheetViews>
    <sheetView workbookViewId="0">
      <selection activeCell="K44" sqref="K44:N48"/>
    </sheetView>
  </sheetViews>
  <sheetFormatPr defaultRowHeight="14.5"/>
  <cols>
    <col min="1" max="1" width="4.26953125" customWidth="1"/>
    <col min="3" max="3" width="40.453125" customWidth="1"/>
    <col min="4" max="4" width="3" customWidth="1"/>
    <col min="5" max="5" width="12.36328125" customWidth="1"/>
    <col min="6" max="6" width="14.54296875" customWidth="1"/>
    <col min="7" max="7" width="19" customWidth="1"/>
    <col min="8" max="8" width="19.7265625" customWidth="1"/>
    <col min="9" max="9" width="23.6328125" customWidth="1"/>
    <col min="10" max="10" width="19" customWidth="1"/>
  </cols>
  <sheetData>
    <row r="4" spans="2:15">
      <c r="B4" s="11" t="s">
        <v>528</v>
      </c>
      <c r="M4" s="669" t="s">
        <v>540</v>
      </c>
      <c r="N4" s="669"/>
      <c r="O4" s="669"/>
    </row>
    <row r="6" spans="2:15">
      <c r="C6" s="166" t="s">
        <v>529</v>
      </c>
      <c r="D6" s="166"/>
      <c r="E6" s="166" t="s">
        <v>530</v>
      </c>
      <c r="F6" s="166" t="s">
        <v>531</v>
      </c>
      <c r="G6" s="166" t="s">
        <v>532</v>
      </c>
      <c r="H6" s="166" t="s">
        <v>533</v>
      </c>
      <c r="I6" s="166" t="s">
        <v>534</v>
      </c>
      <c r="J6" s="166" t="s">
        <v>535</v>
      </c>
      <c r="K6" s="166" t="s">
        <v>536</v>
      </c>
      <c r="L6" s="166"/>
      <c r="M6" s="166" t="s">
        <v>537</v>
      </c>
      <c r="N6" s="166" t="s">
        <v>538</v>
      </c>
      <c r="O6" s="166" t="s">
        <v>539</v>
      </c>
    </row>
    <row r="7" spans="2:15">
      <c r="C7" s="261" t="s">
        <v>541</v>
      </c>
      <c r="D7" s="261"/>
      <c r="E7" s="262" t="str" cm="1">
        <f t="array" ref="E7">_xll.BDP(C7, "MATURITY")</f>
        <v>3/15/2024</v>
      </c>
      <c r="F7" s="262" t="str" cm="1">
        <f t="array" ref="F7">_xll.BDP(C7, "ISSUE_DT")</f>
        <v>3/15/2021</v>
      </c>
      <c r="G7" s="263" t="str" cm="1">
        <f t="array" ref="G7">_xll.BDP(C7, "CALLABLE")</f>
        <v>Y</v>
      </c>
      <c r="H7" s="264" cm="1">
        <f t="array" ref="H7">_xll.BDP(C7, "AMT_ISSUED")</f>
        <v>1150000000</v>
      </c>
      <c r="I7" s="264" cm="1">
        <f t="array" ref="I7">_xll.BDP(C7,"AMT_OUTSTANDING")</f>
        <v>1150000000</v>
      </c>
      <c r="J7" s="265">
        <f>I7/H7</f>
        <v>1</v>
      </c>
      <c r="K7" s="266" cm="1">
        <f t="array" ref="K7">_xll.BDP(C7, "COUPON")/100</f>
        <v>7.4999999999999997E-3</v>
      </c>
      <c r="L7" s="261"/>
      <c r="M7" s="263" t="str" cm="1">
        <f t="array" ref="M7">_xll.BDP(C7,"RTG_SP")</f>
        <v>BBB</v>
      </c>
      <c r="N7" s="263" t="str" cm="1">
        <f t="array" ref="N7">_xll.BDP(C7,"RTG_MOODY")</f>
        <v>Baa1</v>
      </c>
      <c r="O7" s="263" t="str" cm="1">
        <f t="array" ref="O7">_xll.BDP(C7,"RTG_FITCH")</f>
        <v>#N/A N/A</v>
      </c>
    </row>
    <row r="8" spans="2:15">
      <c r="C8" t="s">
        <v>542</v>
      </c>
      <c r="E8" s="248" t="str" cm="1">
        <f t="array" ref="E8">_xll.BDP(C8, "MATURITY")</f>
        <v>4/15/2032</v>
      </c>
      <c r="F8" s="248" t="str" cm="1">
        <f t="array" ref="F8">_xll.BDP(C8, "ISSUE_DT")</f>
        <v>4/22/2022</v>
      </c>
      <c r="G8" s="168" t="str" cm="1">
        <f t="array" ref="G8">_xll.BDP(C8, "CALLABLE")</f>
        <v>Y</v>
      </c>
      <c r="H8" s="230" cm="1">
        <f t="array" ref="H8">_xll.BDP(C8, "AMT_ISSUED")</f>
        <v>850000000</v>
      </c>
      <c r="I8" s="230" cm="1">
        <f t="array" ref="I8">_xll.BDP(C8,"AMT_OUTSTANDING")</f>
        <v>850000000</v>
      </c>
      <c r="J8" s="65">
        <f t="shared" ref="J8:J25" si="0">I8/H8</f>
        <v>1</v>
      </c>
      <c r="K8" s="211" cm="1">
        <f t="array" ref="K8">_xll.BDP(C8, "COUPON")/100</f>
        <v>4.0500000000000001E-2</v>
      </c>
      <c r="M8" s="168" t="str" cm="1">
        <f t="array" ref="M8">_xll.BDP(C8,"RTG_SP")</f>
        <v>BBB</v>
      </c>
      <c r="N8" s="168" t="str" cm="1">
        <f t="array" ref="N8">_xll.BDP(C8,"RTG_MOODY")</f>
        <v>Baa1</v>
      </c>
      <c r="O8" s="168" t="str" cm="1">
        <f t="array" ref="O8">_xll.BDP(C8,"RTG_FITCH")</f>
        <v>#N/A N/A</v>
      </c>
    </row>
    <row r="9" spans="2:15">
      <c r="C9" t="s">
        <v>543</v>
      </c>
      <c r="E9" s="248" t="str" cm="1">
        <f t="array" ref="E9">_xll.BDP(C9, "MATURITY")</f>
        <v>4/15/2029</v>
      </c>
      <c r="F9" s="248" t="str" cm="1">
        <f t="array" ref="F9">_xll.BDP(C9, "ISSUE_DT")</f>
        <v>4/22/2022</v>
      </c>
      <c r="G9" s="168" t="str" cm="1">
        <f t="array" ref="G9">_xll.BDP(C9, "CALLABLE")</f>
        <v>Y</v>
      </c>
      <c r="H9" s="230" cm="1">
        <f t="array" ref="H9">_xll.BDP(C9, "AMT_ISSUED")</f>
        <v>1000000000</v>
      </c>
      <c r="I9" s="230" cm="1">
        <f t="array" ref="I9">_xll.BDP(C9,"AMT_OUTSTANDING")</f>
        <v>1000000000</v>
      </c>
      <c r="J9" s="65">
        <f t="shared" si="0"/>
        <v>1</v>
      </c>
      <c r="K9" s="211" cm="1">
        <f t="array" ref="K9">_xll.BDP(C9, "COUPON")/100</f>
        <v>3.95E-2</v>
      </c>
      <c r="M9" s="168" t="str" cm="1">
        <f t="array" ref="M9">_xll.BDP(C9,"RTG_SP")</f>
        <v>BBB</v>
      </c>
      <c r="N9" s="168" t="str" cm="1">
        <f t="array" ref="N9">_xll.BDP(C9,"RTG_MOODY")</f>
        <v>Baa1</v>
      </c>
      <c r="O9" s="168" t="str" cm="1">
        <f t="array" ref="O9">_xll.BDP(C9,"RTG_FITCH")</f>
        <v>#N/A N/A</v>
      </c>
    </row>
    <row r="10" spans="2:15">
      <c r="C10" t="s">
        <v>544</v>
      </c>
      <c r="E10" s="248" t="str" cm="1">
        <f t="array" ref="E10">_xll.BDP(C10, "MATURITY")</f>
        <v>5/25/2028</v>
      </c>
      <c r="F10" s="248" t="str" cm="1">
        <f t="array" ref="F10">_xll.BDP(C10, "ISSUE_DT")</f>
        <v>5/31/2019</v>
      </c>
      <c r="G10" s="168" t="str" cm="1">
        <f t="array" ref="G10">_xll.BDP(C10, "CALLABLE")</f>
        <v>Y</v>
      </c>
      <c r="H10" s="230" cm="1">
        <f t="array" ref="H10">_xll.BDP(C10, "AMT_ISSUED")</f>
        <v>2000000000</v>
      </c>
      <c r="I10" s="230" cm="1">
        <f t="array" ref="I10">_xll.BDP(C10,"AMT_OUTSTANDING")</f>
        <v>1112114000</v>
      </c>
      <c r="J10" s="65">
        <f t="shared" si="0"/>
        <v>0.55605700000000002</v>
      </c>
      <c r="K10" s="211" cm="1">
        <f t="array" ref="K10">_xll.BDP(C10, "COUPON")/100</f>
        <v>4.5970000000000004E-2</v>
      </c>
      <c r="M10" s="168" t="str" cm="1">
        <f t="array" ref="M10">_xll.BDP(C10,"RTG_SP")</f>
        <v>BBB</v>
      </c>
      <c r="N10" s="168" t="str" cm="1">
        <f t="array" ref="N10">_xll.BDP(C10,"RTG_MOODY")</f>
        <v>Baa1</v>
      </c>
      <c r="O10" s="168" t="str" cm="1">
        <f t="array" ref="O10">_xll.BDP(C10,"RTG_FITCH")</f>
        <v>#N/A N/A</v>
      </c>
    </row>
    <row r="11" spans="2:15">
      <c r="C11" t="s">
        <v>545</v>
      </c>
      <c r="E11" s="248" t="str" cm="1">
        <f t="array" ref="E11">_xll.BDP(C11, "MATURITY")</f>
        <v>12/15/2023</v>
      </c>
      <c r="F11" s="248" t="str" cm="1">
        <f t="array" ref="F11">_xll.BDP(C11, "ISSUE_DT")</f>
        <v>12/14/2016</v>
      </c>
      <c r="G11" s="168" t="str" cm="1">
        <f t="array" ref="G11">_xll.BDP(C11, "CALLABLE")</f>
        <v>Y</v>
      </c>
      <c r="H11" s="230" cm="1">
        <f t="array" ref="H11">_xll.BDP(C11, "AMT_ISSUED")</f>
        <v>500000000</v>
      </c>
      <c r="I11" s="230" cm="1">
        <f t="array" ref="I11">_xll.BDP(C11,"AMT_OUTSTANDING")</f>
        <v>500000000</v>
      </c>
      <c r="J11" s="65">
        <f t="shared" si="0"/>
        <v>1</v>
      </c>
      <c r="K11" s="211" cm="1">
        <f t="array" ref="K11">_xll.BDP(C11, "COUPON")/100</f>
        <v>3.1300000000000001E-2</v>
      </c>
      <c r="M11" s="168" t="str" cm="1">
        <f t="array" ref="M11">_xll.BDP(C11,"RTG_SP")</f>
        <v>BBB</v>
      </c>
      <c r="N11" s="168" t="str" cm="1">
        <f t="array" ref="N11">_xll.BDP(C11,"RTG_MOODY")</f>
        <v>Baa1</v>
      </c>
      <c r="O11" s="168" t="str" cm="1">
        <f t="array" ref="O11">_xll.BDP(C11,"RTG_FITCH")</f>
        <v>#N/A N/A</v>
      </c>
    </row>
    <row r="12" spans="2:15">
      <c r="C12" t="s">
        <v>546</v>
      </c>
      <c r="E12" s="248" t="str" cm="1">
        <f t="array" ref="E12">_xll.BDP(C12, "MATURITY")</f>
        <v>4/15/2052</v>
      </c>
      <c r="F12" s="248" t="str" cm="1">
        <f t="array" ref="F12">_xll.BDP(C12, "ISSUE_DT")</f>
        <v>4/22/2022</v>
      </c>
      <c r="G12" s="168" t="str" cm="1">
        <f t="array" ref="G12">_xll.BDP(C12, "CALLABLE")</f>
        <v>Y</v>
      </c>
      <c r="H12" s="230" cm="1">
        <f t="array" ref="H12">_xll.BDP(C12, "AMT_ISSUED")</f>
        <v>1150000000</v>
      </c>
      <c r="I12" s="230" cm="1">
        <f t="array" ref="I12">_xll.BDP(C12,"AMT_OUTSTANDING")</f>
        <v>1150000000</v>
      </c>
      <c r="J12" s="65">
        <f t="shared" si="0"/>
        <v>1</v>
      </c>
      <c r="K12" s="211" cm="1">
        <f t="array" ref="K12">_xll.BDP(C12, "COUPON")/100</f>
        <v>4.4999999999999998E-2</v>
      </c>
      <c r="M12" s="168" t="str" cm="1">
        <f t="array" ref="M12">_xll.BDP(C12,"RTG_SP")</f>
        <v>BBB</v>
      </c>
      <c r="N12" s="168" t="str" cm="1">
        <f t="array" ref="N12">_xll.BDP(C12,"RTG_MOODY")</f>
        <v>Baa1</v>
      </c>
      <c r="O12" s="168" t="str" cm="1">
        <f t="array" ref="O12">_xll.BDP(C12,"RTG_FITCH")</f>
        <v>#N/A N/A</v>
      </c>
    </row>
    <row r="13" spans="2:15">
      <c r="C13" t="s">
        <v>547</v>
      </c>
      <c r="E13" s="248" t="str" cm="1">
        <f t="array" ref="E13">_xll.BDP(C13, "MATURITY")</f>
        <v>5/1/2050</v>
      </c>
      <c r="F13" s="248" t="str" cm="1">
        <f t="array" ref="F13">_xll.BDP(C13, "ISSUE_DT")</f>
        <v>4/13/2020</v>
      </c>
      <c r="G13" s="168" t="str" cm="1">
        <f t="array" ref="G13">_xll.BDP(C13, "CALLABLE")</f>
        <v>Y</v>
      </c>
      <c r="H13" s="230" cm="1">
        <f t="array" ref="H13">_xll.BDP(C13, "AMT_ISSUED")</f>
        <v>750000000</v>
      </c>
      <c r="I13" s="230" cm="1">
        <f t="array" ref="I13">_xll.BDP(C13,"AMT_OUTSTANDING")</f>
        <v>750000000</v>
      </c>
      <c r="J13" s="65">
        <f t="shared" si="0"/>
        <v>1</v>
      </c>
      <c r="K13" s="211" cm="1">
        <f t="array" ref="K13">_xll.BDP(C13, "COUPON")/100</f>
        <v>3.7999999999999999E-2</v>
      </c>
      <c r="M13" s="168" t="str" cm="1">
        <f t="array" ref="M13">_xll.BDP(C13,"RTG_SP")</f>
        <v>BBB</v>
      </c>
      <c r="N13" s="168" t="str" cm="1">
        <f t="array" ref="N13">_xll.BDP(C13,"RTG_MOODY")</f>
        <v>Baa1</v>
      </c>
      <c r="O13" s="168" t="str" cm="1">
        <f t="array" ref="O13">_xll.BDP(C13,"RTG_FITCH")</f>
        <v>#N/A N/A</v>
      </c>
    </row>
    <row r="14" spans="2:15">
      <c r="C14" t="s">
        <v>548</v>
      </c>
      <c r="E14" s="248" t="str" cm="1">
        <f t="array" ref="E14">_xll.BDP(C14, "MATURITY")</f>
        <v>5/1/2030</v>
      </c>
      <c r="F14" s="248" t="str" cm="1">
        <f t="array" ref="F14">_xll.BDP(C14, "ISSUE_DT")</f>
        <v>4/13/2020</v>
      </c>
      <c r="G14" s="168" t="str" cm="1">
        <f t="array" ref="G14">_xll.BDP(C14, "CALLABLE")</f>
        <v>Y</v>
      </c>
      <c r="H14" s="230" cm="1">
        <f t="array" ref="H14">_xll.BDP(C14, "AMT_ISSUED")</f>
        <v>750000000</v>
      </c>
      <c r="I14" s="230" cm="1">
        <f t="array" ref="I14">_xll.BDP(C14,"AMT_OUTSTANDING")</f>
        <v>750000000</v>
      </c>
      <c r="J14" s="65">
        <f t="shared" si="0"/>
        <v>1</v>
      </c>
      <c r="K14" s="211" cm="1">
        <f t="array" ref="K14">_xll.BDP(C14, "COUPON")/100</f>
        <v>3.2000000000000001E-2</v>
      </c>
      <c r="M14" s="168" t="str" cm="1">
        <f t="array" ref="M14">_xll.BDP(C14,"RTG_SP")</f>
        <v>BBB</v>
      </c>
      <c r="N14" s="168" t="str" cm="1">
        <f t="array" ref="N14">_xll.BDP(C14,"RTG_MOODY")</f>
        <v>Baa1</v>
      </c>
      <c r="O14" s="168" t="str" cm="1">
        <f t="array" ref="O14">_xll.BDP(C14,"RTG_FITCH")</f>
        <v>#N/A N/A</v>
      </c>
    </row>
    <row r="15" spans="2:15">
      <c r="C15" s="261" t="s">
        <v>549</v>
      </c>
      <c r="D15" s="261"/>
      <c r="E15" s="262" t="str" cm="1">
        <f t="array" ref="E15">_xll.BDP(C15, "MATURITY")</f>
        <v>11/15/2025</v>
      </c>
      <c r="F15" s="262" t="str" cm="1">
        <f t="array" ref="F15">_xll.BDP(C15, "ISSUE_DT")</f>
        <v>11/9/2015</v>
      </c>
      <c r="G15" s="263" t="str" cm="1">
        <f t="array" ref="G15">_xll.BDP(C15, "CALLABLE")</f>
        <v>Y</v>
      </c>
      <c r="H15" s="264" cm="1">
        <f t="array" ref="H15">_xll.BDP(C15, "AMT_ISSUED")</f>
        <v>500000000</v>
      </c>
      <c r="I15" s="264" cm="1">
        <f t="array" ref="I15">_xll.BDP(C15,"AMT_OUTSTANDING")</f>
        <v>500000000</v>
      </c>
      <c r="J15" s="265">
        <f t="shared" si="0"/>
        <v>1</v>
      </c>
      <c r="K15" s="266" cm="1">
        <f t="array" ref="K15">_xll.BDP(C15, "COUPON")/100</f>
        <v>3.4000000000000002E-2</v>
      </c>
      <c r="L15" s="261"/>
      <c r="M15" s="263" t="str" cm="1">
        <f t="array" ref="M15">_xll.BDP(C15,"RTG_SP")</f>
        <v>BBB</v>
      </c>
      <c r="N15" s="263" t="str" cm="1">
        <f t="array" ref="N15">_xll.BDP(C15,"RTG_MOODY")</f>
        <v>Baa1</v>
      </c>
      <c r="O15" s="263" t="str" cm="1">
        <f t="array" ref="O15">_xll.BDP(C15,"RTG_FITCH")</f>
        <v>#N/A N/A</v>
      </c>
    </row>
    <row r="16" spans="2:15">
      <c r="C16" s="261" t="s">
        <v>550</v>
      </c>
      <c r="D16" s="261"/>
      <c r="E16" s="262" t="str" cm="1">
        <f t="array" ref="E16">_xll.BDP(C16, "MATURITY")</f>
        <v>5/25/2025</v>
      </c>
      <c r="F16" s="262" t="str" cm="1">
        <f t="array" ref="F16">_xll.BDP(C16, "ISSUE_DT")</f>
        <v>5/31/2019</v>
      </c>
      <c r="G16" s="263" t="str" cm="1">
        <f t="array" ref="G16">_xll.BDP(C16, "CALLABLE")</f>
        <v>Y</v>
      </c>
      <c r="H16" s="264" cm="1">
        <f t="array" ref="H16">_xll.BDP(C16, "AMT_ISSUED")</f>
        <v>998300000</v>
      </c>
      <c r="I16" s="264" cm="1">
        <f t="array" ref="I16">_xll.BDP(C16,"AMT_OUTSTANDING")</f>
        <v>527614000</v>
      </c>
      <c r="J16" s="265">
        <f t="shared" si="0"/>
        <v>0.52851247120104172</v>
      </c>
      <c r="K16" s="266" cm="1">
        <f t="array" ref="K16">_xll.BDP(C16, "COUPON")/100</f>
        <v>4.4170000000000001E-2</v>
      </c>
      <c r="L16" s="261"/>
      <c r="M16" s="263" t="str" cm="1">
        <f t="array" ref="M16">_xll.BDP(C16,"RTG_SP")</f>
        <v>BBB</v>
      </c>
      <c r="N16" s="263" t="str" cm="1">
        <f t="array" ref="N16">_xll.BDP(C16,"RTG_MOODY")</f>
        <v>Baa1</v>
      </c>
      <c r="O16" s="263" t="str" cm="1">
        <f t="array" ref="O16">_xll.BDP(C16,"RTG_FITCH")</f>
        <v>#N/A N/A</v>
      </c>
    </row>
    <row r="17" spans="2:15">
      <c r="C17" t="s">
        <v>551</v>
      </c>
      <c r="E17" s="248" t="str" cm="1">
        <f t="array" ref="E17">_xll.BDP(C17, "MATURITY")</f>
        <v>5/25/2038</v>
      </c>
      <c r="F17" s="248" t="str" cm="1">
        <f t="array" ref="F17">_xll.BDP(C17, "ISSUE_DT")</f>
        <v>5/31/2019</v>
      </c>
      <c r="G17" s="168" t="str" cm="1">
        <f t="array" ref="G17">_xll.BDP(C17, "CALLABLE")</f>
        <v>Y</v>
      </c>
      <c r="H17" s="230" cm="1">
        <f t="array" ref="H17">_xll.BDP(C17, "AMT_ISSUED")</f>
        <v>500000000</v>
      </c>
      <c r="I17" s="230" cm="1">
        <f t="array" ref="I17">_xll.BDP(C17,"AMT_OUTSTANDING")</f>
        <v>211088000</v>
      </c>
      <c r="J17" s="65">
        <f t="shared" si="0"/>
        <v>0.422176</v>
      </c>
      <c r="K17" s="211" cm="1">
        <f t="array" ref="K17">_xll.BDP(C17, "COUPON")/100</f>
        <v>4.9850000000000005E-2</v>
      </c>
      <c r="M17" s="168" t="str" cm="1">
        <f t="array" ref="M17">_xll.BDP(C17,"RTG_SP")</f>
        <v>BBB</v>
      </c>
      <c r="N17" s="168" t="str" cm="1">
        <f t="array" ref="N17">_xll.BDP(C17,"RTG_MOODY")</f>
        <v>Baa1</v>
      </c>
      <c r="O17" s="168" t="str" cm="1">
        <f t="array" ref="O17">_xll.BDP(C17,"RTG_FITCH")</f>
        <v>#N/A N/A</v>
      </c>
    </row>
    <row r="18" spans="2:15">
      <c r="C18" t="s">
        <v>552</v>
      </c>
      <c r="E18" s="248" t="str" cm="1">
        <f t="array" ref="E18">_xll.BDP(C18, "MATURITY")</f>
        <v>11/15/2045</v>
      </c>
      <c r="F18" s="248" t="str" cm="1">
        <f t="array" ref="F18">_xll.BDP(C18, "ISSUE_DT")</f>
        <v>11/9/2015</v>
      </c>
      <c r="G18" s="168" t="str" cm="1">
        <f t="array" ref="G18">_xll.BDP(C18, "CALLABLE")</f>
        <v>Y</v>
      </c>
      <c r="H18" s="230" cm="1">
        <f t="array" ref="H18">_xll.BDP(C18, "AMT_ISSUED")</f>
        <v>550000000</v>
      </c>
      <c r="I18" s="230" cm="1">
        <f t="array" ref="I18">_xll.BDP(C18,"AMT_OUTSTANDING")</f>
        <v>550000000</v>
      </c>
      <c r="J18" s="65">
        <f t="shared" si="0"/>
        <v>1</v>
      </c>
      <c r="K18" s="211" cm="1">
        <f t="array" ref="K18">_xll.BDP(C18, "COUPON")/100</f>
        <v>4.4999999999999998E-2</v>
      </c>
      <c r="M18" s="168" t="str" cm="1">
        <f t="array" ref="M18">_xll.BDP(C18,"RTG_SP")</f>
        <v>BBB</v>
      </c>
      <c r="N18" s="168" t="str" cm="1">
        <f t="array" ref="N18">_xll.BDP(C18,"RTG_MOODY")</f>
        <v>Baa1</v>
      </c>
      <c r="O18" s="168" t="str" cm="1">
        <f t="array" ref="O18">_xll.BDP(C18,"RTG_FITCH")</f>
        <v>#N/A N/A</v>
      </c>
    </row>
    <row r="19" spans="2:15">
      <c r="C19" t="s">
        <v>553</v>
      </c>
      <c r="E19" s="248" t="str" cm="1">
        <f t="array" ref="E19">_xll.BDP(C19, "MATURITY")</f>
        <v>6/15/2027</v>
      </c>
      <c r="F19" s="248" t="str" cm="1">
        <f t="array" ref="F19">_xll.BDP(C19, "ISSUE_DT")</f>
        <v>12/14/2016</v>
      </c>
      <c r="G19" s="168" t="str" cm="1">
        <f t="array" ref="G19">_xll.BDP(C19, "CALLABLE")</f>
        <v>Y</v>
      </c>
      <c r="H19" s="230" cm="1">
        <f t="array" ref="H19">_xll.BDP(C19, "AMT_ISSUED")</f>
        <v>498000000</v>
      </c>
      <c r="I19" s="230" cm="1">
        <f t="array" ref="I19">_xll.BDP(C19,"AMT_OUTSTANDING")</f>
        <v>498000000</v>
      </c>
      <c r="J19" s="65">
        <f t="shared" si="0"/>
        <v>1</v>
      </c>
      <c r="K19" s="211" cm="1">
        <f t="array" ref="K19">_xll.BDP(C19, "COUPON")/100</f>
        <v>3.4300000000000004E-2</v>
      </c>
      <c r="M19" s="168" t="str" cm="1">
        <f t="array" ref="M19">_xll.BDP(C19,"RTG_SP")</f>
        <v>BBB</v>
      </c>
      <c r="N19" s="168" t="str" cm="1">
        <f t="array" ref="N19">_xll.BDP(C19,"RTG_MOODY")</f>
        <v>Baa1</v>
      </c>
      <c r="O19" s="168" t="str" cm="1">
        <f t="array" ref="O19">_xll.BDP(C19,"RTG_FITCH")</f>
        <v>#N/A N/A</v>
      </c>
    </row>
    <row r="20" spans="2:15">
      <c r="C20" t="s">
        <v>554</v>
      </c>
      <c r="E20" s="248" t="str" cm="1">
        <f t="array" ref="E20">_xll.BDP(C20, "MATURITY")</f>
        <v>9/15/2026</v>
      </c>
      <c r="F20" s="248" t="str" cm="1">
        <f t="array" ref="F20">_xll.BDP(C20, "ISSUE_DT")</f>
        <v>9/16/2016</v>
      </c>
      <c r="G20" s="168" t="str" cm="1">
        <f t="array" ref="G20">_xll.BDP(C20, "CALLABLE")</f>
        <v>Y</v>
      </c>
      <c r="H20" s="230" cm="1">
        <f t="array" ref="H20">_xll.BDP(C20, "AMT_ISSUED")</f>
        <v>400000000</v>
      </c>
      <c r="I20" s="230" cm="1">
        <f t="array" ref="I20">_xll.BDP(C20,"AMT_OUTSTANDING")</f>
        <v>400000000</v>
      </c>
      <c r="J20" s="65">
        <f t="shared" si="0"/>
        <v>1</v>
      </c>
      <c r="K20" s="211" cm="1">
        <f t="array" ref="K20">_xll.BDP(C20, "COUPON")/100</f>
        <v>2.5499999999999998E-2</v>
      </c>
      <c r="M20" s="168" t="str" cm="1">
        <f t="array" ref="M20">_xll.BDP(C20,"RTG_SP")</f>
        <v>BBB</v>
      </c>
      <c r="N20" s="168" t="str" cm="1">
        <f t="array" ref="N20">_xll.BDP(C20,"RTG_MOODY")</f>
        <v>Baa1</v>
      </c>
      <c r="O20" s="168" t="str" cm="1">
        <f t="array" ref="O20">_xll.BDP(C20,"RTG_FITCH")</f>
        <v>#N/A N/A</v>
      </c>
    </row>
    <row r="21" spans="2:15">
      <c r="C21" t="s">
        <v>555</v>
      </c>
      <c r="E21" s="248" t="str" cm="1">
        <f t="array" ref="E21">_xll.BDP(C21, "MATURITY")</f>
        <v>3/15/2031</v>
      </c>
      <c r="F21" s="248" t="str" cm="1">
        <f t="array" ref="F21">_xll.BDP(C21, "ISSUE_DT")</f>
        <v>3/15/2021</v>
      </c>
      <c r="G21" s="168" t="str" cm="1">
        <f t="array" ref="G21">_xll.BDP(C21, "CALLABLE")</f>
        <v>Y</v>
      </c>
      <c r="H21" s="230" cm="1">
        <f t="array" ref="H21">_xll.BDP(C21, "AMT_ISSUED")</f>
        <v>500000000</v>
      </c>
      <c r="I21" s="230" cm="1">
        <f t="array" ref="I21">_xll.BDP(C21,"AMT_OUTSTANDING")</f>
        <v>500000000</v>
      </c>
      <c r="J21" s="65">
        <f t="shared" si="0"/>
        <v>1</v>
      </c>
      <c r="K21" s="211" cm="1">
        <f t="array" ref="K21">_xll.BDP(C21, "COUPON")/100</f>
        <v>2.2499999999999999E-2</v>
      </c>
      <c r="M21" s="168" t="str" cm="1">
        <f t="array" ref="M21">_xll.BDP(C21,"RTG_SP")</f>
        <v>BBB</v>
      </c>
      <c r="N21" s="168" t="str" cm="1">
        <f t="array" ref="N21">_xll.BDP(C21,"RTG_MOODY")</f>
        <v>Baa1</v>
      </c>
      <c r="O21" s="168" t="str" cm="1">
        <f t="array" ref="O21">_xll.BDP(C21,"RTG_FITCH")</f>
        <v>#N/A N/A</v>
      </c>
    </row>
    <row r="22" spans="2:15">
      <c r="C22" t="s">
        <v>556</v>
      </c>
      <c r="E22" s="248" t="str" cm="1">
        <f t="array" ref="E22">_xll.BDP(C22, "MATURITY")</f>
        <v>12/15/2046</v>
      </c>
      <c r="F22" s="248" t="str" cm="1">
        <f t="array" ref="F22">_xll.BDP(C22, "ISSUE_DT")</f>
        <v>12/14/2016</v>
      </c>
      <c r="G22" s="168" t="str" cm="1">
        <f t="array" ref="G22">_xll.BDP(C22, "CALLABLE")</f>
        <v>Y</v>
      </c>
      <c r="H22" s="230" cm="1">
        <f t="array" ref="H22">_xll.BDP(C22, "AMT_ISSUED")</f>
        <v>400000000</v>
      </c>
      <c r="I22" s="230" cm="1">
        <f t="array" ref="I22">_xll.BDP(C22,"AMT_OUTSTANDING")</f>
        <v>400000000</v>
      </c>
      <c r="J22" s="65">
        <f t="shared" si="0"/>
        <v>1</v>
      </c>
      <c r="K22" s="211" cm="1">
        <f t="array" ref="K22">_xll.BDP(C22, "COUPON")/100</f>
        <v>4.4199999999999996E-2</v>
      </c>
      <c r="M22" s="168" t="str" cm="1">
        <f t="array" ref="M22">_xll.BDP(C22,"RTG_SP")</f>
        <v>BBB</v>
      </c>
      <c r="N22" s="168" t="str" cm="1">
        <f t="array" ref="N22">_xll.BDP(C22,"RTG_MOODY")</f>
        <v>Baa1</v>
      </c>
      <c r="O22" s="168" t="str" cm="1">
        <f t="array" ref="O22">_xll.BDP(C22,"RTG_FITCH")</f>
        <v>#N/A N/A</v>
      </c>
    </row>
    <row r="23" spans="2:15">
      <c r="C23" t="s">
        <v>557</v>
      </c>
      <c r="E23" s="248" t="str" cm="1">
        <f t="array" ref="E23">_xll.BDP(C23, "MATURITY")</f>
        <v>3/15/2051</v>
      </c>
      <c r="F23" s="248" t="str" cm="1">
        <f t="array" ref="F23">_xll.BDP(C23, "ISSUE_DT")</f>
        <v>3/15/2021</v>
      </c>
      <c r="G23" s="168" t="str" cm="1">
        <f t="array" ref="G23">_xll.BDP(C23, "CALLABLE")</f>
        <v>Y</v>
      </c>
      <c r="H23" s="230" cm="1">
        <f t="array" ref="H23">_xll.BDP(C23, "AMT_ISSUED")</f>
        <v>500000000</v>
      </c>
      <c r="I23" s="230" cm="1">
        <f t="array" ref="I23">_xll.BDP(C23,"AMT_OUTSTANDING")</f>
        <v>500000000</v>
      </c>
      <c r="J23" s="65">
        <f t="shared" si="0"/>
        <v>1</v>
      </c>
      <c r="K23" s="211" cm="1">
        <f t="array" ref="K23">_xll.BDP(C23, "COUPON")/100</f>
        <v>3.3500000000000002E-2</v>
      </c>
      <c r="M23" s="168" t="str" cm="1">
        <f t="array" ref="M23">_xll.BDP(C23,"RTG_SP")</f>
        <v>BBB</v>
      </c>
      <c r="N23" s="168" t="str" cm="1">
        <f t="array" ref="N23">_xll.BDP(C23,"RTG_MOODY")</f>
        <v>Baa1</v>
      </c>
      <c r="O23" s="168" t="str" cm="1">
        <f t="array" ref="O23">_xll.BDP(C23,"RTG_FITCH")</f>
        <v>#N/A N/A</v>
      </c>
    </row>
    <row r="24" spans="2:15">
      <c r="C24" t="s">
        <v>558</v>
      </c>
      <c r="E24" s="248" t="str" cm="1">
        <f t="array" ref="E24">_xll.BDP(C24, "MATURITY")</f>
        <v>5/25/2048</v>
      </c>
      <c r="F24" s="248" t="str" cm="1">
        <f t="array" ref="F24">_xll.BDP(C24, "ISSUE_DT")</f>
        <v>5/31/2019</v>
      </c>
      <c r="G24" s="168" t="str" cm="1">
        <f t="array" ref="G24">_xll.BDP(C24, "CALLABLE")</f>
        <v>Y</v>
      </c>
      <c r="H24" s="230" cm="1">
        <f t="array" ref="H24">_xll.BDP(C24, "AMT_ISSUED")</f>
        <v>749898000</v>
      </c>
      <c r="I24" s="230" cm="1">
        <f t="array" ref="I24">_xll.BDP(C24,"AMT_OUTSTANDING")</f>
        <v>391130000</v>
      </c>
      <c r="J24" s="65">
        <f t="shared" si="0"/>
        <v>0.52157760122043262</v>
      </c>
      <c r="K24" s="211" cm="1">
        <f t="array" ref="K24">_xll.BDP(C24, "COUPON")/100</f>
        <v>5.0849999999999999E-2</v>
      </c>
      <c r="M24" s="168" t="str" cm="1">
        <f t="array" ref="M24">_xll.BDP(C24,"RTG_SP")</f>
        <v>BBB</v>
      </c>
      <c r="N24" s="168" t="str" cm="1">
        <f t="array" ref="N24">_xll.BDP(C24,"RTG_MOODY")</f>
        <v>Baa1</v>
      </c>
      <c r="O24" s="168" t="str" cm="1">
        <f t="array" ref="O24">_xll.BDP(C24,"RTG_FITCH")</f>
        <v>#N/A N/A</v>
      </c>
    </row>
    <row r="25" spans="2:15">
      <c r="C25" s="261" t="s">
        <v>559</v>
      </c>
      <c r="D25" s="261"/>
      <c r="E25" s="262" t="str" cm="1">
        <f t="array" ref="E25">_xll.BDP(C25, "MATURITY")</f>
        <v>5/25/2025</v>
      </c>
      <c r="F25" s="262" t="str" cm="1">
        <f t="array" ref="F25">_xll.BDP(C25, "ISSUE_DT")</f>
        <v>5/25/2018</v>
      </c>
      <c r="G25" s="263" t="str" cm="1">
        <f t="array" ref="G25">_xll.BDP(C25, "CALLABLE")</f>
        <v>Y</v>
      </c>
      <c r="H25" s="264" cm="1">
        <f t="array" ref="H25">_xll.BDP(C25, "AMT_ISSUED")</f>
        <v>1000000000</v>
      </c>
      <c r="I25" s="264" cm="1">
        <f t="array" ref="I25">_xll.BDP(C25,"AMT_OUTSTANDING")</f>
        <v>1699999.9999998799</v>
      </c>
      <c r="J25" s="265">
        <f t="shared" si="0"/>
        <v>1.6999999999998798E-3</v>
      </c>
      <c r="K25" s="266" cm="1">
        <f t="array" ref="K25">_xll.BDP(C25, "COUPON")/100</f>
        <v>4.4170000000000001E-2</v>
      </c>
      <c r="L25" s="261"/>
      <c r="M25" s="263" t="str" cm="1">
        <f t="array" ref="M25">_xll.BDP(C25,"RTG_SP")</f>
        <v>BBB</v>
      </c>
      <c r="N25" s="263" t="str" cm="1">
        <f t="array" ref="N25">_xll.BDP(C25,"RTG_MOODY")</f>
        <v>Baa1</v>
      </c>
      <c r="O25" s="263" t="str" cm="1">
        <f t="array" ref="O25">_xll.BDP(C25,"RTG_FITCH")</f>
        <v>#N/A N/A</v>
      </c>
    </row>
    <row r="30" spans="2:15">
      <c r="B30" t="s">
        <v>560</v>
      </c>
    </row>
    <row r="31" spans="2:15">
      <c r="C31" t="s">
        <v>561</v>
      </c>
      <c r="E31" s="248" t="str" cm="1">
        <f t="array" ref="E31">_xll.BDP(C31, "MATURITY")</f>
        <v>2/23/2027</v>
      </c>
      <c r="F31" s="248" t="str" cm="1">
        <f t="array" ref="F31">_xll.BDP(C31, "ISSUE_DT")</f>
        <v>2/23/2022</v>
      </c>
      <c r="G31" s="168" t="str" cm="1">
        <f t="array" ref="G31">_xll.BDP(C31, "CALLABLE")</f>
        <v>N</v>
      </c>
      <c r="H31" s="230" t="str" cm="1">
        <f t="array" ref="H31">_xll.BDP(C31, "AMT_ISSUED")</f>
        <v>#N/A Field Not Applicable</v>
      </c>
      <c r="I31" s="230" cm="1">
        <f t="array" ref="I31">_xll.BDP(C31,"AMT_OUTSTANDING")</f>
        <v>0</v>
      </c>
      <c r="J31" s="65" t="e">
        <f>I31/H31</f>
        <v>#VALUE!</v>
      </c>
      <c r="K31" s="211" cm="1">
        <f t="array" ref="K31">_xll.BDP(C31, "COUPON")/100</f>
        <v>6.5447199999999997E-2</v>
      </c>
      <c r="M31" s="168" t="str" cm="1">
        <f t="array" ref="M31">_xll.BDP(C31,"RTG_SP")</f>
        <v>#N/A N/A</v>
      </c>
      <c r="N31" s="168" t="str" cm="1">
        <f t="array" ref="N31">_xll.BDP(C31,"RTG_MOODY")</f>
        <v>#N/A N/A</v>
      </c>
      <c r="O31" s="168" t="str" cm="1">
        <f t="array" ref="O31">_xll.BDP(C31,"RTG_FITCH")</f>
        <v>#N/A N/A</v>
      </c>
    </row>
    <row r="36" spans="3:5">
      <c r="C36" t="s">
        <v>563</v>
      </c>
      <c r="E36" s="19">
        <f>SUMPRODUCT(I7:I34,K7:K34)/SUM(I7:I34)</f>
        <v>3.5946985393700344E-2</v>
      </c>
    </row>
    <row r="37" spans="3:5">
      <c r="C37" t="s">
        <v>562</v>
      </c>
      <c r="E37" s="230">
        <f>SUMPRODUCT(I7:I31,K7:K31)/1000000/4</f>
        <v>105.51919431500001</v>
      </c>
    </row>
    <row r="39" spans="3:5">
      <c r="C39" t="s">
        <v>564</v>
      </c>
      <c r="E39" s="230">
        <f>E37-I7*K7/1000000/4</f>
        <v>103.36294431500001</v>
      </c>
    </row>
    <row r="40" spans="3:5">
      <c r="C40" t="s">
        <v>577</v>
      </c>
      <c r="E40" s="230">
        <f>E39-I16*K16/1000000/4-I25*K25/1000000/4</f>
        <v>97.517994470000005</v>
      </c>
    </row>
  </sheetData>
  <mergeCells count="1">
    <mergeCell ref="M4:O4"/>
  </mergeCells>
  <pageMargins left="0.7" right="0.7" top="0.75" bottom="0.75" header="0.3" footer="0.3"/>
  <customProperties>
    <customPr name="UniqueWorksheetId" r:id="rId1"/>
  </customPropertie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145A5-8029-4AF9-B439-6717B4D79CCA}">
  <dimension ref="A1:DU25"/>
  <sheetViews>
    <sheetView showGridLines="0" workbookViewId="0">
      <selection activeCell="AD29" sqref="AD29"/>
    </sheetView>
  </sheetViews>
  <sheetFormatPr defaultRowHeight="14.5" outlineLevelRow="1" outlineLevelCol="1"/>
  <cols>
    <col min="1" max="1" width="21.6328125" customWidth="1"/>
    <col min="2" max="2" width="2.26953125" customWidth="1"/>
    <col min="3" max="3" width="12.7265625" customWidth="1"/>
    <col min="4" max="4" width="2.26953125" customWidth="1"/>
    <col min="5" max="5" width="8.26953125" customWidth="1"/>
    <col min="6" max="6" width="2.26953125" customWidth="1"/>
    <col min="7" max="7" width="7.81640625" customWidth="1"/>
    <col min="8" max="8" width="2.26953125" customWidth="1"/>
    <col min="9" max="9" width="9.81640625" customWidth="1"/>
    <col min="10" max="10" width="2.26953125" customWidth="1"/>
    <col min="11" max="11" width="9.1796875" customWidth="1"/>
    <col min="12" max="12" width="2.26953125" customWidth="1"/>
    <col min="13" max="13" width="9.26953125" customWidth="1"/>
    <col min="14" max="14" width="2.26953125" customWidth="1"/>
    <col min="15" max="15" width="5.26953125" customWidth="1"/>
    <col min="16" max="16" width="2.7265625" customWidth="1"/>
    <col min="17" max="17" width="5.26953125" customWidth="1"/>
    <col min="18" max="18" width="2.26953125" customWidth="1"/>
    <col min="19" max="19" width="8.1796875" customWidth="1"/>
    <col min="20" max="20" width="2.7265625" customWidth="1"/>
    <col min="21" max="21" width="5.26953125" customWidth="1"/>
    <col min="22" max="22" width="2.7265625" customWidth="1"/>
    <col min="23" max="23" width="5.26953125" customWidth="1"/>
    <col min="24" max="24" width="2.26953125" customWidth="1"/>
    <col min="25" max="25" width="6.7265625" customWidth="1"/>
    <col min="26" max="26" width="2.26953125" customWidth="1"/>
    <col min="27" max="27" width="6.7265625" customWidth="1"/>
    <col min="28" max="28" width="2.26953125" customWidth="1"/>
    <col min="29" max="29" width="6.7265625" customWidth="1"/>
    <col min="30" max="30" width="2.26953125" customWidth="1"/>
    <col min="31" max="31" width="20.1796875" customWidth="1"/>
    <col min="32" max="32" width="2.26953125" customWidth="1"/>
    <col min="33" max="33" width="16.26953125" customWidth="1"/>
    <col min="34" max="34" width="2.26953125" customWidth="1"/>
    <col min="35" max="35" width="13.1796875" customWidth="1"/>
    <col min="36" max="36" width="1.54296875" customWidth="1"/>
    <col min="37" max="42" width="7.90625" customWidth="1"/>
    <col min="43" max="43" width="73.6328125" customWidth="1"/>
    <col min="44" max="44" width="1.54296875" customWidth="1"/>
    <col min="45" max="45" width="10" customWidth="1"/>
    <col min="46" max="46" width="1.54296875" customWidth="1"/>
    <col min="47" max="47" width="9.1796875" customWidth="1" outlineLevel="1"/>
    <col min="48" max="48" width="5.7265625" customWidth="1" outlineLevel="1"/>
    <col min="54" max="54" width="3.7265625" customWidth="1"/>
    <col min="57" max="57" width="3.7265625" customWidth="1"/>
    <col min="59" max="59" width="3.7265625" customWidth="1"/>
    <col min="61" max="61" width="3.7265625" customWidth="1"/>
    <col min="63" max="63" width="3.7265625" customWidth="1"/>
    <col min="66" max="66" width="2.81640625" customWidth="1"/>
    <col min="68" max="68" width="3.7265625" customWidth="1"/>
    <col min="70" max="70" width="3.7265625" customWidth="1"/>
    <col min="72" max="72" width="3.26953125" customWidth="1"/>
    <col min="74" max="74" width="3.7265625" customWidth="1"/>
    <col min="76" max="76" width="3.7265625" customWidth="1"/>
    <col min="78" max="78" width="2.81640625" customWidth="1"/>
    <col min="80" max="80" width="3.7265625" customWidth="1"/>
    <col min="82" max="82" width="3.7265625" customWidth="1"/>
    <col min="84" max="84" width="3.7265625" customWidth="1"/>
    <col min="88" max="88" width="3.7265625" customWidth="1"/>
    <col min="90" max="90" width="3.7265625" customWidth="1"/>
    <col min="92" max="92" width="3.7265625" customWidth="1"/>
    <col min="96" max="96" width="3.7265625" customWidth="1"/>
    <col min="98" max="98" width="3.7265625" customWidth="1"/>
    <col min="100" max="100" width="3.7265625" customWidth="1"/>
    <col min="104" max="104" width="4.54296875" customWidth="1"/>
    <col min="106" max="106" width="4.54296875" customWidth="1"/>
    <col min="108" max="108" width="4.54296875" customWidth="1"/>
    <col min="111" max="111" width="10.81640625" customWidth="1"/>
    <col min="112" max="112" width="4.08984375" customWidth="1"/>
    <col min="113" max="113" width="11" customWidth="1"/>
    <col min="114" max="114" width="4.08984375" customWidth="1"/>
    <col min="115" max="115" width="16.453125" customWidth="1"/>
    <col min="116" max="116" width="4.08984375" customWidth="1"/>
    <col min="117" max="117" width="10.36328125" customWidth="1"/>
    <col min="118" max="118" width="2.7265625" customWidth="1"/>
    <col min="120" max="120" width="2.7265625" customWidth="1"/>
    <col min="122" max="122" width="2.7265625" customWidth="1"/>
    <col min="124" max="124" width="2.7265625" customWidth="1"/>
  </cols>
  <sheetData>
    <row r="1" spans="1:125" s="89" customFormat="1" ht="18.5">
      <c r="A1" s="87" t="str">
        <f>text_ticker&amp;" Comps"</f>
        <v>KDP Comps</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row>
    <row r="3" spans="1:125">
      <c r="AK3" s="668" t="s">
        <v>305</v>
      </c>
      <c r="AL3" s="668"/>
      <c r="AM3" s="668"/>
      <c r="AN3" s="668"/>
      <c r="AO3" s="668"/>
      <c r="AP3" s="668"/>
      <c r="AQ3" s="668"/>
      <c r="AU3" s="90" t="s">
        <v>306</v>
      </c>
      <c r="AW3" s="90" t="s">
        <v>307</v>
      </c>
    </row>
    <row r="4" spans="1:125">
      <c r="A4" s="636"/>
      <c r="B4" s="636"/>
      <c r="C4" s="637"/>
      <c r="D4" s="637"/>
      <c r="E4" s="637" t="s">
        <v>60</v>
      </c>
      <c r="F4" s="637"/>
      <c r="G4" s="637" t="s">
        <v>308</v>
      </c>
      <c r="H4" s="637"/>
      <c r="I4" s="637" t="s">
        <v>309</v>
      </c>
      <c r="J4" s="637"/>
      <c r="K4" s="637" t="s">
        <v>310</v>
      </c>
      <c r="L4" s="636"/>
      <c r="M4" s="637" t="s">
        <v>311</v>
      </c>
      <c r="N4" s="636"/>
      <c r="O4" s="638" t="s">
        <v>312</v>
      </c>
      <c r="P4" s="638"/>
      <c r="Q4" s="638"/>
      <c r="R4" s="636"/>
      <c r="S4" s="637" t="s">
        <v>313</v>
      </c>
      <c r="T4" s="636"/>
      <c r="U4" s="638" t="s">
        <v>312</v>
      </c>
      <c r="V4" s="638"/>
      <c r="W4" s="638"/>
      <c r="X4" s="636"/>
      <c r="Y4" s="638" t="s">
        <v>314</v>
      </c>
      <c r="Z4" s="638"/>
      <c r="AA4" s="638"/>
      <c r="AB4" s="638"/>
      <c r="AC4" s="638"/>
      <c r="AE4" s="671" t="str">
        <f>text_ticker&amp;" Key Metrics"</f>
        <v>KDP Key Metrics</v>
      </c>
      <c r="AF4" s="671"/>
      <c r="AG4" s="671"/>
      <c r="AH4" s="671"/>
      <c r="AI4" s="671"/>
      <c r="AJ4" s="92"/>
      <c r="AK4" s="668" t="s">
        <v>315</v>
      </c>
      <c r="AL4" s="668"/>
      <c r="AM4" s="668" t="s">
        <v>366</v>
      </c>
      <c r="AN4" s="668"/>
      <c r="AO4" s="668" t="s">
        <v>367</v>
      </c>
      <c r="AP4" s="668"/>
      <c r="AQ4" s="90"/>
      <c r="AR4" s="92"/>
      <c r="AS4" s="92"/>
      <c r="AT4" s="92"/>
      <c r="AU4" s="93" t="s">
        <v>316</v>
      </c>
      <c r="AW4" s="93" t="s">
        <v>317</v>
      </c>
      <c r="BA4" s="23" t="s">
        <v>318</v>
      </c>
      <c r="BB4" s="23"/>
      <c r="BC4" s="23" t="s">
        <v>319</v>
      </c>
      <c r="BD4" s="23" t="s">
        <v>320</v>
      </c>
      <c r="BE4" s="23"/>
      <c r="BF4" s="23"/>
      <c r="BG4" s="23"/>
      <c r="BH4" s="23" t="s">
        <v>321</v>
      </c>
      <c r="BI4" s="23"/>
      <c r="BJ4" s="23"/>
      <c r="BL4" s="91" t="s">
        <v>322</v>
      </c>
      <c r="BM4" s="91"/>
      <c r="BO4" s="91" t="s">
        <v>323</v>
      </c>
      <c r="BP4" s="91"/>
      <c r="BQ4" s="91"/>
      <c r="BR4" s="91"/>
      <c r="BS4" s="91"/>
      <c r="BU4" s="91" t="s">
        <v>324</v>
      </c>
      <c r="BV4" s="91"/>
      <c r="BW4" s="91"/>
      <c r="BX4" s="91"/>
      <c r="BY4" s="91"/>
      <c r="CA4" s="91" t="s">
        <v>275</v>
      </c>
      <c r="CB4" s="91"/>
      <c r="CC4" s="91"/>
      <c r="CD4" s="91"/>
      <c r="CE4" s="94"/>
      <c r="CF4" s="91"/>
      <c r="CG4" s="94"/>
      <c r="CI4" s="91" t="s">
        <v>306</v>
      </c>
      <c r="CJ4" s="91"/>
      <c r="CK4" s="91"/>
      <c r="CL4" s="91"/>
      <c r="CM4" s="94"/>
      <c r="CN4" s="91"/>
      <c r="CO4" s="94"/>
      <c r="CQ4" s="91" t="s">
        <v>325</v>
      </c>
      <c r="CR4" s="91"/>
      <c r="CS4" s="91"/>
      <c r="CT4" s="91"/>
      <c r="CU4" s="94"/>
      <c r="CV4" s="91"/>
      <c r="CW4" s="94"/>
      <c r="CY4" s="670" t="s">
        <v>326</v>
      </c>
      <c r="CZ4" s="670"/>
      <c r="DA4" s="670"/>
      <c r="DB4" s="670"/>
      <c r="DC4" s="670"/>
      <c r="DD4" s="670"/>
      <c r="DE4" s="670"/>
      <c r="DG4" s="91" t="s">
        <v>327</v>
      </c>
      <c r="DH4" s="91"/>
      <c r="DI4" s="91"/>
      <c r="DJ4" s="91"/>
      <c r="DK4" s="94"/>
      <c r="DL4" s="91"/>
      <c r="DM4" s="94"/>
      <c r="DO4" s="91" t="s">
        <v>328</v>
      </c>
      <c r="DP4" s="91"/>
      <c r="DQ4" s="91"/>
      <c r="DR4" s="91"/>
      <c r="DS4" s="94"/>
      <c r="DT4" s="91"/>
      <c r="DU4" s="94"/>
    </row>
    <row r="5" spans="1:125" ht="29">
      <c r="A5" s="639" t="s">
        <v>0</v>
      </c>
      <c r="B5" s="636"/>
      <c r="C5" s="640" t="s">
        <v>304</v>
      </c>
      <c r="D5" s="637"/>
      <c r="E5" s="641">
        <f ca="1">TODAY()</f>
        <v>45190</v>
      </c>
      <c r="F5" s="637"/>
      <c r="G5" s="640" t="s">
        <v>329</v>
      </c>
      <c r="H5" s="637"/>
      <c r="I5" s="640" t="s">
        <v>330</v>
      </c>
      <c r="J5" s="637"/>
      <c r="K5" s="640" t="s">
        <v>207</v>
      </c>
      <c r="L5" s="636"/>
      <c r="M5" s="640" t="s">
        <v>306</v>
      </c>
      <c r="N5" s="639"/>
      <c r="O5" s="640" t="s">
        <v>331</v>
      </c>
      <c r="P5" s="640"/>
      <c r="Q5" s="640" t="s">
        <v>332</v>
      </c>
      <c r="R5" s="636"/>
      <c r="S5" s="640" t="s">
        <v>325</v>
      </c>
      <c r="T5" s="639"/>
      <c r="U5" s="640" t="s">
        <v>331</v>
      </c>
      <c r="V5" s="640"/>
      <c r="W5" s="640" t="s">
        <v>332</v>
      </c>
      <c r="X5" s="636"/>
      <c r="Y5" s="642" t="s">
        <v>275</v>
      </c>
      <c r="Z5" s="642"/>
      <c r="AA5" s="642" t="s">
        <v>306</v>
      </c>
      <c r="AB5" s="642"/>
      <c r="AC5" s="642" t="s">
        <v>325</v>
      </c>
      <c r="AE5" s="97" t="s">
        <v>333</v>
      </c>
      <c r="AF5" s="96"/>
      <c r="AG5" s="97" t="s">
        <v>334</v>
      </c>
      <c r="AH5" s="97"/>
      <c r="AI5" s="97" t="s">
        <v>335</v>
      </c>
      <c r="AJ5" s="95"/>
      <c r="AK5" s="95" t="s">
        <v>59</v>
      </c>
      <c r="AL5" s="95" t="s">
        <v>60</v>
      </c>
      <c r="AM5" s="95" t="s">
        <v>59</v>
      </c>
      <c r="AN5" s="95" t="s">
        <v>60</v>
      </c>
      <c r="AO5" s="95" t="s">
        <v>59</v>
      </c>
      <c r="AP5" s="95" t="s">
        <v>60</v>
      </c>
      <c r="AQ5" s="95" t="s">
        <v>336</v>
      </c>
      <c r="AR5" s="95"/>
      <c r="AS5" s="95" t="s">
        <v>337</v>
      </c>
      <c r="AT5" s="95"/>
      <c r="AU5" s="95">
        <v>2023</v>
      </c>
      <c r="AW5" s="95" t="s">
        <v>306</v>
      </c>
      <c r="BA5" s="98" t="s">
        <v>338</v>
      </c>
      <c r="BB5" s="23"/>
      <c r="BC5" s="98" t="s">
        <v>339</v>
      </c>
      <c r="BD5" s="98" t="s">
        <v>339</v>
      </c>
      <c r="BE5" s="23"/>
      <c r="BF5" s="98" t="s">
        <v>340</v>
      </c>
      <c r="BG5" s="23"/>
      <c r="BH5" s="98" t="s">
        <v>341</v>
      </c>
      <c r="BI5" s="23"/>
      <c r="BJ5" s="98" t="s">
        <v>342</v>
      </c>
      <c r="BL5" s="99" t="s">
        <v>325</v>
      </c>
      <c r="BM5" s="100" t="s">
        <v>306</v>
      </c>
      <c r="BO5" s="101" t="s">
        <v>343</v>
      </c>
      <c r="BP5" s="101"/>
      <c r="BQ5" s="101" t="s">
        <v>344</v>
      </c>
      <c r="BR5" s="101"/>
      <c r="BS5" s="101" t="s">
        <v>345</v>
      </c>
      <c r="BU5" s="101" t="s">
        <v>343</v>
      </c>
      <c r="BV5" s="101"/>
      <c r="BW5" s="101" t="s">
        <v>344</v>
      </c>
      <c r="BX5" s="101"/>
      <c r="BY5" s="101" t="s">
        <v>345</v>
      </c>
      <c r="CA5" s="99">
        <v>2020</v>
      </c>
      <c r="CB5" s="101"/>
      <c r="CC5" s="100">
        <v>2021</v>
      </c>
      <c r="CD5" s="101"/>
      <c r="CE5" s="100">
        <v>2022</v>
      </c>
      <c r="CF5" s="101"/>
      <c r="CG5" s="100">
        <v>2023</v>
      </c>
      <c r="CI5" s="99">
        <v>2020</v>
      </c>
      <c r="CJ5" s="101"/>
      <c r="CK5" s="100">
        <v>2021</v>
      </c>
      <c r="CL5" s="101"/>
      <c r="CM5" s="100">
        <v>2022</v>
      </c>
      <c r="CN5" s="101"/>
      <c r="CO5" s="100">
        <v>2023</v>
      </c>
      <c r="CQ5" s="99">
        <v>2020</v>
      </c>
      <c r="CR5" s="101"/>
      <c r="CS5" s="100">
        <v>2021</v>
      </c>
      <c r="CT5" s="101"/>
      <c r="CU5" s="100">
        <v>2022</v>
      </c>
      <c r="CV5" s="101"/>
      <c r="CW5" s="100">
        <v>2023</v>
      </c>
      <c r="CY5" s="99">
        <v>2020</v>
      </c>
      <c r="CZ5" s="101"/>
      <c r="DA5" s="100">
        <v>2021</v>
      </c>
      <c r="DB5" s="101"/>
      <c r="DC5" s="100">
        <v>2022</v>
      </c>
      <c r="DD5" s="101"/>
      <c r="DE5" s="100">
        <v>2023</v>
      </c>
      <c r="DG5" s="99">
        <v>2020</v>
      </c>
      <c r="DH5" s="101"/>
      <c r="DI5" s="100">
        <v>2021</v>
      </c>
      <c r="DJ5" s="101"/>
      <c r="DK5" s="100">
        <v>2022</v>
      </c>
      <c r="DL5" s="101"/>
      <c r="DM5" s="100">
        <v>2023</v>
      </c>
      <c r="DO5" s="99">
        <v>2020</v>
      </c>
      <c r="DP5" s="101"/>
      <c r="DQ5" s="100">
        <v>2021</v>
      </c>
      <c r="DR5" s="101"/>
      <c r="DS5" s="100">
        <v>2022</v>
      </c>
      <c r="DT5" s="101"/>
      <c r="DU5" s="100">
        <v>2023</v>
      </c>
    </row>
    <row r="6" spans="1:125" ht="6" customHeight="1"/>
    <row r="7" spans="1:125">
      <c r="A7" t="s">
        <v>353</v>
      </c>
      <c r="C7" s="23" t="s">
        <v>352</v>
      </c>
      <c r="E7" s="56" cm="1">
        <f t="array" ref="E7">_xll.BDP($C7&amp;" Equity","PX_LAST")</f>
        <v>33.590000000000003</v>
      </c>
      <c r="G7" s="102">
        <f ca="1">E7/BA7</f>
        <v>0.84930467762326189</v>
      </c>
      <c r="I7" s="103">
        <f>+E7*BC7</f>
        <v>46933.929810000009</v>
      </c>
      <c r="K7" s="103">
        <f>+I7+BF7+BH7-BJ7</f>
        <v>60840.929810000009</v>
      </c>
      <c r="M7" s="104">
        <f>+K7/BM7</f>
        <v>13.824602874809955</v>
      </c>
      <c r="N7" s="23"/>
      <c r="O7" s="102">
        <f>$M7/BO7-1</f>
        <v>-2.3109904653437208E-2</v>
      </c>
      <c r="P7" s="23"/>
      <c r="Q7" s="102">
        <f>$M7/BQ7-1</f>
        <v>-6.7485591188853111E-2</v>
      </c>
      <c r="R7" s="23"/>
      <c r="S7" s="104">
        <f>+E7/BL7</f>
        <v>18.265361609570419</v>
      </c>
      <c r="T7" s="23"/>
      <c r="U7" s="102">
        <f>+$S7/BU7-1</f>
        <v>-4.8639602252874781E-2</v>
      </c>
      <c r="V7" s="23"/>
      <c r="W7" s="102">
        <f>+$S7/BW7-1</f>
        <v>-0.10190381557869344</v>
      </c>
      <c r="X7" s="23"/>
      <c r="Y7" s="102">
        <f>(CG7/CC7)^(1/2)-1</f>
        <v>8.3137509417226418E-2</v>
      </c>
      <c r="AA7" s="102">
        <f>(CO7/CK7)^(1/2)-1</f>
        <v>1.4233291353811239E-2</v>
      </c>
      <c r="AC7" s="102">
        <f>(CW7/CS7)^(1/2)-1</f>
        <v>5.6231508713880496E-2</v>
      </c>
      <c r="AD7" s="23"/>
      <c r="AE7" s="105">
        <f>IFERROR(DC7-CY7, "")</f>
        <v>0.11400000000000002</v>
      </c>
      <c r="AG7" s="102">
        <f>(DK7/DG7)^(1/2)-1</f>
        <v>5.2968822257129178E-2</v>
      </c>
      <c r="AI7" s="102">
        <f>IFERROR((DS7/DO7)^(1/2)-1, "")</f>
        <v>9.5445115010332149E-2</v>
      </c>
      <c r="AJ7" s="102"/>
      <c r="AK7" s="106" cm="1">
        <f t="array" ref="AK7">_xll.VAData("KDP_US", "3QFY-2023", "Volume growth", "Consensus", "CD", "IMPL","","")/100</f>
        <v>-6.5678105953296895E-3</v>
      </c>
      <c r="AL7" s="106" cm="1">
        <f t="array" ref="AL7">_xll.VAData("KDP_US", "3QFY-2023", "Price growth", "Consensus", "CD", "IMPL","","")/100</f>
        <v>4.2026535060526504E-2</v>
      </c>
      <c r="AM7" s="106" cm="1">
        <f t="array" ref="AM7">_xll.VAData("KDP_US", "FY-2023", "Volume growth", "Consensus", "CD", "IMPL","","")/100</f>
        <v>-7.3813096993728296E-3</v>
      </c>
      <c r="AN7" s="106" cm="1">
        <f t="array" ref="AN7">_xll.VAData("KDP_US", "FY-2023", "Price growth", "Consensus", "CD", "IMPL","","")/100</f>
        <v>6.3174881802421187E-2</v>
      </c>
      <c r="AO7" s="106" cm="1">
        <f t="array" ref="AO7">_xll.VAData("KDP_US", "FY-2024", "Volume growth", "Consensus", "CD", "IMPL","","")/100</f>
        <v>1.970822713211225E-2</v>
      </c>
      <c r="AP7" s="106" cm="1">
        <f t="array" ref="AP7">_xll.VAData("KDP_US", "FY-2024", "Price growth", "Consensus", "CD", "IMPL","","")/100</f>
        <v>2.7134823337329181E-2</v>
      </c>
      <c r="AQ7" s="102" t="s">
        <v>346</v>
      </c>
      <c r="AR7" s="102"/>
      <c r="AS7" s="107" cm="1">
        <f t="array" ref="AS7">_xll.BDP(C7&amp;" US Equity", "INVENT_TURN")</f>
        <v>5.2497140678612277</v>
      </c>
      <c r="AT7" s="102"/>
      <c r="AU7" s="102">
        <f>+CO7/CG7</f>
        <v>0.28545090372148202</v>
      </c>
      <c r="AV7" s="23"/>
      <c r="AW7" s="104">
        <f>+(BF7-BJ7)/CK7</f>
        <v>3.3683700653911357</v>
      </c>
      <c r="BA7" s="108">
        <f ca="1">_xll.BDP($C7&amp;" Equity","INTERVAL_HIGH","CALC_INTERVAL=52W","END_DATE_OVERRIDE",TEXT($E$5,"YYYYMMDD"))</f>
        <v>39.549999999999997</v>
      </c>
      <c r="BB7" s="109"/>
      <c r="BC7" s="110">
        <f>_xll.BDP($C7&amp;" Equity","EQY_SH_OUT")</f>
        <v>1397.259</v>
      </c>
      <c r="BD7" s="110">
        <f>_xll.BDP($C7&amp;" Equity","BS_SH_OUT")</f>
        <v>1408.3942930000001</v>
      </c>
      <c r="BE7" s="109"/>
      <c r="BF7" s="111">
        <f>_xll.BDP($C7&amp;" Equity","SHORT_AND_LONG_TERM_DEBT", "FUND_PER=Q")</f>
        <v>14186</v>
      </c>
      <c r="BG7" s="109"/>
      <c r="BH7" s="111">
        <f>(_xll.BDP($C7&amp;" Equity","BS_PFD_EQY", "FUND_PER=Q"))+(_xll.BDP($C7&amp;" Equity","MINORITY_NONCONTROLLING_INTEREST", "FUND_PER=Q"))</f>
        <v>-1</v>
      </c>
      <c r="BI7" s="109"/>
      <c r="BJ7" s="111">
        <f>_xll.BDP($C7&amp;" Equity","CASH_AND_MARKETABLE_SECURITIES", "FUND_PER=Q")</f>
        <v>278</v>
      </c>
      <c r="BK7" s="109"/>
      <c r="BL7" s="108">
        <f>_xll.BDP($C7&amp;" Equity","BEST_EPS", "BEST_FPERIOD_OVERRIDE=1TY")</f>
        <v>1.839</v>
      </c>
      <c r="BM7" s="111">
        <f>_xll.BDP($C7&amp;" Equity","BEST_EBITDA", "BEST_FPERIOD_OVERRIDE=1TY")</f>
        <v>4400.9170000000004</v>
      </c>
      <c r="BN7" s="109"/>
      <c r="BO7" s="112">
        <f>_xll.BDP($C7&amp;" Equity","INTERVAL_AVG", "MARKET_DATA_OVERRIDE=BEST_CUR_EV_TO_EBITDA", "BEST_FPERIOD_OVERRIDE=1TY ", "CALC_INTERVAL=1Y ")</f>
        <v>14.151646066086402</v>
      </c>
      <c r="BP7" s="109"/>
      <c r="BQ7" s="112">
        <f>_xll.BDP($C7&amp;" Equity","INTERVAL_AVG", "MARKET_DATA_OVERRIDE=BEST_CUR_EV_TO_EBITDA", "BEST_FPERIOD_OVERRIDE=1TY ", "CALC_INTERVAL=2Y ")</f>
        <v>14.825082319569518</v>
      </c>
      <c r="BR7" s="109"/>
      <c r="BS7" s="112">
        <f>_xll.BDP($C7&amp;" Equity","INTERVAL_AVG", "MARKET_DATA_OVERRIDE=BEST_CUR_EV_TO_EBITDA", "BEST_FPERIOD_OVERRIDE=1TY ", "CALC_INTERVAL=5Y ")</f>
        <v>15.046829140294742</v>
      </c>
      <c r="BT7" s="109"/>
      <c r="BU7" s="112">
        <f>_xll.BDP($C7&amp;" Equity","INTERVAL_AVG", "MARKET_DATA_OVERRIDE=BEST_PE_RATIO", "BEST_FPERIOD_OVERRIDE=1TY ", "CALC_INTERVAL=1Y ")</f>
        <v>19.199203217648979</v>
      </c>
      <c r="BV7" s="109"/>
      <c r="BW7" s="112">
        <f>_xll.BDP($C7&amp;" Equity","INTERVAL_AVG", "MARKET_DATA_OVERRIDE=BEST_PE_RATIO", "BEST_FPERIOD_OVERRIDE=1TY ", "CALC_INTERVAL=2Y ")</f>
        <v>20.337867954911545</v>
      </c>
      <c r="BX7" s="109"/>
      <c r="BY7" s="112">
        <f>_xll.BDP($C7&amp;" Equity","INTERVAL_AVG", "MARKET_DATA_OVERRIDE=BEST_PE_RATIO", "BEST_FPERIOD_OVERRIDE=1TY ", "CALC_INTERVAL=5Y ")</f>
        <v>20.63139858160736</v>
      </c>
      <c r="BZ7" s="109"/>
      <c r="CA7" s="111">
        <f>_xll.BDP($C7&amp;" Equity","BEST_SALES", "BEST_FPERIOD_OVERRIDE=20BC")</f>
        <v>11618</v>
      </c>
      <c r="CB7" s="109"/>
      <c r="CC7" s="111">
        <f>_xll.BDP($C7&amp;" Equity","BEST_SALES", "BEST_FPERIOD_OVERRIDE=21BC")</f>
        <v>12683</v>
      </c>
      <c r="CD7" s="109"/>
      <c r="CE7" s="111">
        <f>_xll.BDP($C7&amp;" Equity","BEST_SALES", "BEST_FPERIOD_OVERRIDE=22BC")</f>
        <v>14060</v>
      </c>
      <c r="CF7" s="109"/>
      <c r="CG7" s="111">
        <f>_xll.BDP($C7&amp;" Equity","BEST_SALES", "BEST_FPERIOD_OVERRIDE=23BC")</f>
        <v>14879.529</v>
      </c>
      <c r="CH7" s="109"/>
      <c r="CI7" s="111">
        <f>_xll.BDP($C7&amp;" Equity","BEST_EBITDA", "BEST_FPERIOD_OVERRIDE=20BC")</f>
        <v>3686</v>
      </c>
      <c r="CJ7" s="109"/>
      <c r="CK7" s="111">
        <f>_xll.BDP($C7&amp;" Equity","BEST_EBITDA", "BEST_FPERIOD_OVERRIDE=21BC")</f>
        <v>4129</v>
      </c>
      <c r="CL7" s="109"/>
      <c r="CM7" s="111">
        <f>_xll.BDP($C7&amp;" Equity","BEST_EBITDA", "BEST_FPERIOD_OVERRIDE=22BC")</f>
        <v>4078</v>
      </c>
      <c r="CN7" s="109"/>
      <c r="CO7" s="111">
        <f>_xll.BDP($C7&amp;" Equity","BEST_EBITDA", "BEST_FPERIOD_OVERRIDE=23BC")</f>
        <v>4247.375</v>
      </c>
      <c r="CP7" s="109"/>
      <c r="CQ7" s="108">
        <f>_xll.BDP($C7&amp;" Equity","BEST_EPS", "BEST_FPERIOD_OVERRIDE=20BC")</f>
        <v>1.4</v>
      </c>
      <c r="CR7" s="109"/>
      <c r="CS7" s="108">
        <f>_xll.BDP($C7&amp;" Equity","BEST_EPS", "BEST_FPERIOD_OVERRIDE=21BC")</f>
        <v>1.6</v>
      </c>
      <c r="CT7" s="109"/>
      <c r="CU7" s="108">
        <f>_xll.BDP($C7&amp;" Equity","BEST_EPS", "BEST_FPERIOD_OVERRIDE=22BC")</f>
        <v>1.68</v>
      </c>
      <c r="CV7" s="109"/>
      <c r="CW7" s="108">
        <f>_xll.BDP($C7&amp;" Equity","BEST_EPS", "BEST_FPERIOD_OVERRIDE=23BC")</f>
        <v>1.7850000000000001</v>
      </c>
      <c r="CY7" s="113">
        <f>(_xll.BDP($C7&amp;" Equity","ORGANIC_GROWTH", "EQY_FUND_YEAR=2020"))/100</f>
        <v>-6.0000000000000001E-3</v>
      </c>
      <c r="CZ7" s="113"/>
      <c r="DA7" s="113">
        <f>(_xll.BDP($C7&amp;" Equity","ORGANIC_GROWTH", "EQY_FUND_YEAR=2021"))/100</f>
        <v>2.7000000000000003E-2</v>
      </c>
      <c r="DB7" s="113"/>
      <c r="DC7" s="113">
        <f>(_xll.BDP($C7&amp;" Equity","ORGANIC_GROWTH", "EQY_FUND_YEAR=2022"))/100</f>
        <v>0.10800000000000001</v>
      </c>
      <c r="DD7" s="113"/>
      <c r="DE7" s="113">
        <f>(_xll.BDP($C7&amp;" Equity","ORGANIC_GROWTH", "EQY_FUND_RELATIVE_PERIOD=-0FY"))/100</f>
        <v>0.10800000000000001</v>
      </c>
      <c r="DG7" s="108">
        <f>_xll.BDP($C7&amp;" Equity","IS_ADJ_EBIT_OP_INC_AS_REPORTED", "EQY_FUND_YEAR="&amp;DG$5)</f>
        <v>3191</v>
      </c>
      <c r="DH7" s="109"/>
      <c r="DI7" s="108">
        <f>_xll.BDP($C7&amp;" Equity","IS_ADJ_EBIT_OP_INC_AS_REPORTED", "EQY_FUND_YEAR="&amp;DI$5)</f>
        <v>3421</v>
      </c>
      <c r="DJ7" s="109"/>
      <c r="DK7" s="108">
        <f>_xll.BDP($C7&amp;" Equity","IS_ADJ_EBIT_OP_INC_AS_REPORTED", "EQY_FUND_YEAR="&amp;DK$5)</f>
        <v>3538</v>
      </c>
      <c r="DL7" s="109"/>
      <c r="DM7" s="108">
        <f>_xll.BDP($C7&amp;" Equity","IS_ADJ_EBIT_OP_INC_AS_REPORTED", "EQY_FUND_YEAR=-0FY")</f>
        <v>3538</v>
      </c>
      <c r="DO7" s="108">
        <f>_xll.BDP($C7&amp;" Equity","IS_ADJUSTED_EPS_AS_REPORTED", "EQY_FUND_YEAR="&amp;DO$5)</f>
        <v>1.4</v>
      </c>
      <c r="DP7" s="109"/>
      <c r="DQ7" s="108">
        <f>_xll.BDP($C7&amp;" Equity","IS_ADJUSTED_EPS_AS_REPORTED", "EQY_FUND_YEAR="&amp;DQ$5)</f>
        <v>1.6</v>
      </c>
      <c r="DR7" s="109"/>
      <c r="DS7" s="108">
        <f>_xll.BDP($C7&amp;" Equity","IS_ADJUSTED_EPS_AS_REPORTED", "EQY_FUND_YEAR="&amp;DS$5)</f>
        <v>1.68</v>
      </c>
      <c r="DT7" s="109"/>
      <c r="DU7" s="108">
        <f>_xll.BDP($C7&amp;" Equity","IS_ADJUSTED_EPS_AS_REPORTED", "EQY_FUND_YEAR=-0FY")</f>
        <v>1.68</v>
      </c>
    </row>
    <row r="8" spans="1:125" hidden="1" outlineLevel="1">
      <c r="C8" s="23"/>
      <c r="E8" s="56"/>
      <c r="G8" s="102"/>
      <c r="I8" s="103"/>
      <c r="K8" s="103"/>
      <c r="M8" s="104"/>
      <c r="N8" s="23"/>
      <c r="O8" s="102"/>
      <c r="P8" s="23"/>
      <c r="Q8" s="102"/>
      <c r="R8" s="23"/>
      <c r="S8" s="104"/>
      <c r="T8" s="23"/>
      <c r="U8" s="102"/>
      <c r="V8" s="23"/>
      <c r="W8" s="102"/>
      <c r="X8" s="23"/>
      <c r="AD8" s="23"/>
      <c r="AK8" s="106" cm="1">
        <f t="array" ref="AK8">_xll.VAData("KDP_US", "3QFY-2023", "Volume growth - US - Refreshment beverages", "Consensus", "CD", "IMPL","","")/100</f>
        <v>-2E-3</v>
      </c>
      <c r="AL8" s="106" cm="1">
        <f t="array" ref="AL8">_xll.VAData("KDP_US", "3QFY-2023", "Price growth - US - Refreshment beverages", "Consensus", "CD", "IMPL","","")/100</f>
        <v>5.4000000000000006E-2</v>
      </c>
      <c r="AM8" s="106" cm="1">
        <f t="array" ref="AM8">_xll.VAData("KDP_US", "FY-2023", "Volume growth - US - Refreshment beverages", "Consensus", "CD", "IMPL","","")/100</f>
        <v>2.7586572975158803E-3</v>
      </c>
      <c r="AN8" s="106" cm="1">
        <f t="array" ref="AN8">_xll.VAData("KDP_US", "FY-2023", "Price growth - US - Refreshment beverages", "Consensus", "CD", "IMPL","","")/100</f>
        <v>8.2084547572143923E-2</v>
      </c>
      <c r="AO8" s="106" cm="1">
        <f t="array" ref="AO8">_xll.VAData("KDP_US", "FY-2024", "Volume growth - US - Refreshment beverages", "Consensus", "CD", "IMPL","","")/100</f>
        <v>1.634802613463401E-2</v>
      </c>
      <c r="AP8" s="106" cm="1">
        <f t="array" ref="AP8">_xll.VAData("KDP_US", "FY-2024", "Price growth - US - Refreshment beverages", "Consensus", "CD", "IMPL","","")/100</f>
        <v>2.8145383139189791E-2</v>
      </c>
      <c r="AQ8" s="23" t="s">
        <v>362</v>
      </c>
      <c r="AS8" s="114"/>
      <c r="AV8" s="23"/>
      <c r="BA8" s="115"/>
      <c r="BC8" s="116"/>
      <c r="BD8" s="116"/>
      <c r="BF8" s="103"/>
      <c r="BH8" s="103"/>
      <c r="BJ8" s="103"/>
      <c r="BL8" s="115"/>
      <c r="BM8" s="103"/>
      <c r="BO8" s="104"/>
      <c r="BQ8" s="104"/>
      <c r="BS8" s="104"/>
      <c r="BU8" s="104"/>
      <c r="BW8" s="104"/>
      <c r="BY8" s="104"/>
      <c r="CA8" s="103"/>
      <c r="CC8" s="103"/>
      <c r="CE8" s="103"/>
      <c r="CG8" s="103"/>
      <c r="CI8" s="103"/>
      <c r="CK8" s="103"/>
      <c r="CM8" s="103"/>
      <c r="CO8" s="103"/>
      <c r="CQ8" s="115"/>
      <c r="CS8" s="115"/>
      <c r="CU8" s="115"/>
      <c r="CW8" s="115"/>
      <c r="CY8" s="113"/>
      <c r="CZ8" s="113"/>
      <c r="DA8" s="113"/>
      <c r="DB8" s="113"/>
      <c r="DC8" s="113"/>
      <c r="DD8" s="113"/>
      <c r="DE8" s="113"/>
      <c r="DG8" s="115"/>
      <c r="DI8" s="115"/>
      <c r="DK8" s="115"/>
      <c r="DM8" s="115"/>
      <c r="DO8" s="115"/>
      <c r="DQ8" s="115"/>
      <c r="DS8" s="115"/>
      <c r="DU8" s="115"/>
    </row>
    <row r="9" spans="1:125" hidden="1" outlineLevel="1">
      <c r="C9" s="23"/>
      <c r="E9" s="56"/>
      <c r="G9" s="102"/>
      <c r="I9" s="103"/>
      <c r="K9" s="103"/>
      <c r="M9" s="104"/>
      <c r="N9" s="23"/>
      <c r="O9" s="102"/>
      <c r="P9" s="23"/>
      <c r="Q9" s="102"/>
      <c r="R9" s="23"/>
      <c r="S9" s="104"/>
      <c r="T9" s="23"/>
      <c r="U9" s="102"/>
      <c r="V9" s="23"/>
      <c r="W9" s="102"/>
      <c r="X9" s="23"/>
      <c r="AD9" s="23"/>
      <c r="AK9" s="106" cm="1">
        <f t="array" ref="AK9">_xll.VAData("KDP_US", "3QFY-2023", "Volume growth - US - Coffee", "Consensus", "CD", "IMPL","","")/100</f>
        <v>-2.7244007030000003E-2</v>
      </c>
      <c r="AL9" s="106" cm="1">
        <f t="array" ref="AL9">_xll.VAData("KDP_US", "3QFY-2023", "Price growth - US - Coffee", "Consensus", "CD", "IMPL","","")/100</f>
        <v>1.95E-2</v>
      </c>
      <c r="AM9" s="106" cm="1">
        <f t="array" ref="AM9">_xll.VAData("KDP_US", "FY-2023", "Volume growth - US - Coffee", "Consensus", "CD", "IMPL","","")/100</f>
        <v>-4.1559451456864641E-2</v>
      </c>
      <c r="AN9" s="106" cm="1">
        <f t="array" ref="AN9">_xll.VAData("KDP_US", "FY-2023", "Price growth - US - Coffee", "Consensus", "CD", "IMPL","","")/100</f>
        <v>3.0677557630565268E-2</v>
      </c>
      <c r="AO9" s="106" cm="1">
        <f t="array" ref="AO9">_xll.VAData("KDP_US", "FY-2024", "Volume growth - US - Coffee", "Consensus", "CD", "IMPL","","")/100</f>
        <v>2.2269321571031543E-2</v>
      </c>
      <c r="AP9" s="106" cm="1">
        <f t="array" ref="AP9">_xll.VAData("KDP_US", "FY-2024", "Price growth - US - Coffee", "Consensus", "CD", "IMPL","","")/100</f>
        <v>1.9122737459580649E-2</v>
      </c>
      <c r="AQ9" s="23" t="s">
        <v>363</v>
      </c>
      <c r="AS9" s="114"/>
      <c r="AV9" s="23"/>
      <c r="BA9" s="115"/>
      <c r="BC9" s="116"/>
      <c r="BD9" s="116"/>
      <c r="BF9" s="103"/>
      <c r="BH9" s="103"/>
      <c r="BJ9" s="103"/>
      <c r="BL9" s="115"/>
      <c r="BM9" s="103"/>
      <c r="BO9" s="104"/>
      <c r="BQ9" s="104"/>
      <c r="BS9" s="104"/>
      <c r="BU9" s="104"/>
      <c r="BW9" s="104"/>
      <c r="BY9" s="104"/>
      <c r="CA9" s="103"/>
      <c r="CC9" s="103"/>
      <c r="CE9" s="103"/>
      <c r="CG9" s="103"/>
      <c r="CI9" s="103"/>
      <c r="CK9" s="103"/>
      <c r="CM9" s="103"/>
      <c r="CO9" s="103"/>
      <c r="CQ9" s="115"/>
      <c r="CS9" s="115"/>
      <c r="CU9" s="115"/>
      <c r="CW9" s="115"/>
      <c r="CY9" s="113"/>
      <c r="CZ9" s="113"/>
      <c r="DA9" s="113"/>
      <c r="DB9" s="113"/>
      <c r="DC9" s="113"/>
      <c r="DD9" s="113"/>
      <c r="DE9" s="113"/>
      <c r="DG9" s="115"/>
      <c r="DI9" s="115"/>
      <c r="DK9" s="115"/>
      <c r="DM9" s="115"/>
      <c r="DO9" s="115"/>
      <c r="DQ9" s="115"/>
      <c r="DS9" s="115"/>
      <c r="DU9" s="115"/>
    </row>
    <row r="10" spans="1:125" collapsed="1">
      <c r="C10" s="23"/>
      <c r="E10" s="56"/>
      <c r="G10" s="102"/>
      <c r="I10" s="103"/>
      <c r="K10" s="103"/>
      <c r="M10" s="104"/>
      <c r="N10" s="23"/>
      <c r="O10" s="102"/>
      <c r="P10" s="23"/>
      <c r="Q10" s="102"/>
      <c r="R10" s="23"/>
      <c r="S10" s="104"/>
      <c r="T10" s="23"/>
      <c r="U10" s="102"/>
      <c r="V10" s="23"/>
      <c r="W10" s="102"/>
      <c r="X10" s="23"/>
      <c r="AD10" s="23"/>
      <c r="AK10" s="106"/>
      <c r="AL10" s="106"/>
      <c r="AM10" s="106"/>
      <c r="AN10" s="106"/>
      <c r="AO10" s="106"/>
      <c r="AP10" s="106"/>
      <c r="AS10" s="114"/>
      <c r="AV10" s="23"/>
      <c r="BA10" s="115"/>
      <c r="BC10" s="116"/>
      <c r="BD10" s="116"/>
      <c r="BF10" s="103"/>
      <c r="BH10" s="103"/>
      <c r="BJ10" s="103"/>
      <c r="BL10" s="115"/>
      <c r="BM10" s="103"/>
      <c r="BO10" s="104"/>
      <c r="BQ10" s="104"/>
      <c r="BS10" s="104"/>
      <c r="BU10" s="104"/>
      <c r="BW10" s="104"/>
      <c r="BY10" s="104"/>
      <c r="CA10" s="103"/>
      <c r="CC10" s="103"/>
      <c r="CE10" s="103"/>
      <c r="CG10" s="103"/>
      <c r="CI10" s="103"/>
      <c r="CK10" s="103"/>
      <c r="CM10" s="103"/>
      <c r="CO10" s="103"/>
      <c r="CQ10" s="115"/>
      <c r="CS10" s="115"/>
      <c r="CU10" s="115"/>
      <c r="CW10" s="115"/>
      <c r="CY10" s="113"/>
      <c r="CZ10" s="113"/>
      <c r="DA10" s="113"/>
      <c r="DB10" s="113"/>
      <c r="DC10" s="113"/>
      <c r="DD10" s="113"/>
      <c r="DE10" s="113"/>
      <c r="DG10" s="115"/>
      <c r="DI10" s="115"/>
      <c r="DK10" s="115"/>
      <c r="DM10" s="115"/>
      <c r="DO10" s="115"/>
      <c r="DQ10" s="115"/>
      <c r="DS10" s="115"/>
      <c r="DU10" s="115"/>
    </row>
    <row r="11" spans="1:125">
      <c r="A11" t="s">
        <v>354</v>
      </c>
      <c r="C11" s="23" t="s">
        <v>359</v>
      </c>
      <c r="E11" s="56" cm="1">
        <f t="array" ref="E11">_xll.BDP($C11&amp;" Equity","PX_LAST")</f>
        <v>57.545000000000002</v>
      </c>
      <c r="G11" s="102">
        <f ca="1">E11/BA11</f>
        <v>0.89425019425019436</v>
      </c>
      <c r="I11" s="103">
        <f>+E11*BC11</f>
        <v>248844.43302500003</v>
      </c>
      <c r="K11" s="103">
        <f>+I11+BF11+BH11-BJ11</f>
        <v>276314.43302500003</v>
      </c>
      <c r="M11" s="104">
        <f>+K11/BM11</f>
        <v>18.312937843912994</v>
      </c>
      <c r="N11" s="23"/>
      <c r="O11" s="102">
        <f>$M11/BO11-1</f>
        <v>-9.105617720005732E-2</v>
      </c>
      <c r="P11" s="23"/>
      <c r="Q11" s="102">
        <f>$M11/BQ11-1</f>
        <v>-0.11971317171259022</v>
      </c>
      <c r="R11" s="23"/>
      <c r="S11" s="104">
        <f>+E11/BL11</f>
        <v>21.19521178637201</v>
      </c>
      <c r="T11" s="23"/>
      <c r="U11" s="102">
        <f>+$S11/BU11-1</f>
        <v>-9.4930238430879554E-2</v>
      </c>
      <c r="V11" s="23"/>
      <c r="W11" s="102">
        <f>+$S11/BW11-1</f>
        <v>-0.1162568570668947</v>
      </c>
      <c r="X11" s="23"/>
      <c r="Y11" s="102">
        <f>(CG11/CC11)^(1/2)-1</f>
        <v>7.9367834253162739E-2</v>
      </c>
      <c r="AA11" s="102">
        <f>(CO11/CK11)^(1/2)-1</f>
        <v>7.4407652243961842E-2</v>
      </c>
      <c r="AC11" s="102">
        <f>(CW11/CS11)^(1/2)-1</f>
        <v>6.6132229619985994E-2</v>
      </c>
      <c r="AD11" s="23"/>
      <c r="AE11" s="105">
        <f t="shared" ref="AE11:AE15" si="0">IFERROR(DC11-CY11, "")</f>
        <v>0.25</v>
      </c>
      <c r="AG11" s="102">
        <f t="shared" ref="AG11" si="1">(DK11/DG11)^(1/2)-1</f>
        <v>0.12408270347778783</v>
      </c>
      <c r="AI11" s="102">
        <f t="shared" ref="AI11:AI15" si="2">IFERROR((DS11/DO11)^(1/2)-1, "")</f>
        <v>0.12773883137669406</v>
      </c>
      <c r="AJ11" s="102"/>
      <c r="AK11" s="106" cm="1">
        <f t="array" ref="AK11">_xll.VAData("KO", "3QFY-2023", "Volume growth - North America", "Consensus", "CD", "IMPL","","")/100</f>
        <v>6.2655905508669195E-3</v>
      </c>
      <c r="AL11" s="106" cm="1">
        <f t="array" ref="AL11">_xll.VAData("KO", "3QFY-2023", "Price/mix - North America", "Consensus", "CD", "IMPL","","")/100</f>
        <v>4.7500000000000001E-2</v>
      </c>
      <c r="AM11" s="106" cm="1">
        <f t="array" ref="AM11">_xll.VAData("KO", "FY-2023", "Volume growth - North America", "Consensus", "CD", "IMPL","","")/100</f>
        <v>-9.6527027609306991E-4</v>
      </c>
      <c r="AN11" s="106" cm="1">
        <f t="array" ref="AN11">_xll.VAData("KO", "FY-2023", "Price/mix - North America", "Consensus", "CD", "IMPL","","")/100</f>
        <v>7.0597061463507721E-2</v>
      </c>
      <c r="AO11" s="106" cm="1">
        <f t="array" ref="AO11">_xll.VAData("KO", "FY-2024", "Volume growth - North America", "Consensus", "CD", "IMPL","","")/100</f>
        <v>1.580687509667348E-2</v>
      </c>
      <c r="AP11" s="106" cm="1">
        <f t="array" ref="AP11">_xll.VAData("KO", "FY-2024", "Price/mix - North America", "Consensus", "CD", "IMPL","","")/100</f>
        <v>2.5796438713753669E-2</v>
      </c>
      <c r="AQ11" s="102" t="s">
        <v>347</v>
      </c>
      <c r="AR11" s="102"/>
      <c r="AS11" s="107" cm="1">
        <f t="array" ref="AS11">_xll.BDP(C11&amp;" US Equity", "INVENT_TURN")</f>
        <v>4.4291762428934316</v>
      </c>
      <c r="AT11" s="102"/>
      <c r="AU11" s="102">
        <f t="shared" ref="AU11" si="3">+CO11/CG11</f>
        <v>0.32194677285274276</v>
      </c>
      <c r="AV11" s="23"/>
      <c r="AW11" s="104">
        <f t="shared" ref="AW11:AW15" si="4">+(BF11-BJ11)/CK11</f>
        <v>2.0644057001831064</v>
      </c>
      <c r="BA11" s="108">
        <f ca="1">_xll.BDP($C11&amp;" Equity","INTERVAL_HIGH","CALC_INTERVAL=52W","END_DATE_OVERRIDE",TEXT($E$5,"YYYYMMDD"))</f>
        <v>64.349999999999994</v>
      </c>
      <c r="BB11" s="109"/>
      <c r="BC11" s="110">
        <f>_xll.BDP($C11&amp;" Equity","EQY_SH_OUT")</f>
        <v>4324.3450000000003</v>
      </c>
      <c r="BD11" s="110">
        <f>_xll.BDP($C11&amp;" Equity","BS_SH_OUT")</f>
        <v>4328</v>
      </c>
      <c r="BE11" s="109"/>
      <c r="BF11" s="111">
        <f>_xll.BDP($C11&amp;" Equity","SHORT_AND_LONG_TERM_DEBT", "FUND_PER=Q")</f>
        <v>41625</v>
      </c>
      <c r="BG11" s="109"/>
      <c r="BH11" s="111">
        <f>(_xll.BDP($C11&amp;" Equity","BS_PFD_EQY", "FUND_PER=Q"))+(_xll.BDP($C11&amp;" Equity","MINORITY_NONCONTROLLING_INTEREST", "FUND_PER=Q"))</f>
        <v>1539</v>
      </c>
      <c r="BI11" s="109"/>
      <c r="BJ11" s="111">
        <f>_xll.BDP($C11&amp;" Equity","CASH_AND_MARKETABLE_SECURITIES", "FUND_PER=Q")</f>
        <v>15694</v>
      </c>
      <c r="BK11" s="109"/>
      <c r="BL11" s="108">
        <f>_xll.BDP($C11&amp;" Equity","BEST_EPS", "BEST_FPERIOD_OVERRIDE=1TY")</f>
        <v>2.7149999999999999</v>
      </c>
      <c r="BM11" s="111">
        <f>_xll.BDP($C11&amp;" Equity","BEST_EBITDA", "BEST_FPERIOD_OVERRIDE=1TY")</f>
        <v>15088.482</v>
      </c>
      <c r="BN11" s="109"/>
      <c r="BO11" s="112">
        <f>_xll.BDP($C11&amp;" Equity","INTERVAL_AVG", "MARKET_DATA_OVERRIDE=BEST_CUR_EV_TO_EBITDA", "BEST_FPERIOD_OVERRIDE=1TY ", "CALC_INTERVAL=1Y ")</f>
        <v>20.14749139006322</v>
      </c>
      <c r="BP11" s="109"/>
      <c r="BQ11" s="112">
        <f>_xll.BDP($C11&amp;" Equity","INTERVAL_AVG", "MARKET_DATA_OVERRIDE=BEST_CUR_EV_TO_EBITDA", "BEST_FPERIOD_OVERRIDE=1TY ", "CALC_INTERVAL=2Y ")</f>
        <v>20.80337596274234</v>
      </c>
      <c r="BR11" s="109"/>
      <c r="BS11" s="112">
        <f>_xll.BDP($C11&amp;" Equity","INTERVAL_AVG", "MARKET_DATA_OVERRIDE=BEST_CUR_EV_TO_EBITDA", "BEST_FPERIOD_OVERRIDE=1TY ", "CALC_INTERVAL=5Y ")</f>
        <v>20.846307629777098</v>
      </c>
      <c r="BT11" s="109"/>
      <c r="BU11" s="112">
        <f>_xll.BDP($C11&amp;" Equity","INTERVAL_AVG", "MARKET_DATA_OVERRIDE=BEST_PE_RATIO", "BEST_FPERIOD_OVERRIDE=1TY ", "CALC_INTERVAL=1Y ")</f>
        <v>23.41831832899361</v>
      </c>
      <c r="BV11" s="109"/>
      <c r="BW11" s="112">
        <f>_xll.BDP($C11&amp;" Equity","INTERVAL_AVG", "MARKET_DATA_OVERRIDE=BEST_PE_RATIO", "BEST_FPERIOD_OVERRIDE=1TY ", "CALC_INTERVAL=2Y ")</f>
        <v>23.983452608216023</v>
      </c>
      <c r="BX11" s="109"/>
      <c r="BY11" s="112">
        <f>_xll.BDP($C11&amp;" Equity","INTERVAL_AVG", "MARKET_DATA_OVERRIDE=BEST_PE_RATIO", "BEST_FPERIOD_OVERRIDE=1TY ", "CALC_INTERVAL=5Y ")</f>
        <v>23.879935954019828</v>
      </c>
      <c r="BZ11" s="109"/>
      <c r="CA11" s="111">
        <f>_xll.BDP($C11&amp;" Equity","BEST_SALES", "BEST_FPERIOD_OVERRIDE=20BC")</f>
        <v>32999</v>
      </c>
      <c r="CB11" s="109"/>
      <c r="CC11" s="111">
        <f>_xll.BDP($C11&amp;" Equity","BEST_SALES", "BEST_FPERIOD_OVERRIDE=21BC")</f>
        <v>38658</v>
      </c>
      <c r="CD11" s="109"/>
      <c r="CE11" s="111">
        <f>_xll.BDP($C11&amp;" Equity","BEST_SALES", "BEST_FPERIOD_OVERRIDE=22BC")</f>
        <v>43004</v>
      </c>
      <c r="CF11" s="109"/>
      <c r="CG11" s="111">
        <f>_xll.BDP($C11&amp;" Equity","BEST_SALES", "BEST_FPERIOD_OVERRIDE=23BC")</f>
        <v>45037.919999999998</v>
      </c>
      <c r="CH11" s="109"/>
      <c r="CI11" s="111">
        <f>_xll.BDP($C11&amp;" Equity","BEST_EBITDA", "BEST_FPERIOD_OVERRIDE=20BC")</f>
        <v>11306</v>
      </c>
      <c r="CJ11" s="109"/>
      <c r="CK11" s="111">
        <f>_xll.BDP($C11&amp;" Equity","BEST_EBITDA", "BEST_FPERIOD_OVERRIDE=21BC")</f>
        <v>12561</v>
      </c>
      <c r="CL11" s="109"/>
      <c r="CM11" s="111">
        <f>_xll.BDP($C11&amp;" Equity","BEST_EBITDA", "BEST_FPERIOD_OVERRIDE=22BC")</f>
        <v>13605</v>
      </c>
      <c r="CN11" s="109"/>
      <c r="CO11" s="111">
        <f>_xll.BDP($C11&amp;" Equity","BEST_EBITDA", "BEST_FPERIOD_OVERRIDE=23BC")</f>
        <v>14499.813</v>
      </c>
      <c r="CP11" s="109"/>
      <c r="CQ11" s="108">
        <f>_xll.BDP($C11&amp;" Equity","BEST_EPS", "BEST_FPERIOD_OVERRIDE=20BC")</f>
        <v>1.95</v>
      </c>
      <c r="CR11" s="109"/>
      <c r="CS11" s="108">
        <f>_xll.BDP($C11&amp;" Equity","BEST_EPS", "BEST_FPERIOD_OVERRIDE=21BC")</f>
        <v>2.3199999999999998</v>
      </c>
      <c r="CT11" s="109"/>
      <c r="CU11" s="108">
        <f>_xll.BDP($C11&amp;" Equity","BEST_EPS", "BEST_FPERIOD_OVERRIDE=22BC")</f>
        <v>2.48</v>
      </c>
      <c r="CV11" s="109"/>
      <c r="CW11" s="108">
        <f>_xll.BDP($C11&amp;" Equity","BEST_EPS", "BEST_FPERIOD_OVERRIDE=23BC")</f>
        <v>2.637</v>
      </c>
      <c r="CY11" s="113">
        <f>(_xll.BDP($C11&amp;" Equity","ORGANIC_GROWTH", "EQY_FUND_YEAR=2020"))/100</f>
        <v>-0.09</v>
      </c>
      <c r="CZ11" s="113"/>
      <c r="DA11" s="113">
        <f>(_xll.BDP($C11&amp;" Equity","ORGANIC_GROWTH", "EQY_FUND_YEAR=2021"))/100</f>
        <v>0.16</v>
      </c>
      <c r="DB11" s="113"/>
      <c r="DC11" s="113">
        <f>(_xll.BDP($C11&amp;" Equity","ORGANIC_GROWTH", "EQY_FUND_YEAR=2022"))/100</f>
        <v>0.16</v>
      </c>
      <c r="DD11" s="113"/>
      <c r="DE11" s="113">
        <f>(_xll.BDP($C11&amp;" Equity","ORGANIC_GROWTH", "EQY_FUND_RELATIVE_PERIOD=-0FY"))/100</f>
        <v>0.16</v>
      </c>
      <c r="DG11" s="108">
        <f>_xll.BDP($C11&amp;" Equity","IS_ADJ_EBIT_OP_INC_AS_REPORTED", "EQY_FUND_YEAR="&amp;DG$5)</f>
        <v>9770</v>
      </c>
      <c r="DH11" s="109"/>
      <c r="DI11" s="108">
        <f>_xll.BDP($C11&amp;" Equity","IS_ADJ_EBIT_OP_INC_AS_REPORTED", "EQY_FUND_YEAR="&amp;DI$5)</f>
        <v>11109</v>
      </c>
      <c r="DJ11" s="109"/>
      <c r="DK11" s="108">
        <f>_xll.BDP($C11&amp;" Equity","IS_ADJ_EBIT_OP_INC_AS_REPORTED", "EQY_FUND_YEAR="&amp;DK$5)</f>
        <v>12345</v>
      </c>
      <c r="DL11" s="109"/>
      <c r="DM11" s="108">
        <f>_xll.BDP($C11&amp;" Equity","IS_ADJ_EBIT_OP_INC_AS_REPORTED", "EQY_FUND_YEAR=-0FY")</f>
        <v>12345</v>
      </c>
      <c r="DO11" s="108">
        <f>_xll.BDP($C11&amp;" Equity","IS_ADJUSTED_EPS_AS_REPORTED", "EQY_FUND_YEAR="&amp;DO$5)</f>
        <v>1.95</v>
      </c>
      <c r="DP11" s="109"/>
      <c r="DQ11" s="108">
        <f>_xll.BDP($C11&amp;" Equity","IS_ADJUSTED_EPS_AS_REPORTED", "EQY_FUND_YEAR="&amp;DQ$5)</f>
        <v>2.3199999999999998</v>
      </c>
      <c r="DR11" s="109"/>
      <c r="DS11" s="108">
        <f>_xll.BDP($C11&amp;" Equity","IS_ADJUSTED_EPS_AS_REPORTED", "EQY_FUND_YEAR="&amp;DS$5)</f>
        <v>2.48</v>
      </c>
      <c r="DT11" s="109"/>
      <c r="DU11" s="108">
        <f>_xll.BDP($C11&amp;" Equity","IS_ADJUSTED_EPS_AS_REPORTED", "EQY_FUND_YEAR=-0FY")</f>
        <v>2.48</v>
      </c>
    </row>
    <row r="12" spans="1:125">
      <c r="A12" t="s">
        <v>355</v>
      </c>
      <c r="C12" s="23" t="s">
        <v>348</v>
      </c>
      <c r="E12" s="56" cm="1">
        <f t="array" ref="E12">_xll.BDP($C12&amp;" Equity","PX_LAST")</f>
        <v>175.79</v>
      </c>
      <c r="G12" s="102">
        <f ca="1">E12/BA12</f>
        <v>0.89633897613705893</v>
      </c>
      <c r="I12" s="103">
        <f>+E12*BC12</f>
        <v>241989.17398999998</v>
      </c>
      <c r="K12" s="103">
        <f>+I12+BF12+BH12-BJ12</f>
        <v>279296.17398999998</v>
      </c>
      <c r="M12" s="104">
        <f>+K12/BM12</f>
        <v>16.121329994465686</v>
      </c>
      <c r="N12" s="23"/>
      <c r="O12" s="102">
        <f>$M12/BO12-1</f>
        <v>-6.331906887828076E-2</v>
      </c>
      <c r="P12" s="23"/>
      <c r="Q12" s="102">
        <f>$M12/BQ12-1</f>
        <v>-6.7754503482767681E-2</v>
      </c>
      <c r="R12" s="23"/>
      <c r="S12" s="104">
        <f>+E12/BL12</f>
        <v>22.514088114754099</v>
      </c>
      <c r="T12" s="23"/>
      <c r="U12" s="102">
        <f>+$S12/BU12-1</f>
        <v>-7.9545855677563559E-2</v>
      </c>
      <c r="V12" s="23"/>
      <c r="W12" s="102">
        <f>+$S12/BW12-1</f>
        <v>-8.9049366556965381E-2</v>
      </c>
      <c r="X12" s="23"/>
      <c r="Y12" s="102">
        <f>(CG12/CC12)^(1/2)-1</f>
        <v>7.8549964265502981E-2</v>
      </c>
      <c r="AA12" s="102">
        <f>(CO12/CK12)^(1/2)-1</f>
        <v>8.8642026261339879E-2</v>
      </c>
      <c r="AC12" s="102">
        <f>(CW12/CS12)^(1/2)-1</f>
        <v>9.3328592940189914E-2</v>
      </c>
      <c r="AD12" s="23"/>
      <c r="AE12" s="105">
        <f t="shared" si="0"/>
        <v>0.10100000000000002</v>
      </c>
      <c r="AG12" s="102">
        <f>(DK12/DG12)^(1/2)-1</f>
        <v>8.1829095737579571E-2</v>
      </c>
      <c r="AI12" s="102">
        <f t="shared" si="2"/>
        <v>0.10908631934945268</v>
      </c>
      <c r="AJ12" s="102"/>
      <c r="AK12" s="106" cm="1">
        <f t="array" ref="AK12">_xll.VAData("PEP", "3QFY-2023", "Volume impact - PBNA", "Consensus", "CD", "IMPL","","")/100</f>
        <v>-2.863636363636364E-2</v>
      </c>
      <c r="AL12" s="106" cm="1">
        <f t="array" ref="AL12">_xll.VAData("PEP", "3QFY-2023", "Price/mix impact - PBNA", "Consensus", "CD", "IMPL","","")/100</f>
        <v>9.1363636363636369E-2</v>
      </c>
      <c r="AM12" s="106" cm="1">
        <f t="array" ref="AM12">_xll.VAData("PEP", "FY-2023", "Volume impact - PBNA", "Consensus", "CD", "IMPL","","")/100</f>
        <v>-2.9048974848646259E-2</v>
      </c>
      <c r="AN12" s="106" cm="1">
        <f t="array" ref="AN12">_xll.VAData("PEP", "FY-2023", "Price/mix impact - PBNA", "Consensus", "CD", "IMPL","","")/100</f>
        <v>0.10265736177778673</v>
      </c>
      <c r="AO12" s="106" cm="1">
        <f t="array" ref="AO12">_xll.VAData("PEP", "FY-2024", "Volume impact - PBNA", "Consensus", "CD", "IMPL","","")/100</f>
        <v>1.0999089308568698E-2</v>
      </c>
      <c r="AP12" s="106" cm="1">
        <f t="array" ref="AP12">_xll.VAData("PEP", "FY-2024", "Price/mix impact - PBNA", "Consensus", "CD", "IMPL","","")/100</f>
        <v>2.9109952853566479E-2</v>
      </c>
      <c r="AQ12" s="102" t="s">
        <v>364</v>
      </c>
      <c r="AR12" s="102"/>
      <c r="AS12" s="107" cm="1">
        <f t="array" ref="AS12">_xll.BDP(C12&amp;" US Equity", "INVENT_TURN")</f>
        <v>7.4337242359630418</v>
      </c>
      <c r="AT12" s="102"/>
      <c r="AU12" s="102">
        <f>+CO12/CG12</f>
        <v>0.18105990626991827</v>
      </c>
      <c r="AV12" s="23"/>
      <c r="AW12" s="104">
        <f t="shared" si="4"/>
        <v>2.6314783347493629</v>
      </c>
      <c r="BA12" s="108">
        <f ca="1">_xll.BDP($C12&amp;" Equity","INTERVAL_HIGH","CALC_INTERVAL=52W","END_DATE_OVERRIDE",TEXT($E$5,"YYYYMMDD"))</f>
        <v>196.12</v>
      </c>
      <c r="BB12" s="109"/>
      <c r="BC12" s="110">
        <f>_xll.BDP($C12&amp;" Equity","EQY_SH_OUT")</f>
        <v>1376.5809999999999</v>
      </c>
      <c r="BD12" s="110">
        <f>_xll.BDP($C12&amp;" Equity","BS_SH_OUT")</f>
        <v>1377</v>
      </c>
      <c r="BE12" s="109"/>
      <c r="BF12" s="111">
        <f>_xll.BDP($C12&amp;" Equity","SHORT_AND_LONG_TERM_DEBT", "FUND_PER=Q")</f>
        <v>43621</v>
      </c>
      <c r="BG12" s="109"/>
      <c r="BH12" s="111">
        <f>(_xll.BDP($C12&amp;" Equity","BS_PFD_EQY", "FUND_PER=Q"))+(_xll.BDP($C12&amp;" Equity","MINORITY_NONCONTROLLING_INTEREST", "FUND_PER=Q"))</f>
        <v>140</v>
      </c>
      <c r="BI12" s="109"/>
      <c r="BJ12" s="111">
        <f>_xll.BDP($C12&amp;" Equity","CASH_AND_MARKETABLE_SECURITIES", "FUND_PER=Q")</f>
        <v>6454</v>
      </c>
      <c r="BK12" s="109"/>
      <c r="BL12" s="108">
        <f>_xll.BDP($C12&amp;" Equity","BEST_EPS", "BEST_FPERIOD_OVERRIDE=1TY")</f>
        <v>7.8079999999999998</v>
      </c>
      <c r="BM12" s="111">
        <f>_xll.BDP($C12&amp;" Equity","BEST_EBITDA", "BEST_FPERIOD_OVERRIDE=1TY")</f>
        <v>17324.635999999999</v>
      </c>
      <c r="BN12" s="109"/>
      <c r="BO12" s="112">
        <f>_xll.BDP($C12&amp;" Equity","INTERVAL_AVG", "MARKET_DATA_OVERRIDE=BEST_CUR_EV_TO_EBITDA", "BEST_FPERIOD_OVERRIDE=1TY ", "CALC_INTERVAL=1Y ")</f>
        <v>17.211122228312728</v>
      </c>
      <c r="BP12" s="109"/>
      <c r="BQ12" s="112">
        <f>_xll.BDP($C12&amp;" Equity","INTERVAL_AVG", "MARKET_DATA_OVERRIDE=BEST_CUR_EV_TO_EBITDA", "BEST_FPERIOD_OVERRIDE=1TY ", "CALC_INTERVAL=2Y ")</f>
        <v>17.2930092499167</v>
      </c>
      <c r="BR12" s="109"/>
      <c r="BS12" s="112">
        <f>_xll.BDP($C12&amp;" Equity","INTERVAL_AVG", "MARKET_DATA_OVERRIDE=BEST_CUR_EV_TO_EBITDA", "BEST_FPERIOD_OVERRIDE=1TY ", "CALC_INTERVAL=5Y ")</f>
        <v>16.300248181343164</v>
      </c>
      <c r="BT12" s="109"/>
      <c r="BU12" s="112">
        <f>_xll.BDP($C12&amp;" Equity","INTERVAL_AVG", "MARKET_DATA_OVERRIDE=BEST_PE_RATIO", "BEST_FPERIOD_OVERRIDE=1TY ", "CALC_INTERVAL=1Y ")</f>
        <v>24.459760710108096</v>
      </c>
      <c r="BV12" s="109"/>
      <c r="BW12" s="112">
        <f>_xll.BDP($C12&amp;" Equity","INTERVAL_AVG", "MARKET_DATA_OVERRIDE=BEST_PE_RATIO", "BEST_FPERIOD_OVERRIDE=1TY ", "CALC_INTERVAL=2Y ")</f>
        <v>24.714937657663963</v>
      </c>
      <c r="BX12" s="109"/>
      <c r="BY12" s="112">
        <f>_xll.BDP($C12&amp;" Equity","INTERVAL_AVG", "MARKET_DATA_OVERRIDE=BEST_PE_RATIO", "BEST_FPERIOD_OVERRIDE=1TY ", "CALC_INTERVAL=5Y ")</f>
        <v>23.613257033214875</v>
      </c>
      <c r="BZ12" s="109"/>
      <c r="CA12" s="111">
        <f>_xll.BDP($C12&amp;" Equity","BEST_SALES", "BEST_FPERIOD_OVERRIDE=20BC")</f>
        <v>70372</v>
      </c>
      <c r="CB12" s="109"/>
      <c r="CC12" s="111">
        <f>_xll.BDP($C12&amp;" Equity","BEST_SALES", "BEST_FPERIOD_OVERRIDE=21BC")</f>
        <v>79474</v>
      </c>
      <c r="CD12" s="109"/>
      <c r="CE12" s="111">
        <f>_xll.BDP($C12&amp;" Equity","BEST_SALES", "BEST_FPERIOD_OVERRIDE=22BC")</f>
        <v>86392</v>
      </c>
      <c r="CF12" s="109"/>
      <c r="CG12" s="111">
        <f>_xll.BDP($C12&amp;" Equity","BEST_SALES", "BEST_FPERIOD_OVERRIDE=23BC")</f>
        <v>92449.722000000009</v>
      </c>
      <c r="CH12" s="109"/>
      <c r="CI12" s="111">
        <f>_xll.BDP($C12&amp;" Equity","BEST_EBITDA", "BEST_FPERIOD_OVERRIDE=20BC")</f>
        <v>13079</v>
      </c>
      <c r="CJ12" s="109"/>
      <c r="CK12" s="111">
        <f>_xll.BDP($C12&amp;" Equity","BEST_EBITDA", "BEST_FPERIOD_OVERRIDE=21BC")</f>
        <v>14124</v>
      </c>
      <c r="CL12" s="109"/>
      <c r="CM12" s="111">
        <f>_xll.BDP($C12&amp;" Equity","BEST_EBITDA", "BEST_FPERIOD_OVERRIDE=22BC")</f>
        <v>15088</v>
      </c>
      <c r="CN12" s="109"/>
      <c r="CO12" s="111">
        <f>_xll.BDP($C12&amp;" Equity","BEST_EBITDA", "BEST_FPERIOD_OVERRIDE=23BC")</f>
        <v>16738.938000000002</v>
      </c>
      <c r="CP12" s="109"/>
      <c r="CQ12" s="108">
        <f>_xll.BDP($C12&amp;" Equity","BEST_EPS", "BEST_FPERIOD_OVERRIDE=20BC")</f>
        <v>5.52</v>
      </c>
      <c r="CR12" s="109"/>
      <c r="CS12" s="108">
        <f>_xll.BDP($C12&amp;" Equity","BEST_EPS", "BEST_FPERIOD_OVERRIDE=21BC")</f>
        <v>6.26</v>
      </c>
      <c r="CT12" s="109"/>
      <c r="CU12" s="108">
        <f>_xll.BDP($C12&amp;" Equity","BEST_EPS", "BEST_FPERIOD_OVERRIDE=22BC")</f>
        <v>6.79</v>
      </c>
      <c r="CV12" s="109"/>
      <c r="CW12" s="108">
        <f>_xll.BDP($C12&amp;" Equity","BEST_EPS", "BEST_FPERIOD_OVERRIDE=23BC")</f>
        <v>7.4830000000000005</v>
      </c>
      <c r="CY12" s="113">
        <f>(_xll.BDP($C12&amp;" Equity","ORGANIC_GROWTH", "EQY_FUND_YEAR=2020"))/100</f>
        <v>4.2999999999999997E-2</v>
      </c>
      <c r="CZ12" s="113"/>
      <c r="DA12" s="113">
        <f>(_xll.BDP($C12&amp;" Equity","ORGANIC_GROWTH", "EQY_FUND_YEAR=2021"))/100</f>
        <v>9.5000000000000001E-2</v>
      </c>
      <c r="DB12" s="113"/>
      <c r="DC12" s="113">
        <f>(_xll.BDP($C12&amp;" Equity","ORGANIC_GROWTH", "EQY_FUND_YEAR=2022"))/100</f>
        <v>0.14400000000000002</v>
      </c>
      <c r="DD12" s="113"/>
      <c r="DE12" s="113">
        <f>(_xll.BDP($C12&amp;" Equity","ORGANIC_GROWTH", "EQY_FUND_RELATIVE_PERIOD=-0FY"))/100</f>
        <v>0.14400000000000002</v>
      </c>
      <c r="DG12" s="108">
        <f>_xll.BDP($C12&amp;" Equity","IS_ADJ_EBIT_OP_INC_AS_REPORTED", "EQY_FUND_YEAR="&amp;DG$5)</f>
        <v>10531</v>
      </c>
      <c r="DH12" s="109"/>
      <c r="DI12" s="108">
        <f>_xll.BDP($C12&amp;" Equity","IS_ADJ_EBIT_OP_INC_AS_REPORTED", "EQY_FUND_YEAR="&amp;DI$5)</f>
        <v>11414</v>
      </c>
      <c r="DJ12" s="109"/>
      <c r="DK12" s="108">
        <f>_xll.BDP($C12&amp;" Equity","IS_ADJ_EBIT_OP_INC_AS_REPORTED", "EQY_FUND_YEAR="&amp;DK$5)</f>
        <v>12325</v>
      </c>
      <c r="DL12" s="109"/>
      <c r="DM12" s="108">
        <f>_xll.BDP($C12&amp;" Equity","IS_ADJ_EBIT_OP_INC_AS_REPORTED", "EQY_FUND_YEAR=-0FY")</f>
        <v>12325</v>
      </c>
      <c r="DO12" s="108">
        <f>_xll.BDP($C12&amp;" Equity","IS_ADJUSTED_EPS_AS_REPORTED", "EQY_FUND_YEAR="&amp;DO$5)</f>
        <v>5.52</v>
      </c>
      <c r="DP12" s="109"/>
      <c r="DQ12" s="108">
        <f>_xll.BDP($C12&amp;" Equity","IS_ADJUSTED_EPS_AS_REPORTED", "EQY_FUND_YEAR="&amp;DQ$5)</f>
        <v>6.26</v>
      </c>
      <c r="DR12" s="109"/>
      <c r="DS12" s="108">
        <f>_xll.BDP($C12&amp;" Equity","IS_ADJUSTED_EPS_AS_REPORTED", "EQY_FUND_YEAR="&amp;DS$5)</f>
        <v>6.79</v>
      </c>
      <c r="DT12" s="109"/>
      <c r="DU12" s="108">
        <f>_xll.BDP($C12&amp;" Equity","IS_ADJUSTED_EPS_AS_REPORTED", "EQY_FUND_YEAR=-0FY")</f>
        <v>6.79</v>
      </c>
    </row>
    <row r="13" spans="1:125">
      <c r="A13" t="s">
        <v>356</v>
      </c>
      <c r="C13" s="23" t="s">
        <v>360</v>
      </c>
      <c r="E13" s="56" cm="1">
        <f t="array" ref="E13">_xll.BDP($C13&amp;" Equity","PX_LAST")</f>
        <v>129.28</v>
      </c>
      <c r="G13" s="102">
        <f ca="1">E13/BA13</f>
        <v>0.79512885171289749</v>
      </c>
      <c r="I13" s="103">
        <f>+E13*BC13</f>
        <v>13204.930688</v>
      </c>
      <c r="K13" s="103">
        <f>+I13+BF13+BH13-BJ13</f>
        <v>16999.230688</v>
      </c>
      <c r="M13" s="104">
        <f>+K13/BM13</f>
        <v>9.8219833376956469</v>
      </c>
      <c r="N13" s="23"/>
      <c r="O13" s="102">
        <f>$M13/BO13-1</f>
        <v>-0.15995834951141907</v>
      </c>
      <c r="P13" s="23"/>
      <c r="Q13" s="102">
        <f>$M13/BQ13-1</f>
        <v>-0.15075779841009318</v>
      </c>
      <c r="R13" s="23"/>
      <c r="S13" s="104">
        <f>+E13/BL13</f>
        <v>13.24047521507579</v>
      </c>
      <c r="T13" s="23"/>
      <c r="U13" s="102">
        <f>+$S13/BU13-1</f>
        <v>-0.17822887201497362</v>
      </c>
      <c r="V13" s="23"/>
      <c r="W13" s="102">
        <f>+$S13/BW13-1</f>
        <v>-0.16094744123531635</v>
      </c>
      <c r="X13" s="23"/>
      <c r="Y13" s="102">
        <f>(CG13/CC13)^(1/2)-1</f>
        <v>8.3146759699750383E-3</v>
      </c>
      <c r="AA13" s="102">
        <f>(CO13/CK13)^(1/2)-1</f>
        <v>3.1111719372882263E-2</v>
      </c>
      <c r="AC13" s="102">
        <f>(CW13/CS13)^(1/2)-1</f>
        <v>6.3906741823199775E-2</v>
      </c>
      <c r="AD13" s="23"/>
      <c r="AE13" s="105" t="str">
        <f t="shared" si="0"/>
        <v/>
      </c>
      <c r="AG13" s="102">
        <f t="shared" ref="AG13:AG15" si="5">(DK13/DG13)^(1/2)-1</f>
        <v>-2.2999288433046661E-2</v>
      </c>
      <c r="AI13" s="102">
        <f t="shared" si="2"/>
        <v>6.8260178089292189E-3</v>
      </c>
      <c r="AJ13" s="102"/>
      <c r="AK13" s="106" cm="1">
        <f t="array" ref="AK13">_xll.VAData("SJM", "1QFY-2024", "Volume/Mix - US retail coffee", "Consensus", "CD", "IMPL","","")/100</f>
        <v>4.1500000000000002E-2</v>
      </c>
      <c r="AL13" s="106" cm="1">
        <f t="array" ref="AL13">_xll.VAData("SJM", "1QFY-2024", "Price - US retail coffee", "Consensus", "CD", "IMPL","","")/100</f>
        <v>2.9154262166666699E-3</v>
      </c>
      <c r="AM13" s="106" cm="1">
        <f t="array" ref="AM13">_xll.VAData("SJM", "FY-2024", "Volume/Mix - US retail coffee", "Consensus", "CD", "IMPL","","")/100</f>
        <v>2.9885301649999998E-2</v>
      </c>
      <c r="AN13" s="106" cm="1">
        <f t="array" ref="AN13">_xll.VAData("SJM", "FY-2024", "Price - US retail coffee", "Consensus", "CD", "IMPL","","")/100</f>
        <v>-2.648806711666667E-2</v>
      </c>
      <c r="AO13" s="106" cm="1">
        <f t="array" ref="AO13">_xll.VAData("SJM", "FY-2025", "Volume/Mix - US retail coffee", "Consensus", "CD", "IMPL","","")/100</f>
        <v>1.6310233933333328E-2</v>
      </c>
      <c r="AP13" s="106" cm="1">
        <f t="array" ref="AP13">_xll.VAData("SJM", "FY-2025", "Price - US retail coffee", "Consensus", "CD", "IMPL","","")/100</f>
        <v>-7.1311366166666697E-3</v>
      </c>
      <c r="AQ13" s="102" t="s">
        <v>365</v>
      </c>
      <c r="AR13" s="102"/>
      <c r="AS13" s="107" cm="1">
        <f t="array" ref="AS13">_xll.BDP(C13&amp;" US Equity", "INVENT_TURN")</f>
        <v>4.6191505278031757</v>
      </c>
      <c r="AT13" s="102"/>
      <c r="AU13" s="102">
        <f t="shared" ref="AU13:AU15" si="6">+CO13/CG13</f>
        <v>0.21064761124921041</v>
      </c>
      <c r="AV13" s="23"/>
      <c r="AW13" s="104">
        <f t="shared" si="4"/>
        <v>2.3868025413600056</v>
      </c>
      <c r="BA13" s="108">
        <f ca="1">_xll.BDP($C13&amp;" Equity","INTERVAL_HIGH","CALC_INTERVAL=52W","END_DATE_OVERRIDE",TEXT($E$5,"YYYYMMDD"))</f>
        <v>162.59</v>
      </c>
      <c r="BB13" s="109"/>
      <c r="BC13" s="110">
        <f>_xll.BDP($C13&amp;" Equity","EQY_SH_OUT")</f>
        <v>102.1421</v>
      </c>
      <c r="BD13" s="110">
        <f>_xll.BDP($C13&amp;" Equity","BS_SH_OUT")</f>
        <v>104.398618</v>
      </c>
      <c r="BE13" s="109"/>
      <c r="BF13" s="111">
        <f>_xll.BDP($C13&amp;" Equity","SHORT_AND_LONG_TERM_DEBT", "FUND_PER=Q")</f>
        <v>4495.2000000000007</v>
      </c>
      <c r="BG13" s="109"/>
      <c r="BH13" s="111">
        <f>(_xll.BDP($C13&amp;" Equity","BS_PFD_EQY", "FUND_PER=Q"))+(_xll.BDP($C13&amp;" Equity","MINORITY_NONCONTROLLING_INTEREST", "FUND_PER=Q"))</f>
        <v>0</v>
      </c>
      <c r="BI13" s="109"/>
      <c r="BJ13" s="111">
        <f>_xll.BDP($C13&amp;" Equity","CASH_AND_MARKETABLE_SECURITIES", "FUND_PER=Q")</f>
        <v>700.9</v>
      </c>
      <c r="BK13" s="109"/>
      <c r="BL13" s="108">
        <f>_xll.BDP($C13&amp;" Equity","BEST_EPS", "BEST_FPERIOD_OVERRIDE=1TY")</f>
        <v>9.7639999999999993</v>
      </c>
      <c r="BM13" s="111">
        <f>_xll.BDP($C13&amp;" Equity","BEST_EBITDA", "BEST_FPERIOD_OVERRIDE=1TY")</f>
        <v>1730.7329999999999</v>
      </c>
      <c r="BN13" s="109"/>
      <c r="BO13" s="112">
        <f>_xll.BDP($C13&amp;" Equity","INTERVAL_AVG", "MARKET_DATA_OVERRIDE=BEST_CUR_EV_TO_EBITDA", "BEST_FPERIOD_OVERRIDE=1TY ", "CALC_INTERVAL=1Y ")</f>
        <v>11.69225755887584</v>
      </c>
      <c r="BP13" s="109"/>
      <c r="BQ13" s="112">
        <f>_xll.BDP($C13&amp;" Equity","INTERVAL_AVG", "MARKET_DATA_OVERRIDE=BEST_CUR_EV_TO_EBITDA", "BEST_FPERIOD_OVERRIDE=1TY ", "CALC_INTERVAL=2Y ")</f>
        <v>11.565585552987644</v>
      </c>
      <c r="BR13" s="109"/>
      <c r="BS13" s="112">
        <f>_xll.BDP($C13&amp;" Equity","INTERVAL_AVG", "MARKET_DATA_OVERRIDE=BEST_CUR_EV_TO_EBITDA", "BEST_FPERIOD_OVERRIDE=1TY ", "CALC_INTERVAL=5Y ")</f>
        <v>11.212977350068545</v>
      </c>
      <c r="BT13" s="109"/>
      <c r="BU13" s="112">
        <f>_xll.BDP($C13&amp;" Equity","INTERVAL_AVG", "MARKET_DATA_OVERRIDE=BEST_PE_RATIO", "BEST_FPERIOD_OVERRIDE=1TY ", "CALC_INTERVAL=1Y ")</f>
        <v>16.11212022931651</v>
      </c>
      <c r="BV13" s="109"/>
      <c r="BW13" s="112">
        <f>_xll.BDP($C13&amp;" Equity","INTERVAL_AVG", "MARKET_DATA_OVERRIDE=BEST_PE_RATIO", "BEST_FPERIOD_OVERRIDE=1TY ", "CALC_INTERVAL=2Y ")</f>
        <v>15.78026915807207</v>
      </c>
      <c r="BX13" s="109"/>
      <c r="BY13" s="112">
        <f>_xll.BDP($C13&amp;" Equity","INTERVAL_AVG", "MARKET_DATA_OVERRIDE=BEST_PE_RATIO", "BEST_FPERIOD_OVERRIDE=1TY ", "CALC_INTERVAL=5Y ")</f>
        <v>14.560406701547526</v>
      </c>
      <c r="BZ13" s="109"/>
      <c r="CA13" s="111">
        <f>_xll.BDP($C13&amp;" Equity","BEST_SALES", "BEST_FPERIOD_OVERRIDE=20BC")</f>
        <v>8139.7</v>
      </c>
      <c r="CB13" s="109"/>
      <c r="CC13" s="111">
        <f>_xll.BDP($C13&amp;" Equity","BEST_SALES", "BEST_FPERIOD_OVERRIDE=21BC")</f>
        <v>7891.833333333333</v>
      </c>
      <c r="CD13" s="109"/>
      <c r="CE13" s="111">
        <f>_xll.BDP($C13&amp;" Equity","BEST_SALES", "BEST_FPERIOD_OVERRIDE=22BC")</f>
        <v>8275.1333333333332</v>
      </c>
      <c r="CF13" s="109"/>
      <c r="CG13" s="111">
        <f>_xll.BDP($C13&amp;" Equity","BEST_SALES", "BEST_FPERIOD_OVERRIDE=23BC")</f>
        <v>8023.6149999999998</v>
      </c>
      <c r="CH13" s="109"/>
      <c r="CI13" s="111">
        <f>_xll.BDP($C13&amp;" Equity","BEST_EBITDA", "BEST_FPERIOD_OVERRIDE=20BC")</f>
        <v>1886.3666666666668</v>
      </c>
      <c r="CJ13" s="109"/>
      <c r="CK13" s="111">
        <f>_xll.BDP($C13&amp;" Equity","BEST_EBITDA", "BEST_FPERIOD_OVERRIDE=21BC")</f>
        <v>1589.7</v>
      </c>
      <c r="CL13" s="109"/>
      <c r="CM13" s="111">
        <f>_xll.BDP($C13&amp;" Equity","BEST_EBITDA", "BEST_FPERIOD_OVERRIDE=22BC")</f>
        <v>1532.5333333333333</v>
      </c>
      <c r="CN13" s="109"/>
      <c r="CO13" s="111">
        <f>_xll.BDP($C13&amp;" Equity","BEST_EBITDA", "BEST_FPERIOD_OVERRIDE=23BC")</f>
        <v>1690.1553333333334</v>
      </c>
      <c r="CP13" s="109"/>
      <c r="CQ13" s="108">
        <f>_xll.BDP($C13&amp;" Equity","BEST_EPS", "BEST_FPERIOD_OVERRIDE=20BC")</f>
        <v>9.7466666666666661</v>
      </c>
      <c r="CR13" s="109"/>
      <c r="CS13" s="108">
        <f>_xll.BDP($C13&amp;" Equity","BEST_EPS", "BEST_FPERIOD_OVERRIDE=21BC")</f>
        <v>8.59</v>
      </c>
      <c r="CT13" s="109"/>
      <c r="CU13" s="108">
        <f>_xll.BDP($C13&amp;" Equity","BEST_EPS", "BEST_FPERIOD_OVERRIDE=22BC")</f>
        <v>8.5499999999999989</v>
      </c>
      <c r="CV13" s="109"/>
      <c r="CW13" s="108">
        <f>_xll.BDP($C13&amp;" Equity","BEST_EPS", "BEST_FPERIOD_OVERRIDE=23BC")</f>
        <v>9.7230000000000008</v>
      </c>
      <c r="CY13" s="113">
        <f>(_xll.BDP($C13&amp;" Equity","ORGANIC_GROWTH", "EQY_FUND_YEAR=2020"))/100</f>
        <v>0.01</v>
      </c>
      <c r="CZ13" s="113"/>
      <c r="DA13" s="113" t="e">
        <f>(_xll.BDP($C13&amp;" Equity","ORGANIC_GROWTH", "EQY_FUND_YEAR=2021"))/100</f>
        <v>#VALUE!</v>
      </c>
      <c r="DB13" s="113"/>
      <c r="DC13" s="113" t="e">
        <f>(_xll.BDP($C13&amp;" Equity","ORGANIC_GROWTH", "EQY_FUND_YEAR=2022"))/100</f>
        <v>#VALUE!</v>
      </c>
      <c r="DD13" s="113"/>
      <c r="DE13" s="113">
        <f>(_xll.BDP($C13&amp;" Equity","ORGANIC_GROWTH", "EQY_FUND_RELATIVE_PERIOD=-0FY"))/100</f>
        <v>0.09</v>
      </c>
      <c r="DG13" s="108">
        <f>_xll.BDP($C13&amp;" Equity","IS_ADJ_EBIT_OP_INC_AS_REPORTED", "EQY_FUND_YEAR="&amp;DG$5)</f>
        <v>1508.6999999999998</v>
      </c>
      <c r="DH13" s="109"/>
      <c r="DI13" s="108">
        <f>_xll.BDP($C13&amp;" Equity","IS_ADJ_EBIT_OP_INC_AS_REPORTED", "EQY_FUND_YEAR="&amp;DI$5)</f>
        <v>1528.8</v>
      </c>
      <c r="DJ13" s="109"/>
      <c r="DK13" s="108">
        <f>_xll.BDP($C13&amp;" Equity","IS_ADJ_EBIT_OP_INC_AS_REPORTED", "EQY_FUND_YEAR="&amp;DK$5)</f>
        <v>1440.1</v>
      </c>
      <c r="DL13" s="109"/>
      <c r="DM13" s="108">
        <f>_xll.BDP($C13&amp;" Equity","IS_ADJ_EBIT_OP_INC_AS_REPORTED", "EQY_FUND_YEAR=-0FY")</f>
        <v>1415.3999999999999</v>
      </c>
      <c r="DO13" s="108">
        <f>_xll.BDP($C13&amp;" Equity","IS_ADJUSTED_EPS_AS_REPORTED", "EQY_FUND_YEAR="&amp;DO$5)</f>
        <v>8.76</v>
      </c>
      <c r="DP13" s="109"/>
      <c r="DQ13" s="108">
        <f>_xll.BDP($C13&amp;" Equity","IS_ADJUSTED_EPS_AS_REPORTED", "EQY_FUND_YEAR="&amp;DQ$5)</f>
        <v>9.1199999999999992</v>
      </c>
      <c r="DR13" s="109"/>
      <c r="DS13" s="108">
        <f>_xll.BDP($C13&amp;" Equity","IS_ADJUSTED_EPS_AS_REPORTED", "EQY_FUND_YEAR="&amp;DS$5)</f>
        <v>8.8800000000000008</v>
      </c>
      <c r="DT13" s="109"/>
      <c r="DU13" s="108">
        <f>_xll.BDP($C13&amp;" Equity","IS_ADJUSTED_EPS_AS_REPORTED", "EQY_FUND_YEAR=-0FY")</f>
        <v>8.92</v>
      </c>
    </row>
    <row r="14" spans="1:125">
      <c r="A14" t="s">
        <v>357</v>
      </c>
      <c r="C14" s="23" t="s">
        <v>361</v>
      </c>
      <c r="E14" s="56" cm="1">
        <f t="array" ref="E14">_xll.BDP($C14&amp;" Equity","PX_LAST")</f>
        <v>93.564999999999998</v>
      </c>
      <c r="G14" s="102">
        <f ca="1">E14/BA14</f>
        <v>0.8167335893854748</v>
      </c>
      <c r="I14" s="103">
        <f>+E14*BC14</f>
        <v>107169.35099999998</v>
      </c>
      <c r="K14" s="103">
        <f>+I14+BF14+BH14-BJ14</f>
        <v>127927.55099999998</v>
      </c>
      <c r="M14" s="104">
        <f>+K14/BM14</f>
        <v>16.276090813495681</v>
      </c>
      <c r="N14" s="23"/>
      <c r="O14" s="102">
        <f>$M14/BO14-1</f>
        <v>-4.6882860150477823E-2</v>
      </c>
      <c r="P14" s="23"/>
      <c r="Q14" s="102">
        <f>$M14/BQ14-1</f>
        <v>-4.2961700595788188E-2</v>
      </c>
      <c r="R14" s="23"/>
      <c r="S14" s="104">
        <f>+E14/BL14</f>
        <v>23.862535067584798</v>
      </c>
      <c r="T14" s="23"/>
      <c r="U14" s="102">
        <f>+$S14/BU14-1</f>
        <v>-0.13180067919070559</v>
      </c>
      <c r="V14" s="23"/>
      <c r="W14" s="102">
        <f>+$S14/BW14-1</f>
        <v>-0.13043448456300766</v>
      </c>
      <c r="X14" s="23"/>
      <c r="Y14" s="102">
        <f>(CG14/CC14)^(1/2)-1</f>
        <v>0.10309985239741137</v>
      </c>
      <c r="AA14" s="102">
        <f>(CO14/CK14)^(1/2)-1</f>
        <v>6.0745501270099478E-2</v>
      </c>
      <c r="AC14" s="102">
        <f>(CW14/CS14)^(1/2)-1</f>
        <v>4.4530888063825103E-2</v>
      </c>
      <c r="AD14" s="23"/>
      <c r="AE14" s="105" t="str">
        <f t="shared" si="0"/>
        <v/>
      </c>
      <c r="AG14" s="102">
        <f t="shared" si="5"/>
        <v>0.50861641752250963</v>
      </c>
      <c r="AI14" s="102">
        <f t="shared" si="2"/>
        <v>0.59057050454059734</v>
      </c>
      <c r="AJ14" s="102"/>
      <c r="AK14" s="106" cm="1">
        <f t="array" ref="AK14">_xll.VAData("SBUX", "4QFY-2023", "SSS - North Americas - Transaction", "Consensus", "CD", "IMPL","","")/100</f>
        <v>1.4750000000000001E-2</v>
      </c>
      <c r="AL14" s="106" cm="1">
        <f t="array" ref="AL14">_xll.VAData("SBUX", "4QFY-2023", "SSS - North Americas - Ticket", "Consensus", "CD", "IMPL","","")/100</f>
        <v>4.0999999999999995E-2</v>
      </c>
      <c r="AM14" s="106" cm="1">
        <f t="array" ref="AM14">_xll.VAData("SBUX", "FY-2023", "SSS - North Americas - Transaction", "Consensus", "CD", "IMPL","","")/100</f>
        <v>2.3958322628328893E-2</v>
      </c>
      <c r="AN14" s="106" cm="1">
        <f t="array" ref="AN14">_xll.VAData("SBUX", "FY-2023", "SSS - North Americas - Ticket", "Consensus", "CD", "IMPL","","")/100</f>
        <v>5.9716953535953375E-2</v>
      </c>
      <c r="AO14" s="106" cm="1">
        <f t="array" ref="AO14">_xll.VAData("SBUX", "FY-2024", "SSS - North Americas - Transaction", "Consensus", "CD", "IMPL","","")/100</f>
        <v>1.9817328077777779E-2</v>
      </c>
      <c r="AP14" s="106" cm="1">
        <f t="array" ref="AP14">_xll.VAData("SBUX", "FY-2024", "SSS - North Americas - Ticket", "Consensus", "CD", "IMPL","","")/100</f>
        <v>3.3871249366666668E-2</v>
      </c>
      <c r="AQ14" s="102" t="s">
        <v>368</v>
      </c>
      <c r="AR14" s="102"/>
      <c r="AS14" s="107" cm="1">
        <f t="array" ref="AS14">_xll.BDP(C14&amp;" US Equity", "INVENT_TURN")</f>
        <v>12.490934245976845</v>
      </c>
      <c r="AT14" s="102"/>
      <c r="AU14" s="102">
        <f t="shared" si="6"/>
        <v>0.20980298652446711</v>
      </c>
      <c r="AV14" s="23"/>
      <c r="AW14" s="104">
        <f t="shared" si="4"/>
        <v>3.0123098362559517</v>
      </c>
      <c r="BA14" s="108">
        <f ca="1">_xll.BDP($C14&amp;" Equity","INTERVAL_HIGH","CALC_INTERVAL=52W","END_DATE_OVERRIDE",TEXT($E$5,"YYYYMMDD"))</f>
        <v>114.56</v>
      </c>
      <c r="BB14" s="109"/>
      <c r="BC14" s="110">
        <f>_xll.BDP($C14&amp;" Equity","EQY_SH_OUT")</f>
        <v>1145.3999999999999</v>
      </c>
      <c r="BD14" s="110">
        <f>_xll.BDP($C14&amp;" Equity","BS_SH_OUT")</f>
        <v>1147.9000000000001</v>
      </c>
      <c r="BE14" s="109"/>
      <c r="BF14" s="111">
        <f>_xll.BDP($C14&amp;" Equity","SHORT_AND_LONG_TERM_DEBT", "FUND_PER=Q")</f>
        <v>24371.199999999997</v>
      </c>
      <c r="BG14" s="109"/>
      <c r="BH14" s="111">
        <f>(_xll.BDP($C14&amp;" Equity","BS_PFD_EQY", "FUND_PER=Q"))+(_xll.BDP($C14&amp;" Equity","MINORITY_NONCONTROLLING_INTEREST", "FUND_PER=Q"))</f>
        <v>7</v>
      </c>
      <c r="BI14" s="109"/>
      <c r="BJ14" s="111">
        <f>_xll.BDP($C14&amp;" Equity","CASH_AND_MARKETABLE_SECURITIES", "FUND_PER=Q")</f>
        <v>3620</v>
      </c>
      <c r="BK14" s="109"/>
      <c r="BL14" s="108">
        <f>_xll.BDP($C14&amp;" Equity","BEST_EPS", "BEST_FPERIOD_OVERRIDE=1TY")</f>
        <v>3.9210000000000003</v>
      </c>
      <c r="BM14" s="111">
        <f>_xll.BDP($C14&amp;" Equity","BEST_EBITDA", "BEST_FPERIOD_OVERRIDE=1TY")</f>
        <v>7859.8450000000003</v>
      </c>
      <c r="BN14" s="109"/>
      <c r="BO14" s="112">
        <f>_xll.BDP($C14&amp;" Equity","INTERVAL_AVG", "MARKET_DATA_OVERRIDE=BEST_CUR_EV_TO_EBITDA", "BEST_FPERIOD_OVERRIDE=1TY ", "CALC_INTERVAL=1Y ")</f>
        <v>17.076695122768797</v>
      </c>
      <c r="BP14" s="109"/>
      <c r="BQ14" s="112">
        <f>_xll.BDP($C14&amp;" Equity","INTERVAL_AVG", "MARKET_DATA_OVERRIDE=BEST_CUR_EV_TO_EBITDA", "BEST_FPERIOD_OVERRIDE=1TY ", "CALC_INTERVAL=2Y ")</f>
        <v>17.006728804508754</v>
      </c>
      <c r="BR14" s="109"/>
      <c r="BS14" s="112">
        <f>_xll.BDP($C14&amp;" Equity","INTERVAL_AVG", "MARKET_DATA_OVERRIDE=BEST_CUR_EV_TO_EBITDA", "BEST_FPERIOD_OVERRIDE=1TY ", "CALC_INTERVAL=5Y ")</f>
        <v>18.111926310235244</v>
      </c>
      <c r="BT14" s="109"/>
      <c r="BU14" s="112">
        <f>_xll.BDP($C14&amp;" Equity","INTERVAL_AVG", "MARKET_DATA_OVERRIDE=BEST_PE_RATIO", "BEST_FPERIOD_OVERRIDE=1TY ", "CALC_INTERVAL=1Y ")</f>
        <v>27.48508838424484</v>
      </c>
      <c r="BV14" s="109"/>
      <c r="BW14" s="112">
        <f>_xll.BDP($C14&amp;" Equity","INTERVAL_AVG", "MARKET_DATA_OVERRIDE=BEST_PE_RATIO", "BEST_FPERIOD_OVERRIDE=1TY ", "CALC_INTERVAL=2Y ")</f>
        <v>27.441905921939526</v>
      </c>
      <c r="BX14" s="109"/>
      <c r="BY14" s="112">
        <f>_xll.BDP($C14&amp;" Equity","INTERVAL_AVG", "MARKET_DATA_OVERRIDE=BEST_PE_RATIO", "BEST_FPERIOD_OVERRIDE=1TY ", "CALC_INTERVAL=5Y ")</f>
        <v>30.124412300548698</v>
      </c>
      <c r="BZ14" s="109"/>
      <c r="CA14" s="111">
        <f>_xll.BDP($C14&amp;" Equity","BEST_SALES", "BEST_FPERIOD_OVERRIDE=20BC")</f>
        <v>23170.300000000003</v>
      </c>
      <c r="CB14" s="109"/>
      <c r="CC14" s="111">
        <f>_xll.BDP($C14&amp;" Equity","BEST_SALES", "BEST_FPERIOD_OVERRIDE=21BC")</f>
        <v>30361.599999999999</v>
      </c>
      <c r="CD14" s="109"/>
      <c r="CE14" s="111">
        <f>_xll.BDP($C14&amp;" Equity","BEST_SALES", "BEST_FPERIOD_OVERRIDE=22BC")</f>
        <v>32913.800000000003</v>
      </c>
      <c r="CF14" s="109"/>
      <c r="CG14" s="111">
        <f>_xll.BDP($C14&amp;" Equity","BEST_SALES", "BEST_FPERIOD_OVERRIDE=23BC")</f>
        <v>36944.883999999998</v>
      </c>
      <c r="CH14" s="109"/>
      <c r="CI14" s="111">
        <f>_xll.BDP($C14&amp;" Equity","BEST_EBITDA", "BEST_FPERIOD_OVERRIDE=20BC")</f>
        <v>3358.8</v>
      </c>
      <c r="CJ14" s="109"/>
      <c r="CK14" s="111">
        <f>_xll.BDP($C14&amp;" Equity","BEST_EBITDA", "BEST_FPERIOD_OVERRIDE=21BC")</f>
        <v>6888.7999999999993</v>
      </c>
      <c r="CL14" s="109"/>
      <c r="CM14" s="111">
        <f>_xll.BDP($C14&amp;" Equity","BEST_EBITDA", "BEST_FPERIOD_OVERRIDE=22BC")</f>
        <v>5986.3</v>
      </c>
      <c r="CN14" s="109"/>
      <c r="CO14" s="111">
        <f>_xll.BDP($C14&amp;" Equity","BEST_EBITDA", "BEST_FPERIOD_OVERRIDE=23BC")</f>
        <v>7751.1469999999999</v>
      </c>
      <c r="CP14" s="109"/>
      <c r="CQ14" s="108">
        <f>_xll.BDP($C14&amp;" Equity","BEST_EPS", "BEST_FPERIOD_OVERRIDE=20BC")</f>
        <v>0.98</v>
      </c>
      <c r="CR14" s="109"/>
      <c r="CS14" s="108">
        <f>_xll.BDP($C14&amp;" Equity","BEST_EPS", "BEST_FPERIOD_OVERRIDE=21BC")</f>
        <v>3.3499999999999996</v>
      </c>
      <c r="CT14" s="109"/>
      <c r="CU14" s="108">
        <f>_xll.BDP($C14&amp;" Equity","BEST_EPS", "BEST_FPERIOD_OVERRIDE=22BC")</f>
        <v>2.99</v>
      </c>
      <c r="CV14" s="109"/>
      <c r="CW14" s="108">
        <f>_xll.BDP($C14&amp;" Equity","BEST_EPS", "BEST_FPERIOD_OVERRIDE=23BC")</f>
        <v>3.6550000000000002</v>
      </c>
      <c r="CY14" s="113" t="e">
        <f>(_xll.BDP($C14&amp;" Equity","ORGANIC_GROWTH", "EQY_FUND_YEAR=2020"))/100</f>
        <v>#VALUE!</v>
      </c>
      <c r="CZ14" s="113"/>
      <c r="DA14" s="113" t="e">
        <f>(_xll.BDP($C14&amp;" Equity","ORGANIC_GROWTH", "EQY_FUND_YEAR=2021"))/100</f>
        <v>#VALUE!</v>
      </c>
      <c r="DB14" s="113"/>
      <c r="DC14" s="113" t="e">
        <f>(_xll.BDP($C14&amp;" Equity","ORGANIC_GROWTH", "EQY_FUND_YEAR=2022"))/100</f>
        <v>#VALUE!</v>
      </c>
      <c r="DD14" s="113"/>
      <c r="DE14" s="113" t="e">
        <f>(_xll.BDP($C14&amp;" Equity","ORGANIC_GROWTH", "EQY_FUND_RELATIVE_PERIOD=-0FY"))/100</f>
        <v>#VALUE!</v>
      </c>
      <c r="DG14" s="108">
        <f>_xll.BDP($C14&amp;" Equity","IS_ADJ_EBIT_OP_INC_AS_REPORTED", "EQY_FUND_YEAR="&amp;DG$5)</f>
        <v>2133.1999999999998</v>
      </c>
      <c r="DH14" s="109"/>
      <c r="DI14" s="108">
        <f>_xll.BDP($C14&amp;" Equity","IS_ADJ_EBIT_OP_INC_AS_REPORTED", "EQY_FUND_YEAR="&amp;DI$5)</f>
        <v>5217.8999999999996</v>
      </c>
      <c r="DJ14" s="109"/>
      <c r="DK14" s="108">
        <f>_xll.BDP($C14&amp;" Equity","IS_ADJ_EBIT_OP_INC_AS_REPORTED", "EQY_FUND_YEAR="&amp;DK$5)</f>
        <v>4855</v>
      </c>
      <c r="DL14" s="109"/>
      <c r="DM14" s="108">
        <f>_xll.BDP($C14&amp;" Equity","IS_ADJ_EBIT_OP_INC_AS_REPORTED", "EQY_FUND_YEAR=-0FY")</f>
        <v>4855</v>
      </c>
      <c r="DO14" s="108">
        <f>_xll.BDP($C14&amp;" Equity","IS_ADJUSTED_EPS_AS_REPORTED", "EQY_FUND_YEAR="&amp;DO$5)</f>
        <v>1.17</v>
      </c>
      <c r="DP14" s="109"/>
      <c r="DQ14" s="108">
        <f>_xll.BDP($C14&amp;" Equity","IS_ADJUSTED_EPS_AS_REPORTED", "EQY_FUND_YEAR="&amp;DQ$5)</f>
        <v>3.2</v>
      </c>
      <c r="DR14" s="109"/>
      <c r="DS14" s="108">
        <f>_xll.BDP($C14&amp;" Equity","IS_ADJUSTED_EPS_AS_REPORTED", "EQY_FUND_YEAR="&amp;DS$5)</f>
        <v>2.96</v>
      </c>
      <c r="DT14" s="109"/>
      <c r="DU14" s="108">
        <f>_xll.BDP($C14&amp;" Equity","IS_ADJUSTED_EPS_AS_REPORTED", "EQY_FUND_YEAR=-0FY")</f>
        <v>2.96</v>
      </c>
    </row>
    <row r="15" spans="1:125">
      <c r="A15" t="s">
        <v>358</v>
      </c>
      <c r="C15" s="23" t="s">
        <v>384</v>
      </c>
      <c r="E15" s="56" cm="1">
        <f t="array" ref="E15">_xll.BDP($C15&amp;" Equity","PX_LAST")</f>
        <v>107.92</v>
      </c>
      <c r="G15" s="102">
        <f ca="1">E15/BA15</f>
        <v>0.92667010132234251</v>
      </c>
      <c r="I15" s="103">
        <f>+E15*BC15</f>
        <v>288146.40000000002</v>
      </c>
      <c r="K15" s="103">
        <f>+I15+BF15+BH15-BJ15</f>
        <v>344084.4</v>
      </c>
      <c r="M15" s="104">
        <f>+K15/BM15</f>
        <v>16.961041073607159</v>
      </c>
      <c r="N15" s="23"/>
      <c r="O15" s="102">
        <f>$M15/BO15-1</f>
        <v>8.320733572022343E-3</v>
      </c>
      <c r="P15" s="23"/>
      <c r="Q15" s="102">
        <f>$M15/BQ15-1</f>
        <v>-5.2438089491497419E-2</v>
      </c>
      <c r="R15" s="23"/>
      <c r="S15" s="104">
        <f>+E15/BL15</f>
        <v>21.294396211523281</v>
      </c>
      <c r="T15" s="23"/>
      <c r="U15" s="102">
        <f>+$S15/BU15-1</f>
        <v>-2.6714121907002952E-2</v>
      </c>
      <c r="V15" s="23"/>
      <c r="W15" s="102">
        <f>+$S15/BW15-1</f>
        <v>-8.6387780562904859E-2</v>
      </c>
      <c r="X15" s="23"/>
      <c r="Y15" s="102">
        <f>(CG15/CC15)^(1/2)-1</f>
        <v>4.6595603667092478E-2</v>
      </c>
      <c r="AA15" s="102">
        <f>(CO15/CK15)^(1/2)-1</f>
        <v>4.0060812589518102E-2</v>
      </c>
      <c r="AC15" s="102">
        <f>(CW15/CS15)^(1/2)-1</f>
        <v>5.7616204584203246E-2</v>
      </c>
      <c r="AD15" s="23"/>
      <c r="AE15" s="105">
        <f t="shared" si="0"/>
        <v>4.7E-2</v>
      </c>
      <c r="AG15" s="102">
        <f t="shared" si="5"/>
        <v>3.9480976511881316E-2</v>
      </c>
      <c r="AI15" s="102">
        <f t="shared" si="2"/>
        <v>6.7774563198958582E-2</v>
      </c>
      <c r="AJ15" s="102"/>
      <c r="AK15" s="106" cm="1">
        <f t="array" ref="AK15">_xll.VAData("NESN_CH", "3QFY-2023", "Volume (Real time internal growth) - Powdered and Liquid Beverages", "Consensus", "CD", "IMPL","","")/100</f>
        <v>-1E-3</v>
      </c>
      <c r="AL15" s="106" cm="1">
        <f t="array" ref="AL15">_xll.VAData("NESN_CH", "3QFY-2023", "Price impact - Powdered and Liquid Beverages", "Consensus", "CD", "IMPL","","")/100</f>
        <v>5.206266751810823E-2</v>
      </c>
      <c r="AM15" s="106" cm="1">
        <f t="array" ref="AM15">_xll.VAData("NESN_CH", "FY-2023", "Volume (Real time internal growth) - Powdered and Liquid Beverages", "Consensus", "CD", "IMPL","","")/100</f>
        <v>-4.4594037841697996E-4</v>
      </c>
      <c r="AN15" s="106" cm="1">
        <f t="array" ref="AN15">_xll.VAData("NESN_CH", "FY-2023", "Price impact - Powdered and Liquid Beverages", "Consensus", "CD", "IMPL","","")/100</f>
        <v>5.1551139382363623E-2</v>
      </c>
      <c r="AO15" s="106" cm="1">
        <f t="array" ref="AO15">_xll.VAData("NESN_CH", "FY-2024", "Volume (Real time internal growth) - Powdered and Liquid Beverages", "Consensus", "CD", "IMPL","","")/100</f>
        <v>2.8999999999999998E-2</v>
      </c>
      <c r="AP15" s="106" cm="1">
        <f t="array" ref="AP15">_xll.VAData("NESN_CH", "FY-2024", "Price impact - Powdered and Liquid Beverages", "Consensus", "CD", "IMPL","","")/100</f>
        <v>1.7965634875000001E-2</v>
      </c>
      <c r="AQ15" s="102" t="s">
        <v>369</v>
      </c>
      <c r="AR15" s="102"/>
      <c r="AS15" s="107" t="str" cm="1">
        <f t="array" ref="AS15">_xll.BDP(C15&amp;" US Equity", "INVENT_TURN")</f>
        <v>#N/A Invalid Security</v>
      </c>
      <c r="AT15" s="102"/>
      <c r="AU15" s="102">
        <f t="shared" si="6"/>
        <v>0.21045338198432487</v>
      </c>
      <c r="AV15" s="23"/>
      <c r="AW15" s="104">
        <f t="shared" si="4"/>
        <v>2.9766690015625841</v>
      </c>
      <c r="BA15" s="108">
        <f ca="1">_xll.BDP($C15&amp;" Equity","INTERVAL_HIGH","CALC_INTERVAL=52W","END_DATE_OVERRIDE",TEXT($E$5,"YYYYMMDD"))</f>
        <v>116.46</v>
      </c>
      <c r="BB15" s="109"/>
      <c r="BC15" s="110">
        <f>_xll.BDP($C15&amp;" Equity","EQY_SH_OUT")</f>
        <v>2670</v>
      </c>
      <c r="BD15" s="110">
        <f>_xll.BDP($C15&amp;" Equity","BS_SH_OUT")</f>
        <v>2668.141384</v>
      </c>
      <c r="BE15" s="109"/>
      <c r="BF15" s="111">
        <f>_xll.BDP($C15&amp;" Equity","SHORT_AND_LONG_TERM_DEBT", "FUND_PER=Q")</f>
        <v>59605</v>
      </c>
      <c r="BG15" s="109"/>
      <c r="BH15" s="111">
        <f>(_xll.BDP($C15&amp;" Equity","BS_PFD_EQY", "FUND_PER=Q"))+(_xll.BDP($C15&amp;" Equity","MINORITY_NONCONTROLLING_INTEREST", "FUND_PER=Q"))</f>
        <v>694</v>
      </c>
      <c r="BI15" s="109"/>
      <c r="BJ15" s="111">
        <f>_xll.BDP($C15&amp;" Equity","CASH_AND_MARKETABLE_SECURITIES", "FUND_PER=Q")</f>
        <v>4361</v>
      </c>
      <c r="BK15" s="109"/>
      <c r="BL15" s="108">
        <f>_xll.BDP($C15&amp;" Equity","BEST_EPS", "BEST_FPERIOD_OVERRIDE=1TY")</f>
        <v>5.0680000000000005</v>
      </c>
      <c r="BM15" s="111">
        <f>_xll.BDP($C15&amp;" Equity","BEST_EBITDA", "BEST_FPERIOD_OVERRIDE=1TY")</f>
        <v>20286.75</v>
      </c>
      <c r="BN15" s="109"/>
      <c r="BO15" s="112">
        <f>_xll.BDP($C15&amp;" Equity","INTERVAL_AVG", "MARKET_DATA_OVERRIDE=BEST_CUR_EV_TO_EBITDA", "BEST_FPERIOD_OVERRIDE=1TY ", "CALC_INTERVAL=1Y ")</f>
        <v>16.821077370413573</v>
      </c>
      <c r="BP15" s="109"/>
      <c r="BQ15" s="112">
        <f>_xll.BDP($C15&amp;" Equity","INTERVAL_AVG", "MARKET_DATA_OVERRIDE=BEST_CUR_EV_TO_EBITDA", "BEST_FPERIOD_OVERRIDE=1TY ", "CALC_INTERVAL=2Y ")</f>
        <v>17.899665325830934</v>
      </c>
      <c r="BR15" s="109"/>
      <c r="BS15" s="112">
        <f>_xll.BDP($C15&amp;" Equity","INTERVAL_AVG", "MARKET_DATA_OVERRIDE=BEST_CUR_EV_TO_EBITDA", "BEST_FPERIOD_OVERRIDE=1TY ", "CALC_INTERVAL=5Y ")</f>
        <v>17.855216581481169</v>
      </c>
      <c r="BT15" s="109"/>
      <c r="BU15" s="112">
        <f>_xll.BDP($C15&amp;" Equity","INTERVAL_AVG", "MARKET_DATA_OVERRIDE=BEST_PE_RATIO", "BEST_FPERIOD_OVERRIDE=1TY ", "CALC_INTERVAL=1Y ")</f>
        <v>21.878871039664475</v>
      </c>
      <c r="BV15" s="109"/>
      <c r="BW15" s="112">
        <f>_xll.BDP($C15&amp;" Equity","INTERVAL_AVG", "MARKET_DATA_OVERRIDE=BEST_PE_RATIO", "BEST_FPERIOD_OVERRIDE=1TY ", "CALC_INTERVAL=2Y ")</f>
        <v>23.30791528231028</v>
      </c>
      <c r="BX15" s="109"/>
      <c r="BY15" s="112">
        <f>_xll.BDP($C15&amp;" Equity","INTERVAL_AVG", "MARKET_DATA_OVERRIDE=BEST_PE_RATIO", "BEST_FPERIOD_OVERRIDE=1TY ", "CALC_INTERVAL=5Y ")</f>
        <v>23.303322939581797</v>
      </c>
      <c r="BZ15" s="109"/>
      <c r="CA15" s="111">
        <f>_xll.BDP($C15&amp;" Equity","BEST_SALES", "BEST_FPERIOD_OVERRIDE=20BC")</f>
        <v>84343</v>
      </c>
      <c r="CB15" s="109"/>
      <c r="CC15" s="111">
        <f>_xll.BDP($C15&amp;" Equity","BEST_SALES", "BEST_FPERIOD_OVERRIDE=21BC")</f>
        <v>87088</v>
      </c>
      <c r="CD15" s="109"/>
      <c r="CE15" s="111">
        <f>_xll.BDP($C15&amp;" Equity","BEST_SALES", "BEST_FPERIOD_OVERRIDE=22BC")</f>
        <v>94424</v>
      </c>
      <c r="CF15" s="109"/>
      <c r="CG15" s="111">
        <f>_xll.BDP($C15&amp;" Equity","BEST_SALES", "BEST_FPERIOD_OVERRIDE=23BC")</f>
        <v>95392.917000000001</v>
      </c>
      <c r="CH15" s="109"/>
      <c r="CI15" s="111">
        <f>_xll.BDP($C15&amp;" Equity","BEST_EBITDA", "BEST_FPERIOD_OVERRIDE=20BC")</f>
        <v>18368</v>
      </c>
      <c r="CJ15" s="109"/>
      <c r="CK15" s="111">
        <f>_xll.BDP($C15&amp;" Equity","BEST_EBITDA", "BEST_FPERIOD_OVERRIDE=21BC")</f>
        <v>18559</v>
      </c>
      <c r="CL15" s="109"/>
      <c r="CM15" s="111">
        <f>_xll.BDP($C15&amp;" Equity","BEST_EBITDA", "BEST_FPERIOD_OVERRIDE=22BC")</f>
        <v>19644</v>
      </c>
      <c r="CN15" s="109"/>
      <c r="CO15" s="111">
        <f>_xll.BDP($C15&amp;" Equity","BEST_EBITDA", "BEST_FPERIOD_OVERRIDE=23BC")</f>
        <v>20075.761999999999</v>
      </c>
      <c r="CP15" s="109"/>
      <c r="CQ15" s="108">
        <f>_xll.BDP($C15&amp;" Equity","BEST_EPS", "BEST_FPERIOD_OVERRIDE=20BC")</f>
        <v>4.21</v>
      </c>
      <c r="CR15" s="109"/>
      <c r="CS15" s="108">
        <f>_xll.BDP($C15&amp;" Equity","BEST_EPS", "BEST_FPERIOD_OVERRIDE=21BC")</f>
        <v>4.42</v>
      </c>
      <c r="CT15" s="109"/>
      <c r="CU15" s="108">
        <f>_xll.BDP($C15&amp;" Equity","BEST_EPS", "BEST_FPERIOD_OVERRIDE=22BC")</f>
        <v>4.8</v>
      </c>
      <c r="CV15" s="109"/>
      <c r="CW15" s="108">
        <f>_xll.BDP($C15&amp;" Equity","BEST_EPS", "BEST_FPERIOD_OVERRIDE=23BC")</f>
        <v>4.944</v>
      </c>
      <c r="CY15" s="113">
        <f>(_xll.BDP($C15&amp;" Equity","ORGANIC_GROWTH", "EQY_FUND_YEAR=2020"))/100</f>
        <v>3.6000000000000004E-2</v>
      </c>
      <c r="CZ15" s="113"/>
      <c r="DA15" s="113">
        <f>(_xll.BDP($C15&amp;" Equity","ORGANIC_GROWTH", "EQY_FUND_YEAR=2021"))/100</f>
        <v>7.4999999999999997E-2</v>
      </c>
      <c r="DB15" s="113"/>
      <c r="DC15" s="113">
        <f>(_xll.BDP($C15&amp;" Equity","ORGANIC_GROWTH", "EQY_FUND_YEAR=2022"))/100</f>
        <v>8.3000000000000004E-2</v>
      </c>
      <c r="DD15" s="113"/>
      <c r="DE15" s="113">
        <f>(_xll.BDP($C15&amp;" Equity","ORGANIC_GROWTH", "EQY_FUND_RELATIVE_PERIOD=-0FY"))/100</f>
        <v>8.3000000000000004E-2</v>
      </c>
      <c r="DG15" s="108">
        <f>_xll.BDP($C15&amp;" Equity","IS_ADJ_EBIT_OP_INC_AS_REPORTED", "EQY_FUND_YEAR="&amp;DG$5)</f>
        <v>14903</v>
      </c>
      <c r="DH15" s="109"/>
      <c r="DI15" s="108">
        <f>_xll.BDP($C15&amp;" Equity","IS_ADJ_EBIT_OP_INC_AS_REPORTED", "EQY_FUND_YEAR="&amp;DI$5)</f>
        <v>15119</v>
      </c>
      <c r="DJ15" s="109"/>
      <c r="DK15" s="108">
        <f>_xll.BDP($C15&amp;" Equity","IS_ADJ_EBIT_OP_INC_AS_REPORTED", "EQY_FUND_YEAR="&amp;DK$5)</f>
        <v>16103</v>
      </c>
      <c r="DL15" s="109"/>
      <c r="DM15" s="108">
        <f>_xll.BDP($C15&amp;" Equity","IS_ADJ_EBIT_OP_INC_AS_REPORTED", "EQY_FUND_YEAR=-0FY")</f>
        <v>16103</v>
      </c>
      <c r="DO15" s="108">
        <f>_xll.BDP($C15&amp;" Equity","IS_ADJUSTED_EPS_AS_REPORTED", "EQY_FUND_YEAR="&amp;DO$5)</f>
        <v>4.21</v>
      </c>
      <c r="DP15" s="109"/>
      <c r="DQ15" s="108">
        <f>_xll.BDP($C15&amp;" Equity","IS_ADJUSTED_EPS_AS_REPORTED", "EQY_FUND_YEAR="&amp;DQ$5)</f>
        <v>4.42</v>
      </c>
      <c r="DR15" s="109"/>
      <c r="DS15" s="108">
        <f>_xll.BDP($C15&amp;" Equity","IS_ADJUSTED_EPS_AS_REPORTED", "EQY_FUND_YEAR="&amp;DS$5)</f>
        <v>4.8</v>
      </c>
      <c r="DT15" s="109"/>
      <c r="DU15" s="108">
        <f>_xll.BDP($C15&amp;" Equity","IS_ADJUSTED_EPS_AS_REPORTED", "EQY_FUND_YEAR=-0FY")</f>
        <v>4.8</v>
      </c>
    </row>
    <row r="16" spans="1:125">
      <c r="C16" s="23"/>
      <c r="E16" s="56"/>
      <c r="G16" s="102"/>
      <c r="I16" s="103"/>
      <c r="K16" s="103"/>
      <c r="M16" s="104"/>
      <c r="N16" s="23"/>
      <c r="O16" s="102"/>
      <c r="P16" s="23"/>
      <c r="Q16" s="102"/>
      <c r="R16" s="23"/>
      <c r="S16" s="104"/>
      <c r="T16" s="23"/>
      <c r="U16" s="102"/>
      <c r="V16" s="23"/>
      <c r="W16" s="102"/>
      <c r="X16" s="23"/>
      <c r="Y16" s="102"/>
      <c r="AA16" s="102"/>
      <c r="AC16" s="102"/>
      <c r="AD16" s="23"/>
      <c r="AE16" s="105"/>
      <c r="AG16" s="102"/>
      <c r="AI16" s="102"/>
      <c r="AJ16" s="102"/>
      <c r="AK16" s="106"/>
      <c r="AL16" s="106"/>
      <c r="AM16" s="106"/>
      <c r="AN16" s="106"/>
      <c r="AO16" s="106"/>
      <c r="AP16" s="106"/>
      <c r="AQ16" s="102"/>
      <c r="AR16" s="102"/>
      <c r="AS16" s="107"/>
      <c r="AT16" s="102"/>
      <c r="AU16" s="102"/>
      <c r="AV16" s="23"/>
      <c r="AW16" s="104"/>
      <c r="BA16" s="108"/>
      <c r="BB16" s="109"/>
      <c r="BC16" s="110"/>
      <c r="BD16" s="110"/>
      <c r="BE16" s="109"/>
      <c r="BF16" s="111"/>
      <c r="BG16" s="109"/>
      <c r="BH16" s="111"/>
      <c r="BI16" s="109"/>
      <c r="BJ16" s="111"/>
      <c r="BK16" s="109"/>
      <c r="BL16" s="108"/>
      <c r="BM16" s="111"/>
      <c r="BN16" s="109"/>
      <c r="BO16" s="112"/>
      <c r="BP16" s="109"/>
      <c r="BQ16" s="112"/>
      <c r="BR16" s="109"/>
      <c r="BS16" s="112"/>
      <c r="BT16" s="109"/>
      <c r="BU16" s="112"/>
      <c r="BV16" s="109"/>
      <c r="BW16" s="112"/>
      <c r="BX16" s="109"/>
      <c r="BY16" s="112"/>
      <c r="BZ16" s="109"/>
      <c r="CA16" s="111"/>
      <c r="CB16" s="109"/>
      <c r="CC16" s="111"/>
      <c r="CD16" s="109"/>
      <c r="CE16" s="111"/>
      <c r="CF16" s="109"/>
      <c r="CG16" s="111"/>
      <c r="CH16" s="109"/>
      <c r="CI16" s="111"/>
      <c r="CJ16" s="109"/>
      <c r="CK16" s="111"/>
      <c r="CL16" s="109"/>
      <c r="CM16" s="111"/>
      <c r="CN16" s="109"/>
      <c r="CO16" s="111"/>
      <c r="CP16" s="109"/>
      <c r="CQ16" s="108"/>
      <c r="CR16" s="109"/>
      <c r="CS16" s="108"/>
      <c r="CT16" s="109"/>
      <c r="CU16" s="108"/>
      <c r="CV16" s="109"/>
      <c r="CW16" s="108"/>
      <c r="CY16" s="113"/>
      <c r="CZ16" s="113"/>
      <c r="DA16" s="113"/>
      <c r="DB16" s="113"/>
      <c r="DC16" s="113"/>
      <c r="DD16" s="113"/>
      <c r="DE16" s="113"/>
      <c r="DG16" s="108"/>
      <c r="DH16" s="109"/>
      <c r="DI16" s="108"/>
      <c r="DJ16" s="109"/>
      <c r="DK16" s="108"/>
      <c r="DL16" s="109"/>
      <c r="DM16" s="108"/>
      <c r="DO16" s="108"/>
      <c r="DP16" s="109"/>
      <c r="DQ16" s="108"/>
      <c r="DR16" s="109"/>
      <c r="DS16" s="108"/>
      <c r="DT16" s="109"/>
      <c r="DU16" s="108"/>
    </row>
    <row r="17" spans="3:125">
      <c r="C17" s="23"/>
      <c r="E17" s="56"/>
      <c r="G17" s="102"/>
      <c r="I17" s="103"/>
      <c r="K17" s="103" t="s">
        <v>349</v>
      </c>
      <c r="M17" s="104"/>
      <c r="N17" s="23"/>
      <c r="O17" s="102"/>
      <c r="P17" s="23"/>
      <c r="Q17" s="102"/>
      <c r="R17" s="23"/>
      <c r="S17" s="104">
        <f>AVERAGE(S7:S15)</f>
        <v>20.062011334146735</v>
      </c>
      <c r="T17" s="23"/>
      <c r="U17" s="102"/>
      <c r="V17" s="23"/>
      <c r="W17" s="102"/>
      <c r="X17" s="23"/>
      <c r="Y17" s="102"/>
      <c r="AA17" s="102"/>
      <c r="AC17" s="102"/>
      <c r="AD17" s="23"/>
      <c r="AE17" s="105"/>
      <c r="AG17" s="102"/>
      <c r="AI17" s="102"/>
      <c r="AJ17" s="102"/>
      <c r="AK17" s="106"/>
      <c r="AL17" s="106"/>
      <c r="AM17" s="106"/>
      <c r="AN17" s="106"/>
      <c r="AO17" s="106"/>
      <c r="AP17" s="106"/>
      <c r="AQ17" s="102"/>
      <c r="AR17" s="102"/>
      <c r="AS17" s="107"/>
      <c r="AT17" s="102"/>
      <c r="AU17" s="102"/>
      <c r="AV17" s="23"/>
      <c r="AW17" s="104"/>
      <c r="BA17" s="108"/>
      <c r="BB17" s="109"/>
      <c r="BC17" s="110"/>
      <c r="BD17" s="110"/>
      <c r="BE17" s="109"/>
      <c r="BF17" s="111"/>
      <c r="BG17" s="109"/>
      <c r="BH17" s="111"/>
      <c r="BI17" s="109"/>
      <c r="BJ17" s="111"/>
      <c r="BK17" s="109"/>
      <c r="BL17" s="108"/>
      <c r="BM17" s="111"/>
      <c r="BN17" s="109"/>
      <c r="BO17" s="112"/>
      <c r="BP17" s="109"/>
      <c r="BQ17" s="112"/>
      <c r="BR17" s="109"/>
      <c r="BS17" s="112"/>
      <c r="BT17" s="109"/>
      <c r="BU17" s="112"/>
      <c r="BV17" s="109"/>
      <c r="BW17" s="112"/>
      <c r="BX17" s="109"/>
      <c r="BY17" s="112"/>
      <c r="BZ17" s="109"/>
      <c r="CA17" s="111"/>
      <c r="CB17" s="109"/>
      <c r="CC17" s="111"/>
      <c r="CD17" s="109"/>
      <c r="CE17" s="111"/>
      <c r="CF17" s="109"/>
      <c r="CG17" s="111"/>
      <c r="CH17" s="109"/>
      <c r="CI17" s="111"/>
      <c r="CJ17" s="109"/>
      <c r="CK17" s="111"/>
      <c r="CL17" s="109"/>
      <c r="CM17" s="111"/>
      <c r="CN17" s="109"/>
      <c r="CO17" s="111"/>
      <c r="CP17" s="109"/>
      <c r="CQ17" s="108"/>
      <c r="CR17" s="109"/>
      <c r="CS17" s="108"/>
      <c r="CT17" s="109"/>
      <c r="CU17" s="108"/>
      <c r="CV17" s="109"/>
      <c r="CW17" s="108"/>
      <c r="CY17" s="113"/>
      <c r="CZ17" s="113"/>
      <c r="DA17" s="113"/>
      <c r="DB17" s="113"/>
      <c r="DC17" s="113"/>
      <c r="DD17" s="113"/>
      <c r="DE17" s="113"/>
      <c r="DG17" s="108"/>
      <c r="DH17" s="109"/>
      <c r="DI17" s="108"/>
      <c r="DJ17" s="109"/>
      <c r="DK17" s="108"/>
      <c r="DL17" s="109"/>
      <c r="DM17" s="108"/>
      <c r="DO17" s="108"/>
      <c r="DP17" s="109"/>
      <c r="DQ17" s="108"/>
      <c r="DR17" s="109"/>
      <c r="DS17" s="108"/>
      <c r="DT17" s="109"/>
      <c r="DU17" s="108"/>
    </row>
    <row r="18" spans="3:125">
      <c r="C18" s="23"/>
      <c r="E18" s="56"/>
      <c r="G18" s="102"/>
      <c r="I18" s="103"/>
      <c r="K18" s="103" t="s">
        <v>350</v>
      </c>
      <c r="M18" s="104"/>
      <c r="N18" s="23"/>
      <c r="O18" s="102"/>
      <c r="P18" s="23"/>
      <c r="Q18" s="102"/>
      <c r="R18" s="23"/>
      <c r="S18" s="104">
        <f>MEDIAN(S7:S15)</f>
        <v>21.244803998947646</v>
      </c>
      <c r="T18" s="23"/>
      <c r="U18" s="102"/>
      <c r="V18" s="23"/>
      <c r="W18" s="102"/>
      <c r="X18" s="23"/>
      <c r="Y18" s="102"/>
      <c r="AA18" s="102"/>
      <c r="AC18" s="102"/>
      <c r="AD18" s="23"/>
      <c r="AE18" s="105"/>
      <c r="AG18" s="102"/>
      <c r="AI18" s="102"/>
      <c r="AJ18" s="102"/>
      <c r="AK18" s="106"/>
      <c r="AL18" s="106"/>
      <c r="AM18" s="106"/>
      <c r="AN18" s="106"/>
      <c r="AO18" s="106"/>
      <c r="AP18" s="106"/>
      <c r="AQ18" s="102"/>
      <c r="AR18" s="102"/>
      <c r="AS18" s="107"/>
      <c r="AT18" s="102"/>
      <c r="AU18" s="102"/>
      <c r="AV18" s="23"/>
      <c r="AW18" s="104"/>
      <c r="BA18" s="108"/>
      <c r="BB18" s="109"/>
      <c r="BC18" s="110"/>
      <c r="BD18" s="110"/>
      <c r="BE18" s="109"/>
      <c r="BF18" s="111"/>
      <c r="BG18" s="109"/>
      <c r="BH18" s="111"/>
      <c r="BI18" s="109"/>
      <c r="BJ18" s="111"/>
      <c r="BK18" s="109"/>
      <c r="BL18" s="108"/>
      <c r="BM18" s="111"/>
      <c r="BN18" s="109"/>
      <c r="BO18" s="112"/>
      <c r="BP18" s="109"/>
      <c r="BQ18" s="112"/>
      <c r="BR18" s="109"/>
      <c r="BS18" s="112"/>
      <c r="BT18" s="109"/>
      <c r="BU18" s="112"/>
      <c r="BV18" s="109"/>
      <c r="BW18" s="112"/>
      <c r="BX18" s="109"/>
      <c r="BY18" s="112"/>
      <c r="BZ18" s="109"/>
      <c r="CA18" s="111"/>
      <c r="CB18" s="109"/>
      <c r="CC18" s="111"/>
      <c r="CD18" s="109"/>
      <c r="CE18" s="111"/>
      <c r="CF18" s="109"/>
      <c r="CG18" s="111"/>
      <c r="CH18" s="109"/>
      <c r="CI18" s="111"/>
      <c r="CJ18" s="109"/>
      <c r="CK18" s="111"/>
      <c r="CL18" s="109"/>
      <c r="CM18" s="111"/>
      <c r="CN18" s="109"/>
      <c r="CO18" s="111"/>
      <c r="CP18" s="109"/>
      <c r="CQ18" s="108"/>
      <c r="CR18" s="109"/>
      <c r="CS18" s="108"/>
      <c r="CT18" s="109"/>
      <c r="CU18" s="108"/>
      <c r="CV18" s="109"/>
      <c r="CW18" s="108"/>
      <c r="CY18" s="113"/>
      <c r="CZ18" s="113"/>
      <c r="DA18" s="113"/>
      <c r="DB18" s="113"/>
      <c r="DC18" s="113"/>
      <c r="DD18" s="113"/>
      <c r="DE18" s="113"/>
      <c r="DG18" s="108"/>
      <c r="DH18" s="109"/>
      <c r="DI18" s="108"/>
      <c r="DJ18" s="109"/>
      <c r="DK18" s="108"/>
      <c r="DL18" s="109"/>
      <c r="DM18" s="108"/>
      <c r="DO18" s="108"/>
      <c r="DP18" s="109"/>
      <c r="DQ18" s="108"/>
      <c r="DR18" s="109"/>
      <c r="DS18" s="108"/>
      <c r="DT18" s="109"/>
      <c r="DU18" s="108"/>
    </row>
    <row r="19" spans="3:125" ht="15" thickBot="1">
      <c r="C19" s="23"/>
      <c r="E19" s="58"/>
      <c r="G19" s="102"/>
      <c r="I19" s="103"/>
      <c r="K19" s="103"/>
      <c r="M19" s="104"/>
      <c r="N19" s="23"/>
      <c r="O19" s="102"/>
      <c r="P19" s="23"/>
      <c r="Q19" s="102"/>
      <c r="R19" s="23"/>
      <c r="S19" s="104"/>
      <c r="T19" s="23"/>
      <c r="U19" s="102"/>
      <c r="V19" s="23"/>
      <c r="W19" s="102"/>
      <c r="X19" s="23"/>
      <c r="AD19" s="23"/>
      <c r="AV19" s="23"/>
      <c r="BA19" s="115"/>
      <c r="BC19" s="116"/>
      <c r="BD19" s="116"/>
      <c r="BF19" s="103"/>
      <c r="BH19" s="103"/>
      <c r="BJ19" s="103"/>
      <c r="BL19" s="115"/>
      <c r="BM19" s="103"/>
      <c r="BO19" s="104"/>
      <c r="BQ19" s="104"/>
      <c r="BS19" s="104"/>
      <c r="BU19" s="104"/>
      <c r="BW19" s="104"/>
      <c r="BY19" s="104"/>
      <c r="CA19" s="103"/>
      <c r="CC19" s="103"/>
      <c r="CE19" s="103"/>
      <c r="CG19" s="103"/>
      <c r="CI19" s="103"/>
      <c r="CK19" s="103"/>
      <c r="CM19" s="103"/>
      <c r="CO19" s="103"/>
      <c r="CQ19" s="115"/>
      <c r="CS19" s="115"/>
      <c r="CU19" s="115"/>
      <c r="CW19" s="115"/>
    </row>
    <row r="20" spans="3:125">
      <c r="C20" s="23"/>
      <c r="E20" s="58"/>
      <c r="G20" s="102"/>
      <c r="I20" s="103"/>
      <c r="K20" s="129" t="s">
        <v>349</v>
      </c>
      <c r="L20" s="130"/>
      <c r="M20" s="131">
        <f>AVERAGE(M11:M18)</f>
        <v>15.498676612635435</v>
      </c>
      <c r="N20" s="132"/>
      <c r="O20" s="133">
        <f>AVERAGE(O11:O18)</f>
        <v>-7.0579144433642521E-2</v>
      </c>
      <c r="P20" s="132"/>
      <c r="Q20" s="133">
        <f>AVERAGE(Q11:Q18)</f>
        <v>-8.6725052738547331E-2</v>
      </c>
      <c r="R20" s="132"/>
      <c r="S20" s="131">
        <f>AVERAGE(S11:S18)</f>
        <v>20.487645961200624</v>
      </c>
      <c r="T20" s="132"/>
      <c r="U20" s="133">
        <f>AVERAGE(U11:U18)</f>
        <v>-0.10224395344422506</v>
      </c>
      <c r="V20" s="132"/>
      <c r="W20" s="133">
        <f>AVERAGE(W11:W18)</f>
        <v>-0.11661518599701778</v>
      </c>
      <c r="X20" s="132"/>
      <c r="Y20" s="133">
        <f>AVERAGE(Y11:Y18)</f>
        <v>6.3185586110628925E-2</v>
      </c>
      <c r="Z20" s="130"/>
      <c r="AA20" s="133">
        <f>AVERAGE(AA11:AA18)</f>
        <v>5.899354234756031E-2</v>
      </c>
      <c r="AB20" s="130"/>
      <c r="AC20" s="133">
        <f>AVERAGE(AC11:AC18)</f>
        <v>6.5102931406280803E-2</v>
      </c>
      <c r="AD20" s="132"/>
      <c r="AE20" s="133">
        <f>AVERAGE(AE11:AE18)</f>
        <v>0.13266666666666668</v>
      </c>
      <c r="AF20" s="130"/>
      <c r="AG20" s="133">
        <f>AVERAGE(AG11:AG18)</f>
        <v>0.14620198096334233</v>
      </c>
      <c r="AH20" s="130"/>
      <c r="AI20" s="133">
        <f>AVERAGE(AI11:AI18)</f>
        <v>0.18039924725492637</v>
      </c>
      <c r="AJ20" s="133"/>
      <c r="AK20" s="133">
        <f t="shared" ref="AK20:AO20" si="7">AVERAGE(AK11:AK18)</f>
        <v>6.5758453829006568E-3</v>
      </c>
      <c r="AL20" s="133">
        <f t="shared" si="7"/>
        <v>4.696834601968225E-2</v>
      </c>
      <c r="AM20" s="133">
        <f t="shared" si="7"/>
        <v>4.6766877550345164E-3</v>
      </c>
      <c r="AN20" s="133">
        <f t="shared" si="7"/>
        <v>5.1606889808588949E-2</v>
      </c>
      <c r="AO20" s="133">
        <f t="shared" si="7"/>
        <v>1.8386705283270657E-2</v>
      </c>
      <c r="AP20" s="133">
        <f>AVERAGE(AP11:AP18)</f>
        <v>1.992242783846403E-2</v>
      </c>
      <c r="AQ20" s="133"/>
      <c r="AR20" s="133"/>
      <c r="AS20" s="134">
        <f>AVERAGE(AS11:AS18)</f>
        <v>7.2432463131591236</v>
      </c>
      <c r="AT20" s="133"/>
      <c r="AU20" s="133">
        <f>AVERAGE(AU11:AU18)</f>
        <v>0.22678213177613266</v>
      </c>
      <c r="AV20" s="132"/>
      <c r="AW20" s="135">
        <f>AVERAGE(AW11:AW18)</f>
        <v>2.6143330828222018</v>
      </c>
      <c r="BA20" s="115"/>
      <c r="BC20" s="116"/>
      <c r="BD20" s="116"/>
      <c r="BF20" s="103"/>
      <c r="BH20" s="103"/>
      <c r="BJ20" s="103"/>
      <c r="BL20" s="115"/>
      <c r="BM20" s="103"/>
      <c r="BO20" s="104"/>
      <c r="BQ20" s="104"/>
      <c r="BS20" s="104"/>
      <c r="BU20" s="104"/>
      <c r="BW20" s="104"/>
      <c r="BY20" s="104"/>
      <c r="CA20" s="103"/>
      <c r="CC20" s="103"/>
      <c r="CE20" s="103"/>
      <c r="CG20" s="103"/>
      <c r="CI20" s="103"/>
      <c r="CK20" s="103"/>
      <c r="CM20" s="103"/>
      <c r="CO20" s="103"/>
      <c r="CQ20" s="115"/>
      <c r="CS20" s="115"/>
      <c r="CU20" s="115"/>
      <c r="CW20" s="115"/>
    </row>
    <row r="21" spans="3:125" ht="15" thickBot="1">
      <c r="K21" s="136" t="s">
        <v>350</v>
      </c>
      <c r="L21" s="137"/>
      <c r="M21" s="138">
        <f>MEDIAN(M11:M18)</f>
        <v>16.276090813495681</v>
      </c>
      <c r="N21" s="139"/>
      <c r="O21" s="140">
        <f>MEDIAN(O11:O18)</f>
        <v>-6.331906887828076E-2</v>
      </c>
      <c r="P21" s="139"/>
      <c r="Q21" s="140">
        <f>MEDIAN(Q11:Q18)</f>
        <v>-6.7754503482767681E-2</v>
      </c>
      <c r="R21" s="139"/>
      <c r="S21" s="138">
        <f>MEDIAN(S11:S18)</f>
        <v>21.244803998947646</v>
      </c>
      <c r="T21" s="139"/>
      <c r="U21" s="140">
        <f>MEDIAN(U11:U18)</f>
        <v>-9.4930238430879554E-2</v>
      </c>
      <c r="V21" s="139"/>
      <c r="W21" s="140">
        <f>MEDIAN(W11:W18)</f>
        <v>-0.1162568570668947</v>
      </c>
      <c r="X21" s="139"/>
      <c r="Y21" s="140">
        <f>MEDIAN(Y11:Y18)</f>
        <v>7.8549964265502981E-2</v>
      </c>
      <c r="Z21" s="137"/>
      <c r="AA21" s="140">
        <f>MEDIAN(AA11:AA18)</f>
        <v>6.0745501270099478E-2</v>
      </c>
      <c r="AB21" s="137"/>
      <c r="AC21" s="140">
        <f>MEDIAN(AC11:AC18)</f>
        <v>6.3906741823199775E-2</v>
      </c>
      <c r="AD21" s="139"/>
      <c r="AE21" s="140">
        <f>MEDIAN(AE11:AE18)</f>
        <v>0.10100000000000002</v>
      </c>
      <c r="AF21" s="137"/>
      <c r="AG21" s="140">
        <f>MEDIAN(AG11:AG18)</f>
        <v>8.1829095737579571E-2</v>
      </c>
      <c r="AH21" s="137"/>
      <c r="AI21" s="140">
        <f>MEDIAN(AI11:AI18)</f>
        <v>0.10908631934945268</v>
      </c>
      <c r="AJ21" s="140"/>
      <c r="AK21" s="140">
        <f t="shared" ref="AK21:AP21" si="8">MEDIAN(AK11:AK18)</f>
        <v>6.2655905508669195E-3</v>
      </c>
      <c r="AL21" s="140">
        <f t="shared" si="8"/>
        <v>4.7500000000000001E-2</v>
      </c>
      <c r="AM21" s="140">
        <f t="shared" si="8"/>
        <v>-4.4594037841697996E-4</v>
      </c>
      <c r="AN21" s="140">
        <f t="shared" si="8"/>
        <v>5.9716953535953375E-2</v>
      </c>
      <c r="AO21" s="140">
        <f t="shared" si="8"/>
        <v>1.6310233933333328E-2</v>
      </c>
      <c r="AP21" s="140">
        <f t="shared" si="8"/>
        <v>2.5796438713753669E-2</v>
      </c>
      <c r="AQ21" s="140"/>
      <c r="AR21" s="140"/>
      <c r="AS21" s="141">
        <f>MEDIAN(AS11:AS18)</f>
        <v>6.0264373818831087</v>
      </c>
      <c r="AT21" s="140"/>
      <c r="AU21" s="140">
        <f>MEDIAN(AU11:AU18)</f>
        <v>0.21045338198432487</v>
      </c>
      <c r="AV21" s="139"/>
      <c r="AW21" s="142">
        <f>MEDIAN(AW11:AW18)</f>
        <v>2.6314783347493629</v>
      </c>
    </row>
    <row r="22" spans="3:125" ht="15" thickBot="1"/>
    <row r="23" spans="3:125">
      <c r="K23" s="117" t="s">
        <v>370</v>
      </c>
      <c r="L23" s="118"/>
      <c r="M23" s="118"/>
      <c r="N23" s="118"/>
      <c r="O23" s="118"/>
      <c r="P23" s="118"/>
      <c r="Q23" s="118"/>
      <c r="R23" s="118"/>
      <c r="S23" s="118"/>
      <c r="T23" s="118"/>
      <c r="U23" s="118"/>
      <c r="V23" s="118"/>
      <c r="W23" s="118"/>
      <c r="X23" s="118"/>
      <c r="Y23" s="118"/>
      <c r="Z23" s="118"/>
      <c r="AA23" s="118"/>
      <c r="AB23" s="118"/>
      <c r="AC23" s="118"/>
      <c r="AD23" s="118"/>
      <c r="AE23" s="118"/>
      <c r="AF23" s="118"/>
      <c r="AG23" s="118"/>
      <c r="AH23" s="118"/>
      <c r="AI23" s="118"/>
      <c r="AJ23" s="118"/>
      <c r="AK23" s="119">
        <f t="shared" ref="AK23:AP23" si="9">AK7-AK$20</f>
        <v>-1.3143655978230346E-2</v>
      </c>
      <c r="AL23" s="119">
        <f t="shared" si="9"/>
        <v>-4.9418109591557458E-3</v>
      </c>
      <c r="AM23" s="119">
        <f t="shared" si="9"/>
        <v>-1.2057997454407346E-2</v>
      </c>
      <c r="AN23" s="119">
        <f t="shared" si="9"/>
        <v>1.1567991993832238E-2</v>
      </c>
      <c r="AO23" s="119">
        <f t="shared" si="9"/>
        <v>1.3215218488415933E-3</v>
      </c>
      <c r="AP23" s="120">
        <f t="shared" si="9"/>
        <v>7.2123954988651505E-3</v>
      </c>
    </row>
    <row r="24" spans="3:125">
      <c r="K24" s="121" t="s">
        <v>371</v>
      </c>
      <c r="L24" s="122"/>
      <c r="M24" s="122"/>
      <c r="N24" s="122"/>
      <c r="O24" s="122"/>
      <c r="P24" s="122"/>
      <c r="Q24" s="122"/>
      <c r="R24" s="122"/>
      <c r="S24" s="122"/>
      <c r="T24" s="122"/>
      <c r="U24" s="122"/>
      <c r="V24" s="122"/>
      <c r="W24" s="122"/>
      <c r="X24" s="122"/>
      <c r="Y24" s="122"/>
      <c r="Z24" s="122"/>
      <c r="AA24" s="122"/>
      <c r="AB24" s="122"/>
      <c r="AC24" s="122"/>
      <c r="AD24" s="122"/>
      <c r="AE24" s="122"/>
      <c r="AF24" s="122"/>
      <c r="AG24" s="122"/>
      <c r="AH24" s="122"/>
      <c r="AI24" s="122"/>
      <c r="AJ24" s="122"/>
      <c r="AK24" s="123">
        <f t="shared" ref="AK24:AP25" si="10">AK8-AK$20</f>
        <v>-8.5758453829006577E-3</v>
      </c>
      <c r="AL24" s="123">
        <f t="shared" si="10"/>
        <v>7.0316539803177563E-3</v>
      </c>
      <c r="AM24" s="123">
        <f t="shared" si="10"/>
        <v>-1.9180304575186361E-3</v>
      </c>
      <c r="AN24" s="123">
        <f t="shared" si="10"/>
        <v>3.0477657763554974E-2</v>
      </c>
      <c r="AO24" s="123">
        <f t="shared" si="10"/>
        <v>-2.0386791486366462E-3</v>
      </c>
      <c r="AP24" s="124">
        <f t="shared" si="10"/>
        <v>8.2229553007257608E-3</v>
      </c>
    </row>
    <row r="25" spans="3:125" ht="15" thickBot="1">
      <c r="K25" s="125" t="s">
        <v>372</v>
      </c>
      <c r="L25" s="126"/>
      <c r="M25" s="126"/>
      <c r="N25" s="126"/>
      <c r="O25" s="126"/>
      <c r="P25" s="126"/>
      <c r="Q25" s="126"/>
      <c r="R25" s="126"/>
      <c r="S25" s="126"/>
      <c r="T25" s="126"/>
      <c r="U25" s="126"/>
      <c r="V25" s="126"/>
      <c r="W25" s="126"/>
      <c r="X25" s="126"/>
      <c r="Y25" s="126"/>
      <c r="Z25" s="126"/>
      <c r="AA25" s="126"/>
      <c r="AB25" s="126"/>
      <c r="AC25" s="126"/>
      <c r="AD25" s="126"/>
      <c r="AE25" s="126"/>
      <c r="AF25" s="126"/>
      <c r="AG25" s="126"/>
      <c r="AH25" s="126"/>
      <c r="AI25" s="126"/>
      <c r="AJ25" s="126"/>
      <c r="AK25" s="127">
        <f>AK9-AK$20</f>
        <v>-3.3819852412900663E-2</v>
      </c>
      <c r="AL25" s="127">
        <f t="shared" si="10"/>
        <v>-2.746834601968225E-2</v>
      </c>
      <c r="AM25" s="127">
        <f t="shared" si="10"/>
        <v>-4.623613921189916E-2</v>
      </c>
      <c r="AN25" s="127">
        <f t="shared" si="10"/>
        <v>-2.0929332178023681E-2</v>
      </c>
      <c r="AO25" s="127">
        <f t="shared" si="10"/>
        <v>3.8826162877608865E-3</v>
      </c>
      <c r="AP25" s="128">
        <f t="shared" si="10"/>
        <v>-7.9969037888338174E-4</v>
      </c>
    </row>
  </sheetData>
  <mergeCells count="6">
    <mergeCell ref="CY4:DE4"/>
    <mergeCell ref="AK3:AQ3"/>
    <mergeCell ref="AE4:AI4"/>
    <mergeCell ref="AK4:AL4"/>
    <mergeCell ref="AM4:AN4"/>
    <mergeCell ref="AO4:AP4"/>
  </mergeCells>
  <conditionalFormatting sqref="S7:S15">
    <cfRule type="colorScale" priority="1">
      <colorScale>
        <cfvo type="min"/>
        <cfvo type="max"/>
        <color rgb="FFFCFCFF"/>
        <color rgb="FF63BE7B"/>
      </colorScale>
    </cfRule>
  </conditionalFormatting>
  <pageMargins left="0.7" right="0.7" top="0.75" bottom="0.75" header="0.3" footer="0.3"/>
  <customProperties>
    <customPr name="UniqueWorksheetId" r:id="rId1"/>
  </customPropertie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4EAF3-6645-4F92-84DF-CF8F66647E5B}">
  <dimension ref="B1:AP87"/>
  <sheetViews>
    <sheetView zoomScale="55" zoomScaleNormal="55" workbookViewId="0">
      <selection activeCell="AW105" sqref="AW105"/>
    </sheetView>
  </sheetViews>
  <sheetFormatPr defaultRowHeight="14.5"/>
  <cols>
    <col min="2" max="2" width="6.6328125" customWidth="1"/>
    <col min="3" max="3" width="41.6328125" customWidth="1"/>
    <col min="4" max="15" width="10.1796875" customWidth="1"/>
    <col min="16" max="16" width="12.1796875" customWidth="1"/>
    <col min="17" max="17" width="10.36328125" customWidth="1"/>
    <col min="18" max="24" width="10.1796875" customWidth="1"/>
    <col min="25" max="35" width="10.54296875" customWidth="1"/>
  </cols>
  <sheetData>
    <row r="1" spans="2:35">
      <c r="B1" t="s">
        <v>272</v>
      </c>
    </row>
    <row r="3" spans="2:35">
      <c r="B3" t="s">
        <v>268</v>
      </c>
      <c r="D3" t="s">
        <v>43</v>
      </c>
      <c r="E3" t="s">
        <v>42</v>
      </c>
      <c r="F3" t="s">
        <v>41</v>
      </c>
      <c r="G3" t="s">
        <v>40</v>
      </c>
      <c r="H3" t="s">
        <v>38</v>
      </c>
      <c r="I3" t="s">
        <v>37</v>
      </c>
      <c r="J3" t="s">
        <v>36</v>
      </c>
      <c r="K3" t="s">
        <v>35</v>
      </c>
      <c r="L3" t="s">
        <v>33</v>
      </c>
      <c r="M3" t="s">
        <v>32</v>
      </c>
      <c r="N3" t="s">
        <v>31</v>
      </c>
      <c r="O3" t="s">
        <v>30</v>
      </c>
      <c r="P3" t="s">
        <v>23</v>
      </c>
      <c r="Q3" t="s">
        <v>22</v>
      </c>
      <c r="R3" t="s">
        <v>21</v>
      </c>
      <c r="S3" t="s">
        <v>20</v>
      </c>
      <c r="T3" t="s">
        <v>24</v>
      </c>
      <c r="U3" t="s">
        <v>25</v>
      </c>
      <c r="V3" t="s">
        <v>26</v>
      </c>
      <c r="W3" t="s">
        <v>27</v>
      </c>
      <c r="X3" t="s">
        <v>28</v>
      </c>
      <c r="Y3" t="s">
        <v>29</v>
      </c>
      <c r="Z3" t="s">
        <v>465</v>
      </c>
      <c r="AA3" t="s">
        <v>468</v>
      </c>
      <c r="AB3" t="s">
        <v>472</v>
      </c>
      <c r="AC3" t="s">
        <v>473</v>
      </c>
      <c r="AD3" t="s">
        <v>474</v>
      </c>
      <c r="AE3" t="s">
        <v>466</v>
      </c>
      <c r="AF3" t="s">
        <v>572</v>
      </c>
      <c r="AG3" t="s">
        <v>573</v>
      </c>
      <c r="AH3" t="s">
        <v>574</v>
      </c>
      <c r="AI3" t="s">
        <v>575</v>
      </c>
    </row>
    <row r="4" spans="2:35">
      <c r="B4" t="s">
        <v>269</v>
      </c>
    </row>
    <row r="5" spans="2:35">
      <c r="C5" t="str">
        <f>Tower!C29</f>
        <v>K-Cup Pods, Revenue</v>
      </c>
      <c r="D5" s="15" cm="1">
        <f t="array" ref="D5">INDEX(Tower!$E$10:$AZ$469, _xlfn.XMATCH($C5,Tower!$C$10:$C$469), _xlfn.XMATCH(Figures!D$3,Tower!$E$4:$AZ$4))</f>
        <v>0</v>
      </c>
      <c r="E5" s="15" cm="1">
        <f t="array" ref="E5">INDEX(Tower!$E$10:$AZ$469, _xlfn.XMATCH($C5,Tower!$C$10:$C$469), _xlfn.XMATCH(Figures!E$3,Tower!$E$4:$AZ$4))</f>
        <v>0</v>
      </c>
      <c r="F5" s="15" cm="1">
        <f t="array" ref="F5">INDEX(Tower!$E$10:$AZ$469, _xlfn.XMATCH($C5,Tower!$C$10:$C$469), _xlfn.XMATCH(Figures!F$3,Tower!$E$4:$AZ$4))</f>
        <v>674.37125178047756</v>
      </c>
      <c r="G5" s="15" cm="1">
        <f t="array" ref="G5">INDEX(Tower!$E$10:$AZ$469, _xlfn.XMATCH($C5,Tower!$C$10:$C$469), _xlfn.XMATCH(Figures!G$3,Tower!$E$4:$AZ$4))</f>
        <v>735.83035244708083</v>
      </c>
      <c r="H5" s="15" cm="1">
        <f t="array" ref="H5">INDEX(Tower!$E$10:$AZ$469, _xlfn.XMATCH($C5,Tower!$C$10:$C$469), _xlfn.XMATCH(Figures!H$3,Tower!$E$4:$AZ$4))</f>
        <v>654.73250197483424</v>
      </c>
      <c r="I5" s="15" cm="1">
        <f t="array" ref="I5">INDEX(Tower!$E$10:$AZ$469, _xlfn.XMATCH($C5,Tower!$C$10:$C$469), _xlfn.XMATCH(Figures!I$3,Tower!$E$4:$AZ$4))</f>
        <v>644.40942346060444</v>
      </c>
      <c r="J5" s="15" cm="1">
        <f t="array" ref="J5">INDEX(Tower!$E$10:$AZ$469, _xlfn.XMATCH($C5,Tower!$C$10:$C$469), _xlfn.XMATCH(Figures!J$3,Tower!$E$4:$AZ$4))</f>
        <v>682.05639425091033</v>
      </c>
      <c r="K5" s="15" cm="1">
        <f t="array" ref="K5">INDEX(Tower!$E$10:$AZ$469, _xlfn.XMATCH($C5,Tower!$C$10:$C$469), _xlfn.XMATCH(Figures!K$3,Tower!$E$4:$AZ$4))</f>
        <v>764.9095588152644</v>
      </c>
      <c r="L5" s="15" cm="1">
        <f t="array" ref="L5">INDEX(Tower!$E$10:$AZ$469, _xlfn.XMATCH($C5,Tower!$C$10:$C$469), _xlfn.XMATCH(Figures!L$3,Tower!$E$4:$AZ$4))</f>
        <v>658.11438473296869</v>
      </c>
      <c r="M5" s="15" cm="1">
        <f t="array" ref="M5">INDEX(Tower!$E$10:$AZ$469, _xlfn.XMATCH($C5,Tower!$C$10:$C$469), _xlfn.XMATCH(Figures!M$3,Tower!$E$4:$AZ$4))</f>
        <v>678.90810976708121</v>
      </c>
      <c r="N5" s="15" cm="1">
        <f t="array" ref="N5">INDEX(Tower!$E$10:$AZ$469, _xlfn.XMATCH($C5,Tower!$C$10:$C$469), _xlfn.XMATCH(Figures!N$3,Tower!$E$4:$AZ$4))</f>
        <v>702.55010750539782</v>
      </c>
      <c r="O5" s="15" cm="1">
        <f t="array" ref="O5">INDEX(Tower!$E$10:$AZ$469, _xlfn.XMATCH($C5,Tower!$C$10:$C$469), _xlfn.XMATCH(Figures!O$3,Tower!$E$4:$AZ$4))</f>
        <v>834.44679143483393</v>
      </c>
      <c r="P5" s="15" cm="1">
        <f t="array" ref="P5">INDEX(Tower!$E$10:$AZ$469, _xlfn.XMATCH($C5,Tower!$C$10:$C$469), _xlfn.XMATCH(Figures!P$3,Tower!$E$4:$AZ$4))</f>
        <v>788.34588441330993</v>
      </c>
      <c r="Q5" s="15" cm="1">
        <f t="array" ref="Q5">INDEX(Tower!$E$10:$AZ$469, _xlfn.XMATCH($C5,Tower!$C$10:$C$469), _xlfn.XMATCH(Figures!Q$3,Tower!$E$4:$AZ$4))</f>
        <v>720.80381471389649</v>
      </c>
      <c r="R5" s="15" cm="1">
        <f t="array" ref="R5">INDEX(Tower!$E$10:$AZ$469, _xlfn.XMATCH($C5,Tower!$C$10:$C$469), _xlfn.XMATCH(Figures!R$3,Tower!$E$4:$AZ$4))</f>
        <v>735.6675324675324</v>
      </c>
      <c r="S5" s="15" cm="1">
        <f t="array" ref="S5">INDEX(Tower!$E$10:$AZ$469, _xlfn.XMATCH($C5,Tower!$C$10:$C$469), _xlfn.XMATCH(Figures!S$3,Tower!$E$4:$AZ$4))</f>
        <v>830.15174506828521</v>
      </c>
      <c r="T5" s="15" cm="1">
        <f t="array" ref="T5">INDEX(Tower!$E$10:$AZ$469, _xlfn.XMATCH($C5,Tower!$C$10:$C$469), _xlfn.XMATCH(Figures!T$3,Tower!$E$4:$AZ$4))</f>
        <v>749</v>
      </c>
      <c r="U5" s="15" cm="1">
        <f t="array" ref="U5">INDEX(Tower!$E$10:$AZ$469, _xlfn.XMATCH($C5,Tower!$C$10:$C$469), _xlfn.XMATCH(Figures!U$3,Tower!$E$4:$AZ$4))</f>
        <v>798</v>
      </c>
      <c r="V5" s="15" cm="1">
        <f t="array" ref="V5">INDEX(Tower!$E$10:$AZ$469, _xlfn.XMATCH($C5,Tower!$C$10:$C$469), _xlfn.XMATCH(Figures!V$3,Tower!$E$4:$AZ$4))</f>
        <v>789.15219189412744</v>
      </c>
      <c r="W5" s="15" cm="1">
        <f t="array" ref="W5">INDEX(Tower!$E$10:$AZ$469, _xlfn.XMATCH($C5,Tower!$C$10:$C$469), _xlfn.XMATCH(Figures!W$3,Tower!$E$4:$AZ$4))</f>
        <v>949.25589225589215</v>
      </c>
      <c r="X5" s="15" cm="1">
        <f t="array" ref="X5">INDEX(Tower!$E$10:$AZ$469, _xlfn.XMATCH($C5,Tower!$C$10:$C$469), _xlfn.XMATCH(Figures!X$3,Tower!$E$4:$AZ$4))</f>
        <v>771</v>
      </c>
      <c r="Y5" s="15" cm="1">
        <f t="array" ref="Y5">INDEX(Tower!$E$10:$AZ$469, _xlfn.XMATCH($C5,Tower!$C$10:$C$469), _xlfn.XMATCH(Figures!Y$3,Tower!$E$4:$AZ$4))</f>
        <v>761</v>
      </c>
      <c r="Z5" s="15" cm="1">
        <f t="array" ref="Z5">INDEX(Tower!$E$10:$AZ$469, _xlfn.XMATCH($C5,Tower!$C$10:$C$469), _xlfn.XMATCH(Figures!Z$3,Tower!$E$4:$AZ$4))</f>
        <v>762.87492950712021</v>
      </c>
      <c r="AA5" s="15" cm="1">
        <f t="array" ref="AA5">INDEX(Tower!$E$10:$AZ$469, _xlfn.XMATCH($C5,Tower!$C$10:$C$469), _xlfn.XMATCH(Figures!AA$3,Tower!$E$4:$AZ$4))</f>
        <v>917.64748210454945</v>
      </c>
      <c r="AB5" s="15" cm="1">
        <f t="array" ref="AB5">INDEX(Tower!$E$10:$AZ$469, _xlfn.XMATCH($C5,Tower!$C$10:$C$469), _xlfn.XMATCH(Figures!AB$3,Tower!$E$4:$AZ$4))</f>
        <v>713.65291536449217</v>
      </c>
      <c r="AC5" s="15" cm="1">
        <f t="array" ref="AC5">INDEX(Tower!$E$10:$AZ$469, _xlfn.XMATCH($C5,Tower!$C$10:$C$469), _xlfn.XMATCH(Figures!AC$3,Tower!$E$4:$AZ$4))</f>
        <v>760.34048926684204</v>
      </c>
      <c r="AD5" s="15" cm="1">
        <f t="array" ref="AD5">INDEX(Tower!$E$10:$AZ$469, _xlfn.XMATCH($C5,Tower!$C$10:$C$469), _xlfn.XMATCH(Figures!AD$3,Tower!$E$4:$AZ$4))</f>
        <v>751.91023018894953</v>
      </c>
      <c r="AE5" s="15" cm="1">
        <f t="array" ref="AE5">INDEX(Tower!$E$10:$AZ$469, _xlfn.XMATCH($C5,Tower!$C$10:$C$469), _xlfn.XMATCH(Figures!AE$3,Tower!$E$4:$AZ$4))</f>
        <v>904.45825759057379</v>
      </c>
      <c r="AF5" s="15" cm="1">
        <f t="array" ref="AF5">INDEX(Tower!$E$10:$AZ$469, _xlfn.XMATCH($C5,Tower!$C$10:$C$469), _xlfn.XMATCH(Figures!AF$3,Tower!$E$4:$AZ$4))</f>
        <v>696.64441249811819</v>
      </c>
      <c r="AG5" s="15" cm="1">
        <f t="array" ref="AG5">INDEX(Tower!$E$10:$AZ$469, _xlfn.XMATCH($C5,Tower!$C$10:$C$469), _xlfn.XMATCH(Figures!AG$3,Tower!$E$4:$AZ$4))</f>
        <v>742.21928060547168</v>
      </c>
      <c r="AH5" s="15" cm="1">
        <f t="array" ref="AH5">INDEX(Tower!$E$10:$AZ$469, _xlfn.XMATCH($C5,Tower!$C$10:$C$469), _xlfn.XMATCH(Figures!AH$3,Tower!$E$4:$AZ$4))</f>
        <v>733.98994004497547</v>
      </c>
      <c r="AI5" s="15" cm="1">
        <f t="array" ref="AI5">INDEX(Tower!$E$10:$AZ$469, _xlfn.XMATCH($C5,Tower!$C$10:$C$469), _xlfn.XMATCH(Figures!AI$3,Tower!$E$4:$AZ$4))</f>
        <v>882.90228754470365</v>
      </c>
    </row>
    <row r="6" spans="2:35">
      <c r="C6" s="58" t="str">
        <f>Tower!C131</f>
        <v>K-Cup Pods, Volume</v>
      </c>
      <c r="D6" s="15" cm="1">
        <f t="array" ref="D6">INDEX(Tower!$E$10:$AM$469, _xlfn.XMATCH($C6,Tower!$C$10:$C$469), _xlfn.XMATCH(Figures!D$3,Tower!$E$4:$AM$4))</f>
        <v>0</v>
      </c>
      <c r="E6" s="15" cm="1">
        <f t="array" ref="E6">INDEX(Tower!$E$10:$AM$469, _xlfn.XMATCH($C6,Tower!$C$10:$C$469), _xlfn.XMATCH(Figures!E$3,Tower!$E$4:$AM$4))</f>
        <v>0</v>
      </c>
      <c r="F6" s="15" cm="1">
        <f t="array" ref="F6">INDEX(Tower!$E$10:$AM$469, _xlfn.XMATCH($C6,Tower!$C$10:$C$469), _xlfn.XMATCH(Figures!F$3,Tower!$E$4:$AM$4))</f>
        <v>1062.0019713078386</v>
      </c>
      <c r="G6" s="15" cm="1">
        <f t="array" ref="G6">INDEX(Tower!$E$10:$AM$469, _xlfn.XMATCH($C6,Tower!$C$10:$C$469), _xlfn.XMATCH(Figures!G$3,Tower!$E$4:$AM$4))</f>
        <v>1167.9846864239378</v>
      </c>
      <c r="H6" s="15" cm="1">
        <f t="array" ref="H6">INDEX(Tower!$E$10:$AM$469, _xlfn.XMATCH($C6,Tower!$C$10:$C$469), _xlfn.XMATCH(Figures!H$3,Tower!$E$4:$AM$4))</f>
        <v>1064.6056942680232</v>
      </c>
      <c r="I6" s="15" cm="1">
        <f t="array" ref="I6">INDEX(Tower!$E$10:$AM$469, _xlfn.XMATCH($C6,Tower!$C$10:$C$469), _xlfn.XMATCH(Figures!I$3,Tower!$E$4:$AM$4))</f>
        <v>1056.4088909190236</v>
      </c>
      <c r="J6" s="15" cm="1">
        <f t="array" ref="J6">INDEX(Tower!$E$10:$AM$469, _xlfn.XMATCH($C6,Tower!$C$10:$C$469), _xlfn.XMATCH(Figures!J$3,Tower!$E$4:$AM$4))</f>
        <v>1127.3659409105956</v>
      </c>
      <c r="K6" s="15" cm="1">
        <f t="array" ref="K6">INDEX(Tower!$E$10:$AM$469, _xlfn.XMATCH($C6,Tower!$C$10:$C$469), _xlfn.XMATCH(Figures!K$3,Tower!$E$4:$AM$4))</f>
        <v>1274.8492646921075</v>
      </c>
      <c r="L6" s="15" cm="1">
        <f t="array" ref="L6">INDEX(Tower!$E$10:$AM$469, _xlfn.XMATCH($C6,Tower!$C$10:$C$469), _xlfn.XMATCH(Figures!L$3,Tower!$E$4:$AM$4))</f>
        <v>1106.0745961898633</v>
      </c>
      <c r="M6" s="15" cm="1">
        <f t="array" ref="M6">INDEX(Tower!$E$10:$AM$469, _xlfn.XMATCH($C6,Tower!$C$10:$C$469), _xlfn.XMATCH(Figures!M$3,Tower!$E$4:$AM$4))</f>
        <v>1150.6917114696291</v>
      </c>
      <c r="N6" s="15" cm="1">
        <f t="array" ref="N6">INDEX(Tower!$E$10:$AM$469, _xlfn.XMATCH($C6,Tower!$C$10:$C$469), _xlfn.XMATCH(Figures!N$3,Tower!$E$4:$AM$4))</f>
        <v>1200.9403547100819</v>
      </c>
      <c r="O6" s="15" cm="1">
        <f t="array" ref="O6">INDEX(Tower!$E$10:$AM$469, _xlfn.XMATCH($C6,Tower!$C$10:$C$469), _xlfn.XMATCH(Figures!O$3,Tower!$E$4:$AM$4))</f>
        <v>1438.7013645428171</v>
      </c>
      <c r="P6" s="15" cm="1">
        <f t="array" ref="P6">INDEX(Tower!$E$10:$AM$469, _xlfn.XMATCH($C6,Tower!$C$10:$C$469), _xlfn.XMATCH(Figures!P$3,Tower!$E$4:$AM$4))</f>
        <v>1371.0363207188</v>
      </c>
      <c r="Q6" s="15" cm="1">
        <f t="array" ref="Q6">INDEX(Tower!$E$10:$AM$469, _xlfn.XMATCH($C6,Tower!$C$10:$C$469), _xlfn.XMATCH(Figures!Q$3,Tower!$E$4:$AM$4))</f>
        <v>1264.5680959892923</v>
      </c>
      <c r="R6" s="15" cm="1">
        <f t="array" ref="R6">INDEX(Tower!$E$10:$AM$469, _xlfn.XMATCH($C6,Tower!$C$10:$C$469), _xlfn.XMATCH(Figures!R$3,Tower!$E$4:$AM$4))</f>
        <v>1302.0664291460751</v>
      </c>
      <c r="S6" s="15" cm="1">
        <f t="array" ref="S6">INDEX(Tower!$E$10:$AM$469, _xlfn.XMATCH($C6,Tower!$C$10:$C$469), _xlfn.XMATCH(Figures!S$3,Tower!$E$4:$AM$4))</f>
        <v>1482.4138304790806</v>
      </c>
      <c r="T6" s="15" cm="1">
        <f t="array" ref="T6">INDEX(Tower!$E$10:$AM$469, _xlfn.XMATCH($C6,Tower!$C$10:$C$469), _xlfn.XMATCH(Figures!T$3,Tower!$E$4:$AM$4))</f>
        <v>1349.5495495495495</v>
      </c>
      <c r="U6" s="15" cm="1">
        <f t="array" ref="U6">INDEX(Tower!$E$10:$AM$469, _xlfn.XMATCH($C6,Tower!$C$10:$C$469), _xlfn.XMATCH(Figures!U$3,Tower!$E$4:$AM$4))</f>
        <v>1450.9090909090908</v>
      </c>
      <c r="V6" s="15" cm="1">
        <f t="array" ref="V6">INDEX(Tower!$E$10:$AM$469, _xlfn.XMATCH($C6,Tower!$C$10:$C$469), _xlfn.XMATCH(Figures!V$3,Tower!$E$4:$AM$4))</f>
        <v>1447.9856732002338</v>
      </c>
      <c r="W6" s="15" cm="1">
        <f t="array" ref="W6">INDEX(Tower!$E$10:$AM$469, _xlfn.XMATCH($C6,Tower!$C$10:$C$469), _xlfn.XMATCH(Figures!W$3,Tower!$E$4:$AM$4))</f>
        <v>1757.8812819553557</v>
      </c>
      <c r="X6" s="15" cm="1">
        <f t="array" ref="X6">INDEX(Tower!$E$10:$AM$469, _xlfn.XMATCH($C6,Tower!$C$10:$C$469), _xlfn.XMATCH(Figures!X$3,Tower!$E$4:$AM$4))</f>
        <v>1441.1214953271028</v>
      </c>
      <c r="Y6" s="15" cm="1">
        <f t="array" ref="Y6">INDEX(Tower!$E$10:$AM$469, _xlfn.XMATCH($C6,Tower!$C$10:$C$469), _xlfn.XMATCH(Figures!Y$3,Tower!$E$4:$AM$4))</f>
        <v>1435.8490566037735</v>
      </c>
      <c r="Z6" s="15" cm="1">
        <f t="array" ref="Z6">INDEX(Tower!$E$10:$AZ$469, _xlfn.XMATCH($C6,Tower!$C$10:$C$469), _xlfn.XMATCH(Figures!Z$3,Tower!$E$4:$AZ$4))</f>
        <v>0</v>
      </c>
      <c r="AA6" s="15" cm="1">
        <f t="array" ref="AA6">INDEX(Tower!$E$10:$AZ$469, _xlfn.XMATCH($C6,Tower!$C$10:$C$469), _xlfn.XMATCH(Figures!AA$3,Tower!$E$4:$AZ$4))</f>
        <v>0</v>
      </c>
      <c r="AB6" s="15" cm="1">
        <f t="array" ref="AB6">INDEX(Tower!$E$10:$AZ$469, _xlfn.XMATCH($C6,Tower!$C$10:$C$469), _xlfn.XMATCH(Figures!AB$3,Tower!$E$4:$AZ$4))</f>
        <v>0</v>
      </c>
      <c r="AC6" s="15" cm="1">
        <f t="array" ref="AC6">INDEX(Tower!$E$10:$AZ$469, _xlfn.XMATCH($C6,Tower!$C$10:$C$469), _xlfn.XMATCH(Figures!AC$3,Tower!$E$4:$AZ$4))</f>
        <v>0</v>
      </c>
      <c r="AD6" s="15" cm="1">
        <f t="array" ref="AD6">INDEX(Tower!$E$10:$AZ$469, _xlfn.XMATCH($C6,Tower!$C$10:$C$469), _xlfn.XMATCH(Figures!AD$3,Tower!$E$4:$AZ$4))</f>
        <v>0</v>
      </c>
      <c r="AE6" s="15" cm="1">
        <f t="array" ref="AE6">INDEX(Tower!$E$10:$AZ$469, _xlfn.XMATCH($C6,Tower!$C$10:$C$469), _xlfn.XMATCH(Figures!AE$3,Tower!$E$4:$AZ$4))</f>
        <v>0</v>
      </c>
      <c r="AF6" s="15" cm="1">
        <f t="array" ref="AF6">INDEX(Tower!$E$10:$AZ$469, _xlfn.XMATCH($C6,Tower!$C$10:$C$469), _xlfn.XMATCH(Figures!AF$3,Tower!$E$4:$AZ$4))</f>
        <v>0</v>
      </c>
      <c r="AG6" s="15" cm="1">
        <f t="array" ref="AG6">INDEX(Tower!$E$10:$AZ$469, _xlfn.XMATCH($C6,Tower!$C$10:$C$469), _xlfn.XMATCH(Figures!AG$3,Tower!$E$4:$AZ$4))</f>
        <v>0</v>
      </c>
      <c r="AH6" s="15" cm="1">
        <f t="array" ref="AH6">INDEX(Tower!$E$10:$AZ$469, _xlfn.XMATCH($C6,Tower!$C$10:$C$469), _xlfn.XMATCH(Figures!AH$3,Tower!$E$4:$AZ$4))</f>
        <v>0</v>
      </c>
      <c r="AI6" s="15" cm="1">
        <f t="array" ref="AI6">INDEX(Tower!$E$10:$AZ$469, _xlfn.XMATCH($C6,Tower!$C$10:$C$469), _xlfn.XMATCH(Figures!AI$3,Tower!$E$4:$AZ$4))</f>
        <v>0</v>
      </c>
    </row>
    <row r="7" spans="2:35">
      <c r="C7" s="58"/>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2:35">
      <c r="C8" t="s">
        <v>669</v>
      </c>
      <c r="D8" s="19" cm="1">
        <f t="array" ref="D8">INDEX(Tower!$E$10:$AM$469, _xlfn.XMATCH($C8,Tower!$C$10:$C$469), _xlfn.XMATCH(Figures!D$3,Tower!$E$4:$AM$4))</f>
        <v>0</v>
      </c>
      <c r="E8" s="19" cm="1">
        <f t="array" ref="E8">INDEX(Tower!$E$10:$AM$469, _xlfn.XMATCH($C8,Tower!$C$10:$C$469), _xlfn.XMATCH(Figures!E$3,Tower!$E$4:$AM$4))</f>
        <v>0</v>
      </c>
      <c r="F8" s="19" cm="1">
        <f t="array" ref="F8">INDEX(Tower!$E$10:$AM$469, _xlfn.XMATCH($C8,Tower!$C$10:$C$469), _xlfn.XMATCH(Figures!F$3,Tower!$E$4:$AM$4))</f>
        <v>4.2000000000000003E-2</v>
      </c>
      <c r="G8" s="19" cm="1">
        <f t="array" ref="G8">INDEX(Tower!$E$10:$AM$469, _xlfn.XMATCH($C8,Tower!$C$10:$C$469), _xlfn.XMATCH(Figures!G$3,Tower!$E$4:$AM$4))</f>
        <v>4.65E-2</v>
      </c>
      <c r="H8" s="19" cm="1">
        <f t="array" ref="H8">INDEX(Tower!$E$10:$AM$469, _xlfn.XMATCH($C8,Tower!$C$10:$C$469), _xlfn.XMATCH(Figures!H$3,Tower!$E$4:$AM$4))</f>
        <v>3.2500000000000001E-2</v>
      </c>
      <c r="I8" s="19" cm="1">
        <f t="array" ref="I8">INDEX(Tower!$E$10:$AM$469, _xlfn.XMATCH($C8,Tower!$C$10:$C$469), _xlfn.XMATCH(Figures!I$3,Tower!$E$4:$AM$4))</f>
        <v>2.1499999999999998E-2</v>
      </c>
      <c r="J8" s="19" cm="1">
        <f t="array" ref="J8">INDEX(Tower!$E$10:$AM$469, _xlfn.XMATCH($C8,Tower!$C$10:$C$469), _xlfn.XMATCH(Figures!J$3,Tower!$E$4:$AM$4))</f>
        <v>5.9499999999999997E-2</v>
      </c>
      <c r="K8" s="19" cm="1">
        <f t="array" ref="K8">INDEX(Tower!$E$10:$AM$469, _xlfn.XMATCH($C8,Tower!$C$10:$C$469), _xlfn.XMATCH(Figures!K$3,Tower!$E$4:$AM$4))</f>
        <v>5.7500000000000002E-2</v>
      </c>
      <c r="L8" s="19" cm="1">
        <f t="array" ref="L8">INDEX(Tower!$E$10:$AM$469, _xlfn.XMATCH($C8,Tower!$C$10:$C$469), _xlfn.XMATCH(Figures!L$3,Tower!$E$4:$AM$4))</f>
        <v>4.9000000000000002E-2</v>
      </c>
      <c r="M8" s="19" cm="1">
        <f t="array" ref="M8">INDEX(Tower!$E$10:$AM$469, _xlfn.XMATCH($C8,Tower!$C$10:$C$469), _xlfn.XMATCH(Figures!M$3,Tower!$E$4:$AM$4))</f>
        <v>-4.9500000000000002E-2</v>
      </c>
      <c r="N8" s="19" cm="1">
        <f t="array" ref="N8">INDEX(Tower!$E$10:$AM$469, _xlfn.XMATCH($C8,Tower!$C$10:$C$469), _xlfn.XMATCH(Figures!N$3,Tower!$E$4:$AM$4))</f>
        <v>4.2500000000000003E-2</v>
      </c>
      <c r="O8" s="19" cm="1">
        <f t="array" ref="O8">INDEX(Tower!$E$10:$AM$469, _xlfn.XMATCH($C8,Tower!$C$10:$C$469), _xlfn.XMATCH(Figures!O$3,Tower!$E$4:$AM$4))</f>
        <v>1.0500000000000001E-2</v>
      </c>
      <c r="P8" s="19" cm="1">
        <f t="array" ref="P8">INDEX(Tower!$E$10:$AM$469, _xlfn.XMATCH($C8,Tower!$C$10:$C$469), _xlfn.XMATCH(Figures!P$3,Tower!$E$4:$AM$4))</f>
        <v>6.7000000000000004E-2</v>
      </c>
      <c r="Q8" s="19" cm="1">
        <f t="array" ref="Q8">INDEX(Tower!$E$10:$AM$469, _xlfn.XMATCH($C8,Tower!$C$10:$C$469), _xlfn.XMATCH(Figures!Q$3,Tower!$E$4:$AM$4))</f>
        <v>9.6000000000000002E-2</v>
      </c>
      <c r="R8" s="19" cm="1">
        <f t="array" ref="R8">INDEX(Tower!$E$10:$AM$469, _xlfn.XMATCH($C8,Tower!$C$10:$C$469), _xlfn.XMATCH(Figures!R$3,Tower!$E$4:$AM$4))</f>
        <v>7.9000000000000001E-2</v>
      </c>
      <c r="S8" s="19" cm="1">
        <f t="array" ref="S8">INDEX(Tower!$E$10:$AM$469, _xlfn.XMATCH($C8,Tower!$C$10:$C$469), _xlfn.XMATCH(Figures!S$3,Tower!$E$4:$AM$4))</f>
        <v>0.15699999999999997</v>
      </c>
      <c r="T8" s="19" cm="1">
        <f t="array" ref="T8">INDEX(Tower!$E$10:$AM$469, _xlfn.XMATCH($C8,Tower!$C$10:$C$469), _xlfn.XMATCH(Figures!T$3,Tower!$E$4:$AM$4))</f>
        <v>0.128</v>
      </c>
      <c r="U8" s="19" cm="1">
        <f t="array" ref="U8">INDEX(Tower!$E$10:$AM$469, _xlfn.XMATCH($C8,Tower!$C$10:$C$469), _xlfn.XMATCH(Figures!U$3,Tower!$E$4:$AM$4))</f>
        <v>0.153</v>
      </c>
      <c r="V8" s="19" cm="1">
        <f t="array" ref="V8">INDEX(Tower!$E$10:$AM$469, _xlfn.XMATCH($C8,Tower!$C$10:$C$469), _xlfn.XMATCH(Figures!V$3,Tower!$E$4:$AM$4))</f>
        <v>0.14400000000000002</v>
      </c>
      <c r="W8" s="19" cm="1">
        <f t="array" ref="W8">INDEX(Tower!$E$10:$AM$469, _xlfn.XMATCH($C8,Tower!$C$10:$C$469), _xlfn.XMATCH(Figures!W$3,Tower!$E$4:$AM$4))</f>
        <v>0.11499999999999999</v>
      </c>
      <c r="X8" s="19" cm="1">
        <f t="array" ref="X8">INDEX(Tower!$E$10:$AM$469, _xlfn.XMATCH($C8,Tower!$C$10:$C$469), _xlfn.XMATCH(Figures!X$3,Tower!$E$4:$AM$4))</f>
        <v>0.127</v>
      </c>
      <c r="Y8" s="19" cm="1">
        <f t="array" ref="Y8">INDEX(Tower!$E$10:$AM$469, _xlfn.XMATCH($C8,Tower!$C$10:$C$469), _xlfn.XMATCH(Figures!Y$3,Tower!$E$4:$AM$4))</f>
        <v>0.11799999999999999</v>
      </c>
    </row>
    <row r="9" spans="2:35">
      <c r="C9" t="s">
        <v>670</v>
      </c>
      <c r="D9" s="19" cm="1">
        <f t="array" ref="D9">INDEX(Tower!$E$10:$AM$469, _xlfn.XMATCH($C9,Tower!$C$10:$C$469), _xlfn.XMATCH(Figures!D$3,Tower!$E$4:$AM$4))</f>
        <v>9.9086598153846194E-3</v>
      </c>
      <c r="E9" s="19" cm="1">
        <f t="array" ref="E9">INDEX(Tower!$E$10:$AM$469, _xlfn.XMATCH($C9,Tower!$C$10:$C$469), _xlfn.XMATCH(Figures!E$3,Tower!$E$4:$AM$4))</f>
        <v>-1.7406396569230771E-2</v>
      </c>
      <c r="F9" s="19" cm="1">
        <f t="array" ref="F9">INDEX(Tower!$E$10:$AM$469, _xlfn.XMATCH($C9,Tower!$C$10:$C$469), _xlfn.XMATCH(Figures!F$3,Tower!$E$4:$AM$4))</f>
        <v>1.34165906E-2</v>
      </c>
      <c r="G9" s="19" cm="1">
        <f t="array" ref="G9">INDEX(Tower!$E$10:$AM$469, _xlfn.XMATCH($C9,Tower!$C$10:$C$469), _xlfn.XMATCH(Figures!G$3,Tower!$E$4:$AM$4))</f>
        <v>-6.9230769230769207E-3</v>
      </c>
      <c r="H9" s="19" cm="1">
        <f t="array" ref="H9">INDEX(Tower!$E$10:$AM$469, _xlfn.XMATCH($C9,Tower!$C$10:$C$469), _xlfn.XMATCH(Figures!H$3,Tower!$E$4:$AM$4))</f>
        <v>1.0198576707976352E-2</v>
      </c>
      <c r="I9" s="19" cm="1">
        <f t="array" ref="I9">INDEX(Tower!$E$10:$AM$469, _xlfn.XMATCH($C9,Tower!$C$10:$C$469), _xlfn.XMATCH(Figures!I$3,Tower!$E$4:$AM$4))</f>
        <v>2.9804087847572738E-2</v>
      </c>
      <c r="J9" s="19" cm="1">
        <f t="array" ref="J9">INDEX(Tower!$E$10:$AM$469, _xlfn.XMATCH($C9,Tower!$C$10:$C$469), _xlfn.XMATCH(Figures!J$3,Tower!$E$4:$AM$4))</f>
        <v>2.1704069706010822E-2</v>
      </c>
      <c r="K9" s="19" cm="1">
        <f t="array" ref="K9">INDEX(Tower!$E$10:$AM$469, _xlfn.XMATCH($C9,Tower!$C$10:$C$469), _xlfn.XMATCH(Figures!K$3,Tower!$E$4:$AM$4))</f>
        <v>4.8831794715612373E-2</v>
      </c>
      <c r="L9" s="19" cm="1">
        <f t="array" ref="L9">INDEX(Tower!$E$10:$AM$469, _xlfn.XMATCH($C9,Tower!$C$10:$C$469), _xlfn.XMATCH(Figures!L$3,Tower!$E$4:$AM$4))</f>
        <v>4.012580951381526E-2</v>
      </c>
      <c r="M9" s="19" cm="1">
        <f t="array" ref="M9">INDEX(Tower!$E$10:$AM$469, _xlfn.XMATCH($C9,Tower!$C$10:$C$469), _xlfn.XMATCH(Figures!M$3,Tower!$E$4:$AM$4))</f>
        <v>-0.17964690369672712</v>
      </c>
      <c r="N9" s="19" cm="1">
        <f t="array" ref="N9">INDEX(Tower!$E$10:$AM$469, _xlfn.XMATCH($C9,Tower!$C$10:$C$469), _xlfn.XMATCH(Figures!N$3,Tower!$E$4:$AM$4))</f>
        <v>-2.9785489780683065E-2</v>
      </c>
      <c r="O9" s="19" cm="1">
        <f t="array" ref="O9">INDEX(Tower!$E$10:$AM$469, _xlfn.XMATCH($C9,Tower!$C$10:$C$469), _xlfn.XMATCH(Figures!O$3,Tower!$E$4:$AM$4))</f>
        <v>-0.03</v>
      </c>
      <c r="P9" s="19" cm="1">
        <f t="array" ref="P9">INDEX(Tower!$E$10:$AM$469, _xlfn.XMATCH($C9,Tower!$C$10:$C$469), _xlfn.XMATCH(Figures!P$3,Tower!$E$4:$AM$4))</f>
        <v>4.0037593984962407E-2</v>
      </c>
      <c r="Q9" s="19" cm="1">
        <f t="array" ref="Q9">INDEX(Tower!$E$10:$AM$469, _xlfn.XMATCH($C9,Tower!$C$10:$C$469), _xlfn.XMATCH(Figures!Q$3,Tower!$E$4:$AM$4))</f>
        <v>0.27865318720663745</v>
      </c>
      <c r="R9" s="19" cm="1">
        <f t="array" ref="R9">INDEX(Tower!$E$10:$AM$469, _xlfn.XMATCH($C9,Tower!$C$10:$C$469), _xlfn.XMATCH(Figures!R$3,Tower!$E$4:$AM$4))</f>
        <v>0.12134872875115987</v>
      </c>
      <c r="S9" s="19" cm="1">
        <f t="array" ref="S9">INDEX(Tower!$E$10:$AM$469, _xlfn.XMATCH($C9,Tower!$C$10:$C$469), _xlfn.XMATCH(Figures!S$3,Tower!$E$4:$AM$4))</f>
        <v>0.13166666666666665</v>
      </c>
      <c r="T9" s="19" cm="1">
        <f t="array" ref="T9">INDEX(Tower!$E$10:$AM$469, _xlfn.XMATCH($C9,Tower!$C$10:$C$469), _xlfn.XMATCH(Figures!T$3,Tower!$E$4:$AM$4))</f>
        <v>0.14000000000000001</v>
      </c>
      <c r="U9" s="19" cm="1">
        <f t="array" ref="U9">INDEX(Tower!$E$10:$AM$469, _xlfn.XMATCH($C9,Tower!$C$10:$C$469), _xlfn.XMATCH(Figures!U$3,Tower!$E$4:$AM$4))</f>
        <v>0.13074878987756633</v>
      </c>
      <c r="V9" s="19" cm="1">
        <f t="array" ref="V9">INDEX(Tower!$E$10:$AM$469, _xlfn.XMATCH($C9,Tower!$C$10:$C$469), _xlfn.XMATCH(Figures!V$3,Tower!$E$4:$AM$4))</f>
        <v>0.14076017674106206</v>
      </c>
      <c r="W9" s="19" cm="1">
        <f t="array" ref="W9">INDEX(Tower!$E$10:$AM$469, _xlfn.XMATCH($C9,Tower!$C$10:$C$469), _xlfn.XMATCH(Figures!W$3,Tower!$E$4:$AM$4))</f>
        <v>0.1277981670217993</v>
      </c>
      <c r="X9" s="19" cm="1">
        <f t="array" ref="X9">INDEX(Tower!$E$10:$AM$469, _xlfn.XMATCH($C9,Tower!$C$10:$C$469), _xlfn.XMATCH(Figures!X$3,Tower!$E$4:$AM$4))</f>
        <v>8.9947842646807982E-2</v>
      </c>
      <c r="Y9" s="19" cm="1">
        <f t="array" ref="Y9">INDEX(Tower!$E$10:$AM$469, _xlfn.XMATCH($C9,Tower!$C$10:$C$469), _xlfn.XMATCH(Figures!Y$3,Tower!$E$4:$AM$4))</f>
        <v>8.8670254487469569E-2</v>
      </c>
    </row>
    <row r="10" spans="2:35">
      <c r="C10" t="s">
        <v>671</v>
      </c>
      <c r="D10" s="19" cm="1">
        <f t="array" ref="D10">INDEX(Tower!$E$10:$AM$469, _xlfn.XMATCH($C10,Tower!$C$10:$C$469), _xlfn.XMATCH(Figures!D$3,Tower!$E$4:$AM$4))</f>
        <v>-1.8469012303205131E-2</v>
      </c>
      <c r="E10" s="19" cm="1">
        <f t="array" ref="E10">INDEX(Tower!$E$10:$AM$469, _xlfn.XMATCH($C10,Tower!$C$10:$C$469), _xlfn.XMATCH(Figures!E$3,Tower!$E$4:$AM$4))</f>
        <v>-1.019563144166667E-2</v>
      </c>
      <c r="F10" s="19" cm="1">
        <f t="array" ref="F10">INDEX(Tower!$E$10:$AM$469, _xlfn.XMATCH($C10,Tower!$C$10:$C$469), _xlfn.XMATCH(Figures!F$3,Tower!$E$4:$AM$4))</f>
        <v>2.777131783333333E-2</v>
      </c>
      <c r="G10" s="19" cm="1">
        <f t="array" ref="G10">INDEX(Tower!$E$10:$AM$469, _xlfn.XMATCH($C10,Tower!$C$10:$C$469), _xlfn.XMATCH(Figures!G$3,Tower!$E$4:$AM$4))</f>
        <v>1.9346264531818182E-2</v>
      </c>
      <c r="H10" s="19" cm="1">
        <f t="array" ref="H10">INDEX(Tower!$E$10:$AM$469, _xlfn.XMATCH($C10,Tower!$C$10:$C$469), _xlfn.XMATCH(Figures!H$3,Tower!$E$4:$AM$4))</f>
        <v>2.1773898714102558E-2</v>
      </c>
      <c r="I10" s="19" cm="1">
        <f t="array" ref="I10">INDEX(Tower!$E$10:$AM$469, _xlfn.XMATCH($C10,Tower!$C$10:$C$469), _xlfn.XMATCH(Figures!I$3,Tower!$E$4:$AM$4))</f>
        <v>1.9986761025000004E-2</v>
      </c>
      <c r="J10" s="19" cm="1">
        <f t="array" ref="J10">INDEX(Tower!$E$10:$AM$469, _xlfn.XMATCH($C10,Tower!$C$10:$C$469), _xlfn.XMATCH(Figures!J$3,Tower!$E$4:$AM$4))</f>
        <v>2.3253618693134814E-2</v>
      </c>
      <c r="K10" s="19" cm="1">
        <f t="array" ref="K10">INDEX(Tower!$E$10:$AM$469, _xlfn.XMATCH($C10,Tower!$C$10:$C$469), _xlfn.XMATCH(Figures!K$3,Tower!$E$4:$AM$4))</f>
        <v>3.433639560141024E-2</v>
      </c>
      <c r="L10" s="19" cm="1">
        <f t="array" ref="L10">INDEX(Tower!$E$10:$AM$469, _xlfn.XMATCH($C10,Tower!$C$10:$C$469), _xlfn.XMATCH(Figures!L$3,Tower!$E$4:$AM$4))</f>
        <v>6.4444444444444443E-2</v>
      </c>
      <c r="M10" s="19" cm="1">
        <f t="array" ref="M10">INDEX(Tower!$E$10:$AM$469, _xlfn.XMATCH($C10,Tower!$C$10:$C$469), _xlfn.XMATCH(Figures!M$3,Tower!$E$4:$AM$4))</f>
        <v>-7.637062937062937E-2</v>
      </c>
      <c r="N10" s="19" cm="1">
        <f t="array" ref="N10">INDEX(Tower!$E$10:$AM$469, _xlfn.XMATCH($C10,Tower!$C$10:$C$469), _xlfn.XMATCH(Figures!N$3,Tower!$E$4:$AM$4))</f>
        <v>3.4444444444444437E-2</v>
      </c>
      <c r="O10" s="19" cm="1">
        <f t="array" ref="O10">INDEX(Tower!$E$10:$AM$469, _xlfn.XMATCH($C10,Tower!$C$10:$C$469), _xlfn.XMATCH(Figures!O$3,Tower!$E$4:$AM$4))</f>
        <v>6.0231898728282829E-2</v>
      </c>
      <c r="P10" s="19" cm="1">
        <f t="array" ref="P10">INDEX(Tower!$E$10:$AM$469, _xlfn.XMATCH($C10,Tower!$C$10:$C$469), _xlfn.XMATCH(Figures!P$3,Tower!$E$4:$AM$4))</f>
        <v>1.6005050505050515E-2</v>
      </c>
      <c r="Q10" s="19" cm="1">
        <f t="array" ref="Q10">INDEX(Tower!$E$10:$AM$469, _xlfn.XMATCH($C10,Tower!$C$10:$C$469), _xlfn.XMATCH(Figures!Q$3,Tower!$E$4:$AM$4))</f>
        <v>0.20555555555555557</v>
      </c>
      <c r="R10" s="19" cm="1">
        <f t="array" ref="R10">INDEX(Tower!$E$10:$AM$469, _xlfn.XMATCH($C10,Tower!$C$10:$C$469), _xlfn.XMATCH(Figures!R$3,Tower!$E$4:$AM$4))</f>
        <v>6.9960137633333336E-2</v>
      </c>
      <c r="S10" s="19" cm="1">
        <f t="array" ref="S10">INDEX(Tower!$E$10:$AM$469, _xlfn.XMATCH($C10,Tower!$C$10:$C$469), _xlfn.XMATCH(Figures!S$3,Tower!$E$4:$AM$4))</f>
        <v>0.11969669226666667</v>
      </c>
      <c r="T10" s="19" cm="1">
        <f t="array" ref="T10">INDEX(Tower!$E$10:$AM$469, _xlfn.XMATCH($C10,Tower!$C$10:$C$469), _xlfn.XMATCH(Figures!T$3,Tower!$E$4:$AM$4))</f>
        <v>0.12149862042000001</v>
      </c>
      <c r="U10" s="19" cm="1">
        <f t="array" ref="U10">INDEX(Tower!$E$10:$AM$469, _xlfn.XMATCH($C10,Tower!$C$10:$C$469), _xlfn.XMATCH(Figures!U$3,Tower!$E$4:$AM$4))</f>
        <v>9.01E-2</v>
      </c>
      <c r="V10" s="19" cm="1">
        <f t="array" ref="V10">INDEX(Tower!$E$10:$AM$469, _xlfn.XMATCH($C10,Tower!$C$10:$C$469), _xlfn.XMATCH(Figures!V$3,Tower!$E$4:$AM$4))</f>
        <v>0.12939953423646017</v>
      </c>
      <c r="W10" s="19" cm="1">
        <f t="array" ref="W10">INDEX(Tower!$E$10:$AM$469, _xlfn.XMATCH($C10,Tower!$C$10:$C$469), _xlfn.XMATCH(Figures!W$3,Tower!$E$4:$AM$4))</f>
        <v>0.10745733934166062</v>
      </c>
      <c r="X10" s="19" cm="1">
        <f t="array" ref="X10">INDEX(Tower!$E$10:$AM$469, _xlfn.XMATCH($C10,Tower!$C$10:$C$469), _xlfn.XMATCH(Figures!X$3,Tower!$E$4:$AM$4))</f>
        <v>0.11937554132771765</v>
      </c>
      <c r="Y10" s="19" cm="1">
        <f t="array" ref="Y10">INDEX(Tower!$E$10:$AM$469, _xlfn.XMATCH($C10,Tower!$C$10:$C$469), _xlfn.XMATCH(Figures!Y$3,Tower!$E$4:$AM$4))</f>
        <v>9.9614379084967369E-2</v>
      </c>
    </row>
    <row r="12" spans="2:35">
      <c r="C12" t="s">
        <v>674</v>
      </c>
      <c r="D12" s="19" t="e" cm="1">
        <f t="array" ref="D12">INDEX(Tower!$E$10:$AM$469, _xlfn.XMATCH($C12,Tower!$C$10:$C$469), _xlfn.XMATCH(Figures!D$3,Tower!$E$4:$AM$4))</f>
        <v>#N/A</v>
      </c>
      <c r="E12" s="19" t="e" cm="1">
        <f t="array" ref="E12">INDEX(Tower!$E$10:$AM$469, _xlfn.XMATCH($C12,Tower!$C$10:$C$469), _xlfn.XMATCH(Figures!E$3,Tower!$E$4:$AM$4))</f>
        <v>#N/A</v>
      </c>
      <c r="F12" s="19" t="e" cm="1">
        <f t="array" ref="F12">INDEX(Tower!$E$10:$AM$469, _xlfn.XMATCH($C12,Tower!$C$10:$C$469), _xlfn.XMATCH(Figures!F$3,Tower!$E$4:$AM$4))</f>
        <v>#N/A</v>
      </c>
      <c r="G12" s="19" t="e" cm="1">
        <f t="array" ref="G12">INDEX(Tower!$E$10:$AM$469, _xlfn.XMATCH($C12,Tower!$C$10:$C$469), _xlfn.XMATCH(Figures!G$3,Tower!$E$4:$AM$4))</f>
        <v>#N/A</v>
      </c>
      <c r="H12" s="19" t="e" cm="1">
        <f t="array" ref="H12">INDEX(Tower!$E$10:$AM$469, _xlfn.XMATCH($C12,Tower!$C$10:$C$469), _xlfn.XMATCH(Figures!H$3,Tower!$E$4:$AM$4))</f>
        <v>#N/A</v>
      </c>
      <c r="I12" s="19" t="e" cm="1">
        <f t="array" ref="I12">INDEX(Tower!$E$10:$AM$469, _xlfn.XMATCH($C12,Tower!$C$10:$C$469), _xlfn.XMATCH(Figures!I$3,Tower!$E$4:$AM$4))</f>
        <v>#N/A</v>
      </c>
      <c r="J12" s="19" t="e" cm="1">
        <f t="array" ref="J12">INDEX(Tower!$E$10:$AM$469, _xlfn.XMATCH($C12,Tower!$C$10:$C$469), _xlfn.XMATCH(Figures!J$3,Tower!$E$4:$AM$4))</f>
        <v>#N/A</v>
      </c>
      <c r="K12" s="19" t="e" cm="1">
        <f t="array" ref="K12">INDEX(Tower!$E$10:$AM$469, _xlfn.XMATCH($C12,Tower!$C$10:$C$469), _xlfn.XMATCH(Figures!K$3,Tower!$E$4:$AM$4))</f>
        <v>#N/A</v>
      </c>
      <c r="L12" s="19" t="e" cm="1">
        <f t="array" ref="L12">INDEX(Tower!$E$10:$AM$469, _xlfn.XMATCH($C12,Tower!$C$10:$C$469), _xlfn.XMATCH(Figures!L$3,Tower!$E$4:$AM$4))</f>
        <v>#N/A</v>
      </c>
      <c r="M12" s="19" t="e" cm="1">
        <f t="array" ref="M12">INDEX(Tower!$E$10:$AM$469, _xlfn.XMATCH($C12,Tower!$C$10:$C$469), _xlfn.XMATCH(Figures!M$3,Tower!$E$4:$AM$4))</f>
        <v>#N/A</v>
      </c>
      <c r="N12" s="19" t="e" cm="1">
        <f t="array" ref="N12">INDEX(Tower!$E$10:$AM$469, _xlfn.XMATCH($C12,Tower!$C$10:$C$469), _xlfn.XMATCH(Figures!N$3,Tower!$E$4:$AM$4))</f>
        <v>#N/A</v>
      </c>
      <c r="O12" s="19" t="e" cm="1">
        <f t="array" ref="O12">INDEX(Tower!$E$10:$AM$469, _xlfn.XMATCH($C12,Tower!$C$10:$C$469), _xlfn.XMATCH(Figures!O$3,Tower!$E$4:$AM$4))</f>
        <v>#N/A</v>
      </c>
      <c r="P12" s="19" t="e" cm="1">
        <f t="array" ref="P12">INDEX(Tower!$E$10:$AM$469, _xlfn.XMATCH($C12,Tower!$C$10:$C$469), _xlfn.XMATCH(Figures!P$3,Tower!$E$4:$AM$4))</f>
        <v>#N/A</v>
      </c>
      <c r="Q12" s="19" t="e" cm="1">
        <f t="array" ref="Q12">INDEX(Tower!$E$10:$AM$469, _xlfn.XMATCH($C12,Tower!$C$10:$C$469), _xlfn.XMATCH(Figures!Q$3,Tower!$E$4:$AM$4))</f>
        <v>#N/A</v>
      </c>
      <c r="R12" s="19" t="e" cm="1">
        <f t="array" ref="R12">INDEX(Tower!$E$10:$AM$469, _xlfn.XMATCH($C12,Tower!$C$10:$C$469), _xlfn.XMATCH(Figures!R$3,Tower!$E$4:$AM$4))</f>
        <v>#N/A</v>
      </c>
      <c r="S12" s="19" t="e" cm="1">
        <f t="array" ref="S12">INDEX(Tower!$E$10:$AM$469, _xlfn.XMATCH($C12,Tower!$C$10:$C$469), _xlfn.XMATCH(Figures!S$3,Tower!$E$4:$AM$4))</f>
        <v>#N/A</v>
      </c>
      <c r="T12" s="19" t="e" cm="1">
        <f t="array" ref="T12">INDEX(Tower!$E$10:$AM$469, _xlfn.XMATCH($C12,Tower!$C$10:$C$469), _xlfn.XMATCH(Figures!T$3,Tower!$E$4:$AM$4))</f>
        <v>#N/A</v>
      </c>
      <c r="U12" s="19" t="e" cm="1">
        <f t="array" ref="U12">INDEX(Tower!$E$10:$AM$469, _xlfn.XMATCH($C12,Tower!$C$10:$C$469), _xlfn.XMATCH(Figures!U$3,Tower!$E$4:$AM$4))</f>
        <v>#N/A</v>
      </c>
      <c r="V12" s="19" t="e" cm="1">
        <f t="array" ref="V12">INDEX(Tower!$E$10:$AM$469, _xlfn.XMATCH($C12,Tower!$C$10:$C$469), _xlfn.XMATCH(Figures!V$3,Tower!$E$4:$AM$4))</f>
        <v>#N/A</v>
      </c>
      <c r="W12" s="19" t="e" cm="1">
        <f t="array" ref="W12">INDEX(Tower!$E$10:$AM$469, _xlfn.XMATCH($C12,Tower!$C$10:$C$469), _xlfn.XMATCH(Figures!W$3,Tower!$E$4:$AM$4))</f>
        <v>#N/A</v>
      </c>
      <c r="X12" s="19" t="e" cm="1">
        <f t="array" ref="X12">INDEX(Tower!$E$10:$AM$469, _xlfn.XMATCH($C12,Tower!$C$10:$C$469), _xlfn.XMATCH(Figures!X$3,Tower!$E$4:$AM$4))</f>
        <v>#N/A</v>
      </c>
      <c r="Y12" s="19" t="e" cm="1">
        <f t="array" ref="Y12">INDEX(Tower!$E$10:$AM$469, _xlfn.XMATCH($C12,Tower!$C$10:$C$469), _xlfn.XMATCH(Figures!Y$3,Tower!$E$4:$AM$4))</f>
        <v>#N/A</v>
      </c>
      <c r="Z12" s="19" t="e" cm="1">
        <f t="array" ref="Z12">INDEX(Tower!$E$10:$AZ$469, _xlfn.XMATCH($C12,Tower!$C$10:$C$469), _xlfn.XMATCH(Figures!Z$3,Tower!$E$4:$AZ$4))</f>
        <v>#N/A</v>
      </c>
      <c r="AA12" s="19" t="e" cm="1">
        <f t="array" ref="AA12">INDEX(Tower!$E$10:$AZ$469, _xlfn.XMATCH($C12,Tower!$C$10:$C$469), _xlfn.XMATCH(Figures!AA$3,Tower!$E$4:$AZ$4))</f>
        <v>#N/A</v>
      </c>
      <c r="AB12" s="19" t="e" cm="1">
        <f t="array" ref="AB12">INDEX(Tower!$E$10:$AZ$469, _xlfn.XMATCH($C12,Tower!$C$10:$C$469), _xlfn.XMATCH(Figures!AB$3,Tower!$E$4:$AZ$4))</f>
        <v>#N/A</v>
      </c>
      <c r="AC12" s="19" t="e" cm="1">
        <f t="array" ref="AC12">INDEX(Tower!$E$10:$AZ$469, _xlfn.XMATCH($C12,Tower!$C$10:$C$469), _xlfn.XMATCH(Figures!AC$3,Tower!$E$4:$AZ$4))</f>
        <v>#N/A</v>
      </c>
      <c r="AD12" s="19" t="e" cm="1">
        <f t="array" ref="AD12">INDEX(Tower!$E$10:$AZ$469, _xlfn.XMATCH($C12,Tower!$C$10:$C$469), _xlfn.XMATCH(Figures!AD$3,Tower!$E$4:$AZ$4))</f>
        <v>#N/A</v>
      </c>
      <c r="AE12" s="19" t="e" cm="1">
        <f t="array" ref="AE12">INDEX(Tower!$E$10:$AZ$469, _xlfn.XMATCH($C12,Tower!$C$10:$C$469), _xlfn.XMATCH(Figures!AE$3,Tower!$E$4:$AZ$4))</f>
        <v>#N/A</v>
      </c>
      <c r="AF12" s="19" t="e" cm="1">
        <f t="array" ref="AF12">INDEX(Tower!$E$10:$AZ$469, _xlfn.XMATCH($C12,Tower!$C$10:$C$469), _xlfn.XMATCH(Figures!AF$3,Tower!$E$4:$AZ$4))</f>
        <v>#N/A</v>
      </c>
      <c r="AG12" s="19" t="e" cm="1">
        <f t="array" ref="AG12">INDEX(Tower!$E$10:$AZ$469, _xlfn.XMATCH($C12,Tower!$C$10:$C$469), _xlfn.XMATCH(Figures!AG$3,Tower!$E$4:$AZ$4))</f>
        <v>#N/A</v>
      </c>
      <c r="AH12" s="19" t="e" cm="1">
        <f t="array" ref="AH12">INDEX(Tower!$E$10:$AZ$469, _xlfn.XMATCH($C12,Tower!$C$10:$C$469), _xlfn.XMATCH(Figures!AH$3,Tower!$E$4:$AZ$4))</f>
        <v>#N/A</v>
      </c>
      <c r="AI12" s="19" t="e" cm="1">
        <f t="array" ref="AI12">INDEX(Tower!$E$10:$AZ$469, _xlfn.XMATCH($C12,Tower!$C$10:$C$469), _xlfn.XMATCH(Figures!AI$3,Tower!$E$4:$AZ$4))</f>
        <v>#N/A</v>
      </c>
    </row>
    <row r="13" spans="2:35">
      <c r="C13" t="str">
        <f>Tower!C117</f>
        <v>Nespresso Best Guess Growth</v>
      </c>
      <c r="D13" s="19" cm="1">
        <f t="array" ref="D13">INDEX(Tower!$E$10:$AM$469, _xlfn.XMATCH($C13,Tower!$C$10:$C$469), _xlfn.XMATCH(Figures!D$3,Tower!$E$4:$AM$4))</f>
        <v>0</v>
      </c>
      <c r="E13" s="19" cm="1">
        <f t="array" ref="E13">INDEX(Tower!$E$10:$AM$469, _xlfn.XMATCH($C13,Tower!$C$10:$C$469), _xlfn.XMATCH(Figures!E$3,Tower!$E$4:$AM$4))</f>
        <v>0</v>
      </c>
      <c r="F13" s="19" cm="1">
        <f t="array" ref="F13">INDEX(Tower!$E$10:$AM$469, _xlfn.XMATCH($C13,Tower!$C$10:$C$469), _xlfn.XMATCH(Figures!F$3,Tower!$E$4:$AM$4))</f>
        <v>0</v>
      </c>
      <c r="G13" s="19" cm="1">
        <f t="array" ref="G13">INDEX(Tower!$E$10:$AM$469, _xlfn.XMATCH($C13,Tower!$C$10:$C$469), _xlfn.XMATCH(Figures!G$3,Tower!$E$4:$AM$4))</f>
        <v>0</v>
      </c>
      <c r="H13" s="19" cm="1">
        <f t="array" ref="H13">INDEX(Tower!$E$10:$AM$469, _xlfn.XMATCH($C13,Tower!$C$10:$C$469), _xlfn.XMATCH(Figures!H$3,Tower!$E$4:$AM$4))</f>
        <v>0</v>
      </c>
      <c r="I13" s="19" cm="1">
        <f t="array" ref="I13">INDEX(Tower!$E$10:$AM$469, _xlfn.XMATCH($C13,Tower!$C$10:$C$469), _xlfn.XMATCH(Figures!I$3,Tower!$E$4:$AM$4))</f>
        <v>0</v>
      </c>
      <c r="J13" s="19" cm="1">
        <f t="array" ref="J13">INDEX(Tower!$E$10:$AM$469, _xlfn.XMATCH($C13,Tower!$C$10:$C$469), _xlfn.XMATCH(Figures!J$3,Tower!$E$4:$AM$4))</f>
        <v>0</v>
      </c>
      <c r="K13" s="19" cm="1">
        <f t="array" ref="K13">INDEX(Tower!$E$10:$AM$469, _xlfn.XMATCH($C13,Tower!$C$10:$C$469), _xlfn.XMATCH(Figures!K$3,Tower!$E$4:$AM$4))</f>
        <v>0</v>
      </c>
      <c r="L13" s="19" cm="1">
        <f t="array" ref="L13">INDEX(Tower!$E$10:$AM$469, _xlfn.XMATCH($C13,Tower!$C$10:$C$469), _xlfn.XMATCH(Figures!L$3,Tower!$E$4:$AM$4))</f>
        <v>0</v>
      </c>
      <c r="M13" s="19" cm="1">
        <f t="array" ref="M13">INDEX(Tower!$E$10:$AM$469, _xlfn.XMATCH($C13,Tower!$C$10:$C$469), _xlfn.XMATCH(Figures!M$3,Tower!$E$4:$AM$4))</f>
        <v>0</v>
      </c>
      <c r="N13" s="19" cm="1">
        <f t="array" ref="N13">INDEX(Tower!$E$10:$AM$469, _xlfn.XMATCH($C13,Tower!$C$10:$C$469), _xlfn.XMATCH(Figures!N$3,Tower!$E$4:$AM$4))</f>
        <v>0</v>
      </c>
      <c r="O13" s="19" cm="1">
        <f t="array" ref="O13">INDEX(Tower!$E$10:$AM$469, _xlfn.XMATCH($C13,Tower!$C$10:$C$469), _xlfn.XMATCH(Figures!O$3,Tower!$E$4:$AM$4))</f>
        <v>0</v>
      </c>
      <c r="P13" s="19" cm="1">
        <f t="array" ref="P13">INDEX(Tower!$E$10:$AM$469, _xlfn.XMATCH($C13,Tower!$C$10:$C$469), _xlfn.XMATCH(Figures!P$3,Tower!$E$4:$AM$4))</f>
        <v>0.17100000000000001</v>
      </c>
      <c r="Q13" s="19" cm="1">
        <f t="array" ref="Q13">INDEX(Tower!$E$10:$AM$469, _xlfn.XMATCH($C13,Tower!$C$10:$C$469), _xlfn.XMATCH(Figures!Q$3,Tower!$E$4:$AM$4))</f>
        <v>0.12200000000000001</v>
      </c>
      <c r="R13" s="19" cm="1">
        <f t="array" ref="R13">INDEX(Tower!$E$10:$AM$469, _xlfn.XMATCH($C13,Tower!$C$10:$C$469), _xlfn.XMATCH(Figures!R$3,Tower!$E$4:$AM$4))</f>
        <v>0.04</v>
      </c>
      <c r="S13" s="19" cm="1">
        <f t="array" ref="S13">INDEX(Tower!$E$10:$AM$469, _xlfn.XMATCH($C13,Tower!$C$10:$C$469), _xlfn.XMATCH(Figures!S$3,Tower!$E$4:$AM$4))</f>
        <v>3.5000000000000003E-2</v>
      </c>
      <c r="T13" s="19" cm="1">
        <f t="array" ref="T13">INDEX(Tower!$E$10:$AM$469, _xlfn.XMATCH($C13,Tower!$C$10:$C$469), _xlfn.XMATCH(Figures!T$3,Tower!$E$4:$AM$4))</f>
        <v>3.3000000000000002E-2</v>
      </c>
      <c r="U13" s="19" cm="1">
        <f t="array" ref="U13">INDEX(Tower!$E$10:$AM$469, _xlfn.XMATCH($C13,Tower!$C$10:$C$469), _xlfn.XMATCH(Figures!U$3,Tower!$E$4:$AM$4))</f>
        <v>1.9000000000000003E-2</v>
      </c>
      <c r="V13" s="19" cm="1">
        <f t="array" ref="V13">INDEX(Tower!$E$10:$AM$469, _xlfn.XMATCH($C13,Tower!$C$10:$C$469), _xlfn.XMATCH(Figures!V$3,Tower!$E$4:$AM$4))</f>
        <v>3.8000000000000006E-2</v>
      </c>
      <c r="W13" s="19" cm="1">
        <f t="array" ref="W13">INDEX(Tower!$E$10:$AM$469, _xlfn.XMATCH($C13,Tower!$C$10:$C$469), _xlfn.XMATCH(Figures!W$3,Tower!$E$4:$AM$4))</f>
        <v>4.8000000000000001E-2</v>
      </c>
      <c r="X13" s="19" cm="1">
        <f t="array" ref="X13">INDEX(Tower!$E$10:$AM$469, _xlfn.XMATCH($C13,Tower!$C$10:$C$469), _xlfn.XMATCH(Figures!X$3,Tower!$E$4:$AM$4))</f>
        <v>2.8999999999999998E-2</v>
      </c>
      <c r="Y13" s="19" cm="1">
        <f t="array" ref="Y13">INDEX(Tower!$E$10:$AM$469, _xlfn.XMATCH($C13,Tower!$C$10:$C$469), _xlfn.XMATCH(Figures!Y$3,Tower!$E$4:$AM$4))</f>
        <v>6.1000000000000006E-2</v>
      </c>
      <c r="Z13" s="19" cm="1">
        <f t="array" ref="Z13">INDEX(Tower!$E$10:$AZ$469, _xlfn.XMATCH($C13,Tower!$C$10:$C$469), _xlfn.XMATCH(Figures!Z$3,Tower!$E$4:$AZ$4))</f>
        <v>1.318168785771956E-2</v>
      </c>
      <c r="AA13" s="19" cm="1">
        <f t="array" ref="AA13">INDEX(Tower!$E$10:$AZ$469, _xlfn.XMATCH($C13,Tower!$C$10:$C$469), _xlfn.XMATCH(Figures!AA$3,Tower!$E$4:$AZ$4))</f>
        <v>1.7931000867614566E-2</v>
      </c>
      <c r="AB13" s="19" cm="1">
        <f t="array" ref="AB13">INDEX(Tower!$E$10:$AZ$469, _xlfn.XMATCH($C13,Tower!$C$10:$C$469), _xlfn.XMATCH(Figures!AB$3,Tower!$E$4:$AZ$4))</f>
        <v>3.2773971956218118E-2</v>
      </c>
      <c r="AC13" s="19" cm="1">
        <f t="array" ref="AC13">INDEX(Tower!$E$10:$AZ$469, _xlfn.XMATCH($C13,Tower!$C$10:$C$469), _xlfn.XMATCH(Figures!AC$3,Tower!$E$4:$AZ$4))</f>
        <v>3.7851859592713089E-2</v>
      </c>
      <c r="AD13" s="19" cm="1">
        <f t="array" ref="AD13">INDEX(Tower!$E$10:$AZ$469, _xlfn.XMATCH($C13,Tower!$C$10:$C$469), _xlfn.XMATCH(Figures!AD$3,Tower!$E$4:$AZ$4))</f>
        <v>4.1429226320469859E-2</v>
      </c>
      <c r="AE13" s="19" cm="1">
        <f t="array" ref="AE13">INDEX(Tower!$E$10:$AZ$469, _xlfn.XMATCH($C13,Tower!$C$10:$C$469), _xlfn.XMATCH(Figures!AE$3,Tower!$E$4:$AZ$4))</f>
        <v>1.0633439680728607E-2</v>
      </c>
      <c r="AF13" s="19" cm="1">
        <f t="array" ref="AF13">INDEX(Tower!$E$10:$AZ$469, _xlfn.XMATCH($C13,Tower!$C$10:$C$469), _xlfn.XMATCH(Figures!AF$3,Tower!$E$4:$AZ$4))</f>
        <v>5.0405859159768918E-2</v>
      </c>
      <c r="AG13" s="19" cm="1">
        <f t="array" ref="AG13">INDEX(Tower!$E$10:$AZ$469, _xlfn.XMATCH($C13,Tower!$C$10:$C$469), _xlfn.XMATCH(Figures!AG$3,Tower!$E$4:$AZ$4))</f>
        <v>5.2445063859690499E-2</v>
      </c>
      <c r="AH13" s="19" cm="1">
        <f t="array" ref="AH13">INDEX(Tower!$E$10:$AZ$469, _xlfn.XMATCH($C13,Tower!$C$10:$C$469), _xlfn.XMATCH(Figures!AH$3,Tower!$E$4:$AZ$4))</f>
        <v>6.7860977380578946E-2</v>
      </c>
      <c r="AI13" s="19" cm="1">
        <f t="array" ref="AI13">INDEX(Tower!$E$10:$AZ$469, _xlfn.XMATCH($C13,Tower!$C$10:$C$469), _xlfn.XMATCH(Figures!AI$3,Tower!$E$4:$AZ$4))</f>
        <v>0.10285278326309921</v>
      </c>
    </row>
    <row r="15" spans="2:35">
      <c r="C15" t="str">
        <f>Tower!C22</f>
        <v>Volume growth - US - Refreshment beverages</v>
      </c>
      <c r="D15" s="19"/>
      <c r="E15" s="19"/>
      <c r="F15" s="19" cm="1">
        <f t="array" ref="F15">INDEX(Tower!$E$10:$AM$469, _xlfn.XMATCH($C15,Tower!$C$10:$C$469), _xlfn.XMATCH(Figures!F$3,Tower!$E$4:$AM$4))</f>
        <v>3.1E-2</v>
      </c>
      <c r="G15" s="19" cm="1">
        <f t="array" ref="G15">INDEX(Tower!$E$10:$AM$469, _xlfn.XMATCH($C15,Tower!$C$10:$C$469), _xlfn.XMATCH(Figures!G$3,Tower!$E$4:$AM$4))</f>
        <v>2.5249999999999998E-2</v>
      </c>
      <c r="H15" s="19" cm="1">
        <f t="array" ref="H15">INDEX(Tower!$E$10:$AM$469, _xlfn.XMATCH($C15,Tower!$C$10:$C$469), _xlfn.XMATCH(Figures!H$3,Tower!$E$4:$AM$4))</f>
        <v>-1.4499999999999999E-2</v>
      </c>
      <c r="I15" s="19" cm="1">
        <f t="array" ref="I15">INDEX(Tower!$E$10:$AM$469, _xlfn.XMATCH($C15,Tower!$C$10:$C$469), _xlfn.XMATCH(Figures!I$3,Tower!$E$4:$AM$4))</f>
        <v>-1.0500000000000001E-2</v>
      </c>
      <c r="J15" s="19" cm="1">
        <f t="array" ref="J15">INDEX(Tower!$E$10:$AM$469, _xlfn.XMATCH($C15,Tower!$C$10:$C$469), _xlfn.XMATCH(Figures!J$3,Tower!$E$4:$AM$4))</f>
        <v>1.3500000000000002E-2</v>
      </c>
      <c r="K15" s="19" cm="1">
        <f t="array" ref="K15">INDEX(Tower!$E$10:$AM$469, _xlfn.XMATCH($C15,Tower!$C$10:$C$469), _xlfn.XMATCH(Figures!K$3,Tower!$E$4:$AM$4))</f>
        <v>4.2000000000000003E-2</v>
      </c>
      <c r="L15" s="19" cm="1">
        <f t="array" ref="L15">INDEX(Tower!$E$10:$AM$469, _xlfn.XMATCH($C15,Tower!$C$10:$C$469), _xlfn.XMATCH(Figures!L$3,Tower!$E$4:$AM$4))</f>
        <v>3.5000000000000003E-2</v>
      </c>
      <c r="M15" s="19" cm="1">
        <f t="array" ref="M15">INDEX(Tower!$E$10:$AM$469, _xlfn.XMATCH($C15,Tower!$C$10:$C$469), _xlfn.XMATCH(Figures!M$3,Tower!$E$4:$AM$4))</f>
        <v>-2.4E-2</v>
      </c>
      <c r="N15" s="19" cm="1">
        <f t="array" ref="N15">INDEX(Tower!$E$10:$AM$469, _xlfn.XMATCH($C15,Tower!$C$10:$C$469), _xlfn.XMATCH(Figures!N$3,Tower!$E$4:$AM$4))</f>
        <v>3.3000000000000002E-2</v>
      </c>
      <c r="O15" s="19" cm="1">
        <f t="array" ref="O15">INDEX(Tower!$E$10:$AM$469, _xlfn.XMATCH($C15,Tower!$C$10:$C$469), _xlfn.XMATCH(Figures!O$3,Tower!$E$4:$AM$4))</f>
        <v>8.0000000000000002E-3</v>
      </c>
      <c r="P15" s="19" cm="1">
        <f t="array" ref="P15">INDEX(Tower!$E$10:$AM$469, _xlfn.XMATCH($C15,Tower!$C$10:$C$469), _xlfn.XMATCH(Figures!P$3,Tower!$E$4:$AM$4))</f>
        <v>5.2999999999999999E-2</v>
      </c>
      <c r="Q15" s="19" cm="1">
        <f t="array" ref="Q15">INDEX(Tower!$E$10:$AM$469, _xlfn.XMATCH($C15,Tower!$C$10:$C$469), _xlfn.XMATCH(Figures!Q$3,Tower!$E$4:$AM$4))</f>
        <v>6.7000000000000004E-2</v>
      </c>
      <c r="R15" s="19" cm="1">
        <f t="array" ref="R15">INDEX(Tower!$E$10:$AM$469, _xlfn.XMATCH($C15,Tower!$C$10:$C$469), _xlfn.XMATCH(Figures!R$3,Tower!$E$4:$AM$4))</f>
        <v>1.1000000000000001E-2</v>
      </c>
      <c r="S15" s="19" cm="1">
        <f t="array" ref="S15">INDEX(Tower!$E$10:$AM$469, _xlfn.XMATCH($C15,Tower!$C$10:$C$469), _xlfn.XMATCH(Figures!S$3,Tower!$E$4:$AM$4))</f>
        <v>8.199999999999999E-2</v>
      </c>
      <c r="T15" s="19" cm="1">
        <f t="array" ref="T15">INDEX(Tower!$E$10:$AM$469, _xlfn.XMATCH($C15,Tower!$C$10:$C$469), _xlfn.XMATCH(Figures!T$3,Tower!$E$4:$AM$4))</f>
        <v>4.5999999999999999E-2</v>
      </c>
      <c r="U15" s="19" cm="1">
        <f t="array" ref="U15">INDEX(Tower!$E$10:$AM$469, _xlfn.XMATCH($C15,Tower!$C$10:$C$469), _xlfn.XMATCH(Figures!U$3,Tower!$E$4:$AM$4))</f>
        <v>2.3E-2</v>
      </c>
      <c r="V15" s="19" cm="1">
        <f t="array" ref="V15">INDEX(Tower!$E$10:$AM$469, _xlfn.XMATCH($C15,Tower!$C$10:$C$469), _xlfn.XMATCH(Figures!V$3,Tower!$E$4:$AM$4))</f>
        <v>1E-3</v>
      </c>
      <c r="W15" s="19" cm="1">
        <f t="array" ref="W15">INDEX(Tower!$E$10:$AM$469, _xlfn.XMATCH($C15,Tower!$C$10:$C$469), _xlfn.XMATCH(Figures!W$3,Tower!$E$4:$AM$4))</f>
        <v>-3.7999999999999999E-2</v>
      </c>
      <c r="X15" s="19" cm="1">
        <f t="array" ref="X15">INDEX(Tower!$E$10:$AM$469, _xlfn.XMATCH($C15,Tower!$C$10:$C$469), _xlfn.XMATCH(Figures!X$3,Tower!$E$4:$AM$4))</f>
        <v>2E-3</v>
      </c>
      <c r="Y15" s="19" cm="1">
        <f t="array" ref="Y15">INDEX(Tower!$E$10:$AM$469, _xlfn.XMATCH($C15,Tower!$C$10:$C$469), _xlfn.XMATCH(Figures!Y$3,Tower!$E$4:$AM$4))</f>
        <v>-2E-3</v>
      </c>
    </row>
    <row r="16" spans="2:35">
      <c r="C16" t="str">
        <f>Tower!C25</f>
        <v>Price growth - US - Refreshment beverages</v>
      </c>
      <c r="D16" s="19"/>
      <c r="E16" s="19"/>
      <c r="F16" s="19" cm="1">
        <f t="array" ref="F16">INDEX(Tower!$E$10:$AM$469, _xlfn.XMATCH($C16,Tower!$C$10:$C$469), _xlfn.XMATCH(Figures!F$3,Tower!$E$4:$AM$4))</f>
        <v>1.1000000000000001E-2</v>
      </c>
      <c r="G16" s="19" cm="1">
        <f t="array" ref="G16">INDEX(Tower!$E$10:$AM$469, _xlfn.XMATCH($C16,Tower!$C$10:$C$469), _xlfn.XMATCH(Figures!G$3,Tower!$E$4:$AM$4))</f>
        <v>2.1250000000000002E-2</v>
      </c>
      <c r="H16" s="19" cm="1">
        <f t="array" ref="H16">INDEX(Tower!$E$10:$AM$469, _xlfn.XMATCH($C16,Tower!$C$10:$C$469), _xlfn.XMATCH(Figures!H$3,Tower!$E$4:$AM$4))</f>
        <v>4.7E-2</v>
      </c>
      <c r="I16" s="19" cm="1">
        <f t="array" ref="I16">INDEX(Tower!$E$10:$AM$469, _xlfn.XMATCH($C16,Tower!$C$10:$C$469), _xlfn.XMATCH(Figures!I$3,Tower!$E$4:$AM$4))</f>
        <v>3.2000000000000001E-2</v>
      </c>
      <c r="J16" s="19" cm="1">
        <f t="array" ref="J16">INDEX(Tower!$E$10:$AM$469, _xlfn.XMATCH($C16,Tower!$C$10:$C$469), _xlfn.XMATCH(Figures!J$3,Tower!$E$4:$AM$4))</f>
        <v>4.5999999999999999E-2</v>
      </c>
      <c r="K16" s="19" cm="1">
        <f t="array" ref="K16">INDEX(Tower!$E$10:$AM$469, _xlfn.XMATCH($C16,Tower!$C$10:$C$469), _xlfn.XMATCH(Figures!K$3,Tower!$E$4:$AM$4))</f>
        <v>1.55E-2</v>
      </c>
      <c r="L16" s="19" cm="1">
        <f t="array" ref="L16">INDEX(Tower!$E$10:$AM$469, _xlfn.XMATCH($C16,Tower!$C$10:$C$469), _xlfn.XMATCH(Figures!L$3,Tower!$E$4:$AM$4))</f>
        <v>1.3999999999999999E-2</v>
      </c>
      <c r="M16" s="19" cm="1">
        <f t="array" ref="M16">INDEX(Tower!$E$10:$AM$469, _xlfn.XMATCH($C16,Tower!$C$10:$C$469), _xlfn.XMATCH(Figures!M$3,Tower!$E$4:$AM$4))</f>
        <v>-2.5499999999999998E-2</v>
      </c>
      <c r="N16" s="19" cm="1">
        <f t="array" ref="N16">INDEX(Tower!$E$10:$AM$469, _xlfn.XMATCH($C16,Tower!$C$10:$C$469), _xlfn.XMATCH(Figures!N$3,Tower!$E$4:$AM$4))</f>
        <v>9.4999999999999998E-3</v>
      </c>
      <c r="O16" s="19" cm="1">
        <f t="array" ref="O16">INDEX(Tower!$E$10:$AM$469, _xlfn.XMATCH($C16,Tower!$C$10:$C$469), _xlfn.XMATCH(Figures!O$3,Tower!$E$4:$AM$4))</f>
        <v>2.5000000000000001E-3</v>
      </c>
      <c r="P16" s="19" cm="1">
        <f t="array" ref="P16">INDEX(Tower!$E$10:$AM$469, _xlfn.XMATCH($C16,Tower!$C$10:$C$469), _xlfn.XMATCH(Figures!P$3,Tower!$E$4:$AM$4))</f>
        <v>1.3999999999999999E-2</v>
      </c>
      <c r="Q16" s="19" cm="1">
        <f t="array" ref="Q16">INDEX(Tower!$E$10:$AM$469, _xlfn.XMATCH($C16,Tower!$C$10:$C$469), _xlfn.XMATCH(Figures!Q$3,Tower!$E$4:$AM$4))</f>
        <v>2.8999999999999998E-2</v>
      </c>
      <c r="R16" s="19" cm="1">
        <f t="array" ref="R16">INDEX(Tower!$E$10:$AM$469, _xlfn.XMATCH($C16,Tower!$C$10:$C$469), _xlfn.XMATCH(Figures!R$3,Tower!$E$4:$AM$4))</f>
        <v>6.8000000000000005E-2</v>
      </c>
      <c r="S16" s="19" cm="1">
        <f t="array" ref="S16">INDEX(Tower!$E$10:$AM$469, _xlfn.XMATCH($C16,Tower!$C$10:$C$469), _xlfn.XMATCH(Figures!S$3,Tower!$E$4:$AM$4))</f>
        <v>7.4999999999999997E-2</v>
      </c>
      <c r="T16" s="19" cm="1">
        <f t="array" ref="T16">INDEX(Tower!$E$10:$AM$469, _xlfn.XMATCH($C16,Tower!$C$10:$C$469), _xlfn.XMATCH(Figures!T$3,Tower!$E$4:$AM$4))</f>
        <v>8.199999999999999E-2</v>
      </c>
      <c r="U16" s="19" cm="1">
        <f t="array" ref="U16">INDEX(Tower!$E$10:$AM$469, _xlfn.XMATCH($C16,Tower!$C$10:$C$469), _xlfn.XMATCH(Figures!U$3,Tower!$E$4:$AM$4))</f>
        <v>0.13</v>
      </c>
      <c r="V16" s="19" cm="1">
        <f t="array" ref="V16">INDEX(Tower!$E$10:$AM$469, _xlfn.XMATCH($C16,Tower!$C$10:$C$469), _xlfn.XMATCH(Figures!V$3,Tower!$E$4:$AM$4))</f>
        <v>0.14300000000000002</v>
      </c>
      <c r="W16" s="19" cm="1">
        <f t="array" ref="W16">INDEX(Tower!$E$10:$AM$469, _xlfn.XMATCH($C16,Tower!$C$10:$C$469), _xlfn.XMATCH(Figures!W$3,Tower!$E$4:$AM$4))</f>
        <v>0.153</v>
      </c>
      <c r="X16" s="19" cm="1">
        <f t="array" ref="X16">INDEX(Tower!$E$10:$AM$469, _xlfn.XMATCH($C16,Tower!$C$10:$C$469), _xlfn.XMATCH(Figures!X$3,Tower!$E$4:$AM$4))</f>
        <v>0.125</v>
      </c>
      <c r="Y16" s="19" cm="1">
        <f t="array" ref="Y16">INDEX(Tower!$E$10:$AM$469, _xlfn.XMATCH($C16,Tower!$C$10:$C$469), _xlfn.XMATCH(Figures!Y$3,Tower!$E$4:$AM$4))</f>
        <v>0.12</v>
      </c>
    </row>
    <row r="17" spans="2:35">
      <c r="C17" t="s">
        <v>669</v>
      </c>
      <c r="D17" s="19"/>
      <c r="E17" s="19"/>
      <c r="F17" s="19" cm="1">
        <f t="array" ref="F17">INDEX(Tower!$E$10:$AM$469, _xlfn.XMATCH($C17,Tower!$C$10:$C$469), _xlfn.XMATCH(Figures!F$3,Tower!$E$4:$AM$4))</f>
        <v>4.2000000000000003E-2</v>
      </c>
      <c r="G17" s="19" cm="1">
        <f t="array" ref="G17">INDEX(Tower!$E$10:$AM$469, _xlfn.XMATCH($C17,Tower!$C$10:$C$469), _xlfn.XMATCH(Figures!G$3,Tower!$E$4:$AM$4))</f>
        <v>4.65E-2</v>
      </c>
      <c r="H17" s="19" cm="1">
        <f t="array" ref="H17">INDEX(Tower!$E$10:$AM$469, _xlfn.XMATCH($C17,Tower!$C$10:$C$469), _xlfn.XMATCH(Figures!H$3,Tower!$E$4:$AM$4))</f>
        <v>3.2500000000000001E-2</v>
      </c>
      <c r="I17" s="19" cm="1">
        <f t="array" ref="I17">INDEX(Tower!$E$10:$AM$469, _xlfn.XMATCH($C17,Tower!$C$10:$C$469), _xlfn.XMATCH(Figures!I$3,Tower!$E$4:$AM$4))</f>
        <v>2.1499999999999998E-2</v>
      </c>
      <c r="J17" s="19" cm="1">
        <f t="array" ref="J17">INDEX(Tower!$E$10:$AM$469, _xlfn.XMATCH($C17,Tower!$C$10:$C$469), _xlfn.XMATCH(Figures!J$3,Tower!$E$4:$AM$4))</f>
        <v>5.9499999999999997E-2</v>
      </c>
      <c r="K17" s="19" cm="1">
        <f t="array" ref="K17">INDEX(Tower!$E$10:$AM$469, _xlfn.XMATCH($C17,Tower!$C$10:$C$469), _xlfn.XMATCH(Figures!K$3,Tower!$E$4:$AM$4))</f>
        <v>5.7500000000000002E-2</v>
      </c>
      <c r="L17" s="19" cm="1">
        <f t="array" ref="L17">INDEX(Tower!$E$10:$AM$469, _xlfn.XMATCH($C17,Tower!$C$10:$C$469), _xlfn.XMATCH(Figures!L$3,Tower!$E$4:$AM$4))</f>
        <v>4.9000000000000002E-2</v>
      </c>
      <c r="M17" s="19" cm="1">
        <f t="array" ref="M17">INDEX(Tower!$E$10:$AM$469, _xlfn.XMATCH($C17,Tower!$C$10:$C$469), _xlfn.XMATCH(Figures!M$3,Tower!$E$4:$AM$4))</f>
        <v>-4.9500000000000002E-2</v>
      </c>
      <c r="N17" s="19" cm="1">
        <f t="array" ref="N17">INDEX(Tower!$E$10:$AM$469, _xlfn.XMATCH($C17,Tower!$C$10:$C$469), _xlfn.XMATCH(Figures!N$3,Tower!$E$4:$AM$4))</f>
        <v>4.2500000000000003E-2</v>
      </c>
      <c r="O17" s="19" cm="1">
        <f t="array" ref="O17">INDEX(Tower!$E$10:$AM$469, _xlfn.XMATCH($C17,Tower!$C$10:$C$469), _xlfn.XMATCH(Figures!O$3,Tower!$E$4:$AM$4))</f>
        <v>1.0500000000000001E-2</v>
      </c>
      <c r="P17" s="19" cm="1">
        <f t="array" ref="P17">INDEX(Tower!$E$10:$AM$469, _xlfn.XMATCH($C17,Tower!$C$10:$C$469), _xlfn.XMATCH(Figures!P$3,Tower!$E$4:$AM$4))</f>
        <v>6.7000000000000004E-2</v>
      </c>
      <c r="Q17" s="19" cm="1">
        <f t="array" ref="Q17">INDEX(Tower!$E$10:$AM$469, _xlfn.XMATCH($C17,Tower!$C$10:$C$469), _xlfn.XMATCH(Figures!Q$3,Tower!$E$4:$AM$4))</f>
        <v>9.6000000000000002E-2</v>
      </c>
      <c r="R17" s="19" cm="1">
        <f t="array" ref="R17">INDEX(Tower!$E$10:$AM$469, _xlfn.XMATCH($C17,Tower!$C$10:$C$469), _xlfn.XMATCH(Figures!R$3,Tower!$E$4:$AM$4))</f>
        <v>7.9000000000000001E-2</v>
      </c>
      <c r="S17" s="19" cm="1">
        <f t="array" ref="S17">INDEX(Tower!$E$10:$AM$469, _xlfn.XMATCH($C17,Tower!$C$10:$C$469), _xlfn.XMATCH(Figures!S$3,Tower!$E$4:$AM$4))</f>
        <v>0.15699999999999997</v>
      </c>
      <c r="T17" s="19" cm="1">
        <f t="array" ref="T17">INDEX(Tower!$E$10:$AM$469, _xlfn.XMATCH($C17,Tower!$C$10:$C$469), _xlfn.XMATCH(Figures!T$3,Tower!$E$4:$AM$4))</f>
        <v>0.128</v>
      </c>
      <c r="U17" s="19" cm="1">
        <f t="array" ref="U17">INDEX(Tower!$E$10:$AM$469, _xlfn.XMATCH($C17,Tower!$C$10:$C$469), _xlfn.XMATCH(Figures!U$3,Tower!$E$4:$AM$4))</f>
        <v>0.153</v>
      </c>
      <c r="V17" s="19" cm="1">
        <f t="array" ref="V17">INDEX(Tower!$E$10:$AM$469, _xlfn.XMATCH($C17,Tower!$C$10:$C$469), _xlfn.XMATCH(Figures!V$3,Tower!$E$4:$AM$4))</f>
        <v>0.14400000000000002</v>
      </c>
      <c r="W17" s="19" cm="1">
        <f t="array" ref="W17">INDEX(Tower!$E$10:$AM$469, _xlfn.XMATCH($C17,Tower!$C$10:$C$469), _xlfn.XMATCH(Figures!W$3,Tower!$E$4:$AM$4))</f>
        <v>0.11499999999999999</v>
      </c>
      <c r="X17" s="19" cm="1">
        <f t="array" ref="X17">INDEX(Tower!$E$10:$AM$469, _xlfn.XMATCH($C17,Tower!$C$10:$C$469), _xlfn.XMATCH(Figures!X$3,Tower!$E$4:$AM$4))</f>
        <v>0.127</v>
      </c>
      <c r="Y17" s="19" cm="1">
        <f t="array" ref="Y17">INDEX(Tower!$E$10:$AM$469, _xlfn.XMATCH($C17,Tower!$C$10:$C$469), _xlfn.XMATCH(Figures!Y$3,Tower!$E$4:$AM$4))</f>
        <v>0.11799999999999999</v>
      </c>
    </row>
    <row r="19" spans="2:35">
      <c r="C19" s="6" t="s">
        <v>647</v>
      </c>
      <c r="F19" s="19" cm="1">
        <f t="array" ref="F19">INDEX(Tower!$E$10:$AM$469, _xlfn.XMATCH($C19,Tower!$C$10:$C$469), _xlfn.XMATCH(Figures!F$3,Tower!$E$4:$AM$4))</f>
        <v>1.384615384615385E-2</v>
      </c>
      <c r="G19" s="19" cm="1">
        <f t="array" ref="G19">INDEX(Tower!$E$10:$AM$469, _xlfn.XMATCH($C19,Tower!$C$10:$C$469), _xlfn.XMATCH(Figures!G$3,Tower!$E$4:$AM$4))</f>
        <v>-2.6923076923076921E-2</v>
      </c>
      <c r="H19" s="19" cm="1">
        <f t="array" ref="H19">INDEX(Tower!$E$10:$AM$469, _xlfn.XMATCH($C19,Tower!$C$10:$C$469), _xlfn.XMATCH(Figures!H$3,Tower!$E$4:$AM$4))</f>
        <v>-0.03</v>
      </c>
      <c r="I19" s="19" cm="1">
        <f t="array" ref="I19">INDEX(Tower!$E$10:$AM$469, _xlfn.XMATCH($C19,Tower!$C$10:$C$469), _xlfn.XMATCH(Figures!I$3,Tower!$E$4:$AM$4))</f>
        <v>-1.0092640692640691E-2</v>
      </c>
      <c r="J19" s="19" cm="1">
        <f t="array" ref="J19">INDEX(Tower!$E$10:$AM$469, _xlfn.XMATCH($C19,Tower!$C$10:$C$469), _xlfn.XMATCH(Figures!J$3,Tower!$E$4:$AM$4))</f>
        <v>-8.6666666666666697E-3</v>
      </c>
      <c r="K19" s="19" cm="1">
        <f t="array" ref="K19">INDEX(Tower!$E$10:$AM$469, _xlfn.XMATCH($C19,Tower!$C$10:$C$469), _xlfn.XMATCH(Figures!K$3,Tower!$E$4:$AM$4))</f>
        <v>2.947754240771697E-2</v>
      </c>
      <c r="L19" s="19" cm="1">
        <f t="array" ref="L19">INDEX(Tower!$E$10:$AM$469, _xlfn.XMATCH($C19,Tower!$C$10:$C$469), _xlfn.XMATCH(Figures!L$3,Tower!$E$4:$AM$4))</f>
        <v>0.03</v>
      </c>
      <c r="M19" s="19" cm="1">
        <f t="array" ref="M19">INDEX(Tower!$E$10:$AM$469, _xlfn.XMATCH($C19,Tower!$C$10:$C$469), _xlfn.XMATCH(Figures!M$3,Tower!$E$4:$AM$4))</f>
        <v>-0.17986666666666667</v>
      </c>
      <c r="N19" s="19" cm="1">
        <f t="array" ref="N19">INDEX(Tower!$E$10:$AM$469, _xlfn.XMATCH($C19,Tower!$C$10:$C$469), _xlfn.XMATCH(Figures!N$3,Tower!$E$4:$AM$4))</f>
        <v>-6.9714285714285729E-2</v>
      </c>
      <c r="O19" s="19" cm="1">
        <f t="array" ref="O19">INDEX(Tower!$E$10:$AM$469, _xlfn.XMATCH($C19,Tower!$C$10:$C$469), _xlfn.XMATCH(Figures!O$3,Tower!$E$4:$AM$4))</f>
        <v>-0.06</v>
      </c>
      <c r="P19" s="19" cm="1">
        <f t="array" ref="P19">INDEX(Tower!$E$10:$AM$469, _xlfn.XMATCH($C19,Tower!$C$10:$C$469), _xlfn.XMATCH(Figures!P$3,Tower!$E$4:$AM$4))</f>
        <v>0</v>
      </c>
      <c r="Q19" s="19" cm="1">
        <f t="array" ref="Q19">INDEX(Tower!$E$10:$AM$469, _xlfn.XMATCH($C19,Tower!$C$10:$C$469), _xlfn.XMATCH(Figures!Q$3,Tower!$E$4:$AM$4))</f>
        <v>0.15966666666666668</v>
      </c>
      <c r="R19" s="19" cm="1">
        <f t="array" ref="R19">INDEX(Tower!$E$10:$AM$469, _xlfn.XMATCH($C19,Tower!$C$10:$C$469), _xlfn.XMATCH(Figures!R$3,Tower!$E$4:$AM$4))</f>
        <v>7.1083333333333332E-2</v>
      </c>
      <c r="S19" s="19" cm="1">
        <f t="array" ref="S19">INDEX(Tower!$E$10:$AM$469, _xlfn.XMATCH($C19,Tower!$C$10:$C$469), _xlfn.XMATCH(Figures!S$3,Tower!$E$4:$AM$4))</f>
        <v>4.1666666666666671E-2</v>
      </c>
      <c r="T19" s="19" cm="1">
        <f t="array" ref="T19">INDEX(Tower!$E$10:$AM$469, _xlfn.XMATCH($C19,Tower!$C$10:$C$469), _xlfn.XMATCH(Figures!T$3,Tower!$E$4:$AM$4))</f>
        <v>0.03</v>
      </c>
      <c r="U19" s="19" cm="1">
        <f t="array" ref="U19">INDEX(Tower!$E$10:$AM$469, _xlfn.XMATCH($C19,Tower!$C$10:$C$469), _xlfn.XMATCH(Figures!U$3,Tower!$E$4:$AM$4))</f>
        <v>0.03</v>
      </c>
      <c r="V19" s="19" cm="1">
        <f t="array" ref="V19">INDEX(Tower!$E$10:$AM$469, _xlfn.XMATCH($C19,Tower!$C$10:$C$469), _xlfn.XMATCH(Figures!V$3,Tower!$E$4:$AM$4))</f>
        <v>-0.01</v>
      </c>
      <c r="W19" s="19" cm="1">
        <f t="array" ref="W19">INDEX(Tower!$E$10:$AM$469, _xlfn.XMATCH($C19,Tower!$C$10:$C$469), _xlfn.XMATCH(Figures!W$3,Tower!$E$4:$AM$4))</f>
        <v>7.9106493761666192E-3</v>
      </c>
      <c r="X19" s="19" cm="1">
        <f t="array" ref="X19">INDEX(Tower!$E$10:$AM$469, _xlfn.XMATCH($C19,Tower!$C$10:$C$469), _xlfn.XMATCH(Figures!X$3,Tower!$E$4:$AM$4))</f>
        <v>-0.02</v>
      </c>
      <c r="Y19" s="19" cm="1">
        <f t="array" ref="Y19">INDEX(Tower!$E$10:$AM$469, _xlfn.XMATCH($C19,Tower!$C$10:$C$469), _xlfn.XMATCH(Figures!Y$3,Tower!$E$4:$AM$4))</f>
        <v>-1E-3</v>
      </c>
    </row>
    <row r="20" spans="2:35">
      <c r="C20" s="6" t="s">
        <v>649</v>
      </c>
      <c r="F20" s="19" cm="1">
        <f t="array" ref="F20">INDEX(Tower!$E$10:$AM$469, _xlfn.XMATCH($C20,Tower!$C$10:$C$469), _xlfn.XMATCH(Figures!F$3,Tower!$E$4:$AM$4))</f>
        <v>-4.2956324615384996E-4</v>
      </c>
      <c r="G20" s="19" cm="1">
        <f t="array" ref="G20">INDEX(Tower!$E$10:$AM$469, _xlfn.XMATCH($C20,Tower!$C$10:$C$469), _xlfn.XMATCH(Figures!G$3,Tower!$E$4:$AM$4))</f>
        <v>0.02</v>
      </c>
      <c r="H20" s="19" cm="1">
        <f t="array" ref="H20">INDEX(Tower!$E$10:$AM$469, _xlfn.XMATCH($C20,Tower!$C$10:$C$469), _xlfn.XMATCH(Figures!H$3,Tower!$E$4:$AM$4))</f>
        <v>4.0198576707976351E-2</v>
      </c>
      <c r="I20" s="19" cm="1">
        <f t="array" ref="I20">INDEX(Tower!$E$10:$AM$469, _xlfn.XMATCH($C20,Tower!$C$10:$C$469), _xlfn.XMATCH(Figures!I$3,Tower!$E$4:$AM$4))</f>
        <v>3.9896728540213429E-2</v>
      </c>
      <c r="J20" s="19" cm="1">
        <f t="array" ref="J20">INDEX(Tower!$E$10:$AM$469, _xlfn.XMATCH($C20,Tower!$C$10:$C$469), _xlfn.XMATCH(Figures!J$3,Tower!$E$4:$AM$4))</f>
        <v>3.0370736372677492E-2</v>
      </c>
      <c r="K20" s="19" cm="1">
        <f t="array" ref="K20">INDEX(Tower!$E$10:$AM$469, _xlfn.XMATCH($C20,Tower!$C$10:$C$469), _xlfn.XMATCH(Figures!K$3,Tower!$E$4:$AM$4))</f>
        <v>1.9354252307895402E-2</v>
      </c>
      <c r="L20" s="19" cm="1">
        <f t="array" ref="L20">INDEX(Tower!$E$10:$AM$469, _xlfn.XMATCH($C20,Tower!$C$10:$C$469), _xlfn.XMATCH(Figures!L$3,Tower!$E$4:$AM$4))</f>
        <v>1.0125809513815261E-2</v>
      </c>
      <c r="M20" s="19" cm="1">
        <f t="array" ref="M20">INDEX(Tower!$E$10:$AM$469, _xlfn.XMATCH($C20,Tower!$C$10:$C$469), _xlfn.XMATCH(Figures!M$3,Tower!$E$4:$AM$4))</f>
        <v>2.1976296993956001E-4</v>
      </c>
      <c r="N20" s="19" cm="1">
        <f t="array" ref="N20">INDEX(Tower!$E$10:$AM$469, _xlfn.XMATCH($C20,Tower!$C$10:$C$469), _xlfn.XMATCH(Figures!N$3,Tower!$E$4:$AM$4))</f>
        <v>3.9928795933602663E-2</v>
      </c>
      <c r="O20" s="19" cm="1">
        <f t="array" ref="O20">INDEX(Tower!$E$10:$AM$469, _xlfn.XMATCH($C20,Tower!$C$10:$C$469), _xlfn.XMATCH(Figures!O$3,Tower!$E$4:$AM$4))</f>
        <v>0.03</v>
      </c>
      <c r="P20" s="19" cm="1">
        <f t="array" ref="P20">INDEX(Tower!$E$10:$AM$469, _xlfn.XMATCH($C20,Tower!$C$10:$C$469), _xlfn.XMATCH(Figures!P$3,Tower!$E$4:$AM$4))</f>
        <v>4.0037593984962407E-2</v>
      </c>
      <c r="Q20" s="19" cm="1">
        <f t="array" ref="Q20">INDEX(Tower!$E$10:$AM$469, _xlfn.XMATCH($C20,Tower!$C$10:$C$469), _xlfn.XMATCH(Figures!Q$3,Tower!$E$4:$AM$4))</f>
        <v>0.11898652053997077</v>
      </c>
      <c r="R20" s="19" cm="1">
        <f t="array" ref="R20">INDEX(Tower!$E$10:$AM$469, _xlfn.XMATCH($C20,Tower!$C$10:$C$469), _xlfn.XMATCH(Figures!R$3,Tower!$E$4:$AM$4))</f>
        <v>5.0265395417826549E-2</v>
      </c>
      <c r="S20" s="19" cm="1">
        <f t="array" ref="S20">INDEX(Tower!$E$10:$AM$469, _xlfn.XMATCH($C20,Tower!$C$10:$C$469), _xlfn.XMATCH(Figures!S$3,Tower!$E$4:$AM$4))</f>
        <v>0.09</v>
      </c>
      <c r="T20" s="19" cm="1">
        <f t="array" ref="T20">INDEX(Tower!$E$10:$AM$469, _xlfn.XMATCH($C20,Tower!$C$10:$C$469), _xlfn.XMATCH(Figures!T$3,Tower!$E$4:$AM$4))</f>
        <v>0.11</v>
      </c>
      <c r="U20" s="19" cm="1">
        <f t="array" ref="U20">INDEX(Tower!$E$10:$AM$469, _xlfn.XMATCH($C20,Tower!$C$10:$C$469), _xlfn.XMATCH(Figures!U$3,Tower!$E$4:$AM$4))</f>
        <v>0.10074878987756634</v>
      </c>
      <c r="V20" s="19" cm="1">
        <f t="array" ref="V20">INDEX(Tower!$E$10:$AM$469, _xlfn.XMATCH($C20,Tower!$C$10:$C$469), _xlfn.XMATCH(Figures!V$3,Tower!$E$4:$AM$4))</f>
        <v>0.15076017674106207</v>
      </c>
      <c r="W20" s="19" cm="1">
        <f t="array" ref="W20">INDEX(Tower!$E$10:$AM$469, _xlfn.XMATCH($C20,Tower!$C$10:$C$469), _xlfn.XMATCH(Figures!W$3,Tower!$E$4:$AM$4))</f>
        <v>0.11988751764563267</v>
      </c>
      <c r="X20" s="19" cm="1">
        <f t="array" ref="X20">INDEX(Tower!$E$10:$AM$469, _xlfn.XMATCH($C20,Tower!$C$10:$C$469), _xlfn.XMATCH(Figures!X$3,Tower!$E$4:$AM$4))</f>
        <v>0.10994784264680799</v>
      </c>
      <c r="Y20" s="19" cm="1">
        <f t="array" ref="Y20">INDEX(Tower!$E$10:$AM$469, _xlfn.XMATCH($C20,Tower!$C$10:$C$469), _xlfn.XMATCH(Figures!Y$3,Tower!$E$4:$AM$4))</f>
        <v>8.967025448746957E-2</v>
      </c>
    </row>
    <row r="21" spans="2:35">
      <c r="C21" s="6" t="s">
        <v>670</v>
      </c>
      <c r="F21" s="19" cm="1">
        <f t="array" ref="F21">INDEX(Tower!$E$10:$AM$469, _xlfn.XMATCH($C21,Tower!$C$10:$C$469), _xlfn.XMATCH(Figures!F$3,Tower!$E$4:$AM$4))</f>
        <v>1.34165906E-2</v>
      </c>
      <c r="G21" s="19" cm="1">
        <f t="array" ref="G21">INDEX(Tower!$E$10:$AM$469, _xlfn.XMATCH($C21,Tower!$C$10:$C$469), _xlfn.XMATCH(Figures!G$3,Tower!$E$4:$AM$4))</f>
        <v>-6.9230769230769207E-3</v>
      </c>
      <c r="H21" s="19" cm="1">
        <f t="array" ref="H21">INDEX(Tower!$E$10:$AM$469, _xlfn.XMATCH($C21,Tower!$C$10:$C$469), _xlfn.XMATCH(Figures!H$3,Tower!$E$4:$AM$4))</f>
        <v>1.0198576707976352E-2</v>
      </c>
      <c r="I21" s="19" cm="1">
        <f t="array" ref="I21">INDEX(Tower!$E$10:$AM$469, _xlfn.XMATCH($C21,Tower!$C$10:$C$469), _xlfn.XMATCH(Figures!I$3,Tower!$E$4:$AM$4))</f>
        <v>2.9804087847572738E-2</v>
      </c>
      <c r="J21" s="19" cm="1">
        <f t="array" ref="J21">INDEX(Tower!$E$10:$AM$469, _xlfn.XMATCH($C21,Tower!$C$10:$C$469), _xlfn.XMATCH(Figures!J$3,Tower!$E$4:$AM$4))</f>
        <v>2.1704069706010822E-2</v>
      </c>
      <c r="K21" s="19" cm="1">
        <f t="array" ref="K21">INDEX(Tower!$E$10:$AM$469, _xlfn.XMATCH($C21,Tower!$C$10:$C$469), _xlfn.XMATCH(Figures!K$3,Tower!$E$4:$AM$4))</f>
        <v>4.8831794715612373E-2</v>
      </c>
      <c r="L21" s="19" cm="1">
        <f t="array" ref="L21">INDEX(Tower!$E$10:$AM$469, _xlfn.XMATCH($C21,Tower!$C$10:$C$469), _xlfn.XMATCH(Figures!L$3,Tower!$E$4:$AM$4))</f>
        <v>4.012580951381526E-2</v>
      </c>
      <c r="M21" s="19" cm="1">
        <f t="array" ref="M21">INDEX(Tower!$E$10:$AM$469, _xlfn.XMATCH($C21,Tower!$C$10:$C$469), _xlfn.XMATCH(Figures!M$3,Tower!$E$4:$AM$4))</f>
        <v>-0.17964690369672712</v>
      </c>
      <c r="N21" s="19" cm="1">
        <f t="array" ref="N21">INDEX(Tower!$E$10:$AM$469, _xlfn.XMATCH($C21,Tower!$C$10:$C$469), _xlfn.XMATCH(Figures!N$3,Tower!$E$4:$AM$4))</f>
        <v>-2.9785489780683065E-2</v>
      </c>
      <c r="O21" s="19" cm="1">
        <f t="array" ref="O21">INDEX(Tower!$E$10:$AM$469, _xlfn.XMATCH($C21,Tower!$C$10:$C$469), _xlfn.XMATCH(Figures!O$3,Tower!$E$4:$AM$4))</f>
        <v>-0.03</v>
      </c>
      <c r="P21" s="19" cm="1">
        <f t="array" ref="P21">INDEX(Tower!$E$10:$AM$469, _xlfn.XMATCH($C21,Tower!$C$10:$C$469), _xlfn.XMATCH(Figures!P$3,Tower!$E$4:$AM$4))</f>
        <v>4.0037593984962407E-2</v>
      </c>
      <c r="Q21" s="19" cm="1">
        <f t="array" ref="Q21">INDEX(Tower!$E$10:$AM$469, _xlfn.XMATCH($C21,Tower!$C$10:$C$469), _xlfn.XMATCH(Figures!Q$3,Tower!$E$4:$AM$4))</f>
        <v>0.27865318720663745</v>
      </c>
      <c r="R21" s="19" cm="1">
        <f t="array" ref="R21">INDEX(Tower!$E$10:$AM$469, _xlfn.XMATCH($C21,Tower!$C$10:$C$469), _xlfn.XMATCH(Figures!R$3,Tower!$E$4:$AM$4))</f>
        <v>0.12134872875115987</v>
      </c>
      <c r="S21" s="19" cm="1">
        <f t="array" ref="S21">INDEX(Tower!$E$10:$AM$469, _xlfn.XMATCH($C21,Tower!$C$10:$C$469), _xlfn.XMATCH(Figures!S$3,Tower!$E$4:$AM$4))</f>
        <v>0.13166666666666665</v>
      </c>
      <c r="T21" s="19" cm="1">
        <f t="array" ref="T21">INDEX(Tower!$E$10:$AM$469, _xlfn.XMATCH($C21,Tower!$C$10:$C$469), _xlfn.XMATCH(Figures!T$3,Tower!$E$4:$AM$4))</f>
        <v>0.14000000000000001</v>
      </c>
      <c r="U21" s="19" cm="1">
        <f t="array" ref="U21">INDEX(Tower!$E$10:$AM$469, _xlfn.XMATCH($C21,Tower!$C$10:$C$469), _xlfn.XMATCH(Figures!U$3,Tower!$E$4:$AM$4))</f>
        <v>0.13074878987756633</v>
      </c>
      <c r="V21" s="19" cm="1">
        <f t="array" ref="V21">INDEX(Tower!$E$10:$AM$469, _xlfn.XMATCH($C21,Tower!$C$10:$C$469), _xlfn.XMATCH(Figures!V$3,Tower!$E$4:$AM$4))</f>
        <v>0.14076017674106206</v>
      </c>
      <c r="W21" s="19" cm="1">
        <f t="array" ref="W21">INDEX(Tower!$E$10:$AM$469, _xlfn.XMATCH($C21,Tower!$C$10:$C$469), _xlfn.XMATCH(Figures!W$3,Tower!$E$4:$AM$4))</f>
        <v>0.1277981670217993</v>
      </c>
      <c r="X21" s="19" cm="1">
        <f t="array" ref="X21">INDEX(Tower!$E$10:$AM$469, _xlfn.XMATCH($C21,Tower!$C$10:$C$469), _xlfn.XMATCH(Figures!X$3,Tower!$E$4:$AM$4))</f>
        <v>8.9947842646807982E-2</v>
      </c>
      <c r="Y21" s="19" cm="1">
        <f t="array" ref="Y21">INDEX(Tower!$E$10:$AM$469, _xlfn.XMATCH($C21,Tower!$C$10:$C$469), _xlfn.XMATCH(Figures!Y$3,Tower!$E$4:$AM$4))</f>
        <v>8.8670254487469569E-2</v>
      </c>
    </row>
    <row r="23" spans="2:35">
      <c r="C23" s="6" t="s">
        <v>650</v>
      </c>
      <c r="F23" s="19" cm="1">
        <f t="array" ref="F23">INDEX(Tower!$E$10:$AM$469, _xlfn.XMATCH($C23,Tower!$C$10:$C$469), _xlfn.XMATCH(Figures!F$3,Tower!$E$4:$AM$4))</f>
        <v>0.01</v>
      </c>
      <c r="G23" s="19" cm="1">
        <f t="array" ref="G23">INDEX(Tower!$E$10:$AM$469, _xlfn.XMATCH($C23,Tower!$C$10:$C$469), _xlfn.XMATCH(Figures!G$3,Tower!$E$4:$AM$4))</f>
        <v>-9.9469106499999998E-3</v>
      </c>
      <c r="H23" s="19" cm="1">
        <f t="array" ref="H23">INDEX(Tower!$E$10:$AM$469, _xlfn.XMATCH($C23,Tower!$C$10:$C$469), _xlfn.XMATCH(Figures!H$3,Tower!$E$4:$AM$4))</f>
        <v>-1.9769230769230772E-2</v>
      </c>
      <c r="I23" s="19" cm="1">
        <f t="array" ref="I23">INDEX(Tower!$E$10:$AM$469, _xlfn.XMATCH($C23,Tower!$C$10:$C$469), _xlfn.XMATCH(Figures!I$3,Tower!$E$4:$AM$4))</f>
        <v>-0.02</v>
      </c>
      <c r="J23" s="19" cm="1">
        <f t="array" ref="J23">INDEX(Tower!$E$10:$AM$469, _xlfn.XMATCH($C23,Tower!$C$10:$C$469), _xlfn.XMATCH(Figures!J$3,Tower!$E$4:$AM$4))</f>
        <v>-9.7692307692307696E-3</v>
      </c>
      <c r="K23" s="19" cm="1">
        <f t="array" ref="K23">INDEX(Tower!$E$10:$AM$469, _xlfn.XMATCH($C23,Tower!$C$10:$C$469), _xlfn.XMATCH(Figures!K$3,Tower!$E$4:$AM$4))</f>
        <v>-2.0368675E-4</v>
      </c>
      <c r="L23" s="19" cm="1">
        <f t="array" ref="L23">INDEX(Tower!$E$10:$AM$469, _xlfn.XMATCH($C23,Tower!$C$10:$C$469), _xlfn.XMATCH(Figures!L$3,Tower!$E$4:$AM$4))</f>
        <v>7.0000000000000007E-2</v>
      </c>
      <c r="M23" s="19" cm="1">
        <f t="array" ref="M23">INDEX(Tower!$E$10:$AM$469, _xlfn.XMATCH($C23,Tower!$C$10:$C$469), _xlfn.XMATCH(Figures!M$3,Tower!$E$4:$AM$4))</f>
        <v>-0.10746153846153846</v>
      </c>
      <c r="N23" s="19" cm="1">
        <f t="array" ref="N23">INDEX(Tower!$E$10:$AM$469, _xlfn.XMATCH($C23,Tower!$C$10:$C$469), _xlfn.XMATCH(Figures!N$3,Tower!$E$4:$AM$4))</f>
        <v>-1.4999999999999999E-2</v>
      </c>
      <c r="O23" s="19" cm="1">
        <f t="array" ref="O23">INDEX(Tower!$E$10:$AM$469, _xlfn.XMATCH($C23,Tower!$C$10:$C$469), _xlfn.XMATCH(Figures!O$3,Tower!$E$4:$AM$4))</f>
        <v>9.8820321555555604E-3</v>
      </c>
      <c r="P23" s="19" cm="1">
        <f t="array" ref="P23">INDEX(Tower!$E$10:$AM$469, _xlfn.XMATCH($C23,Tower!$C$10:$C$469), _xlfn.XMATCH(Figures!P$3,Tower!$E$4:$AM$4))</f>
        <v>-4.477272727272727E-2</v>
      </c>
      <c r="Q23" s="19" cm="1">
        <f t="array" ref="Q23">INDEX(Tower!$E$10:$AM$469, _xlfn.XMATCH($C23,Tower!$C$10:$C$469), _xlfn.XMATCH(Figures!Q$3,Tower!$E$4:$AM$4))</f>
        <v>0.16</v>
      </c>
      <c r="R23" s="19" cm="1">
        <f t="array" ref="R23">INDEX(Tower!$E$10:$AM$469, _xlfn.XMATCH($C23,Tower!$C$10:$C$469), _xlfn.XMATCH(Figures!R$3,Tower!$E$4:$AM$4))</f>
        <v>0.03</v>
      </c>
      <c r="S23" s="19" cm="1">
        <f t="array" ref="S23">INDEX(Tower!$E$10:$AM$469, _xlfn.XMATCH($C23,Tower!$C$10:$C$469), _xlfn.XMATCH(Figures!S$3,Tower!$E$4:$AM$4))</f>
        <v>6.135512046666667E-2</v>
      </c>
      <c r="T23" s="19" cm="1">
        <f t="array" ref="T23">INDEX(Tower!$E$10:$AM$469, _xlfn.XMATCH($C23,Tower!$C$10:$C$469), _xlfn.XMATCH(Figures!T$3,Tower!$E$4:$AM$4))</f>
        <v>0.04</v>
      </c>
      <c r="U23" s="19" cm="1">
        <f t="array" ref="U23">INDEX(Tower!$E$10:$AM$469, _xlfn.XMATCH($C23,Tower!$C$10:$C$469), _xlfn.XMATCH(Figures!U$3,Tower!$E$4:$AM$4))</f>
        <v>-1E-3</v>
      </c>
      <c r="V23" s="19" cm="1">
        <f t="array" ref="V23">INDEX(Tower!$E$10:$AM$469, _xlfn.XMATCH($C23,Tower!$C$10:$C$469), _xlfn.XMATCH(Figures!V$3,Tower!$E$4:$AM$4))</f>
        <v>9.7272727272727302E-3</v>
      </c>
      <c r="W23" s="19" cm="1">
        <f t="array" ref="W23">INDEX(Tower!$E$10:$AM$469, _xlfn.XMATCH($C23,Tower!$C$10:$C$469), _xlfn.XMATCH(Figures!W$3,Tower!$E$4:$AM$4))</f>
        <v>-1.1751605536363641E-2</v>
      </c>
      <c r="X23" s="19" cm="1">
        <f t="array" ref="X23">INDEX(Tower!$E$10:$AM$469, _xlfn.XMATCH($C23,Tower!$C$10:$C$469), _xlfn.XMATCH(Figures!X$3,Tower!$E$4:$AM$4))</f>
        <v>-2.8181818181818179E-2</v>
      </c>
      <c r="Y23" s="19" cm="1">
        <f t="array" ref="Y23">INDEX(Tower!$E$10:$AM$469, _xlfn.XMATCH($C23,Tower!$C$10:$C$469), _xlfn.XMATCH(Figures!Y$3,Tower!$E$4:$AM$4))</f>
        <v>-4.1636363636363638E-2</v>
      </c>
    </row>
    <row r="24" spans="2:35">
      <c r="C24" s="6" t="s">
        <v>651</v>
      </c>
      <c r="F24" s="19" cm="1">
        <f t="array" ref="F24">INDEX(Tower!$E$10:$AM$469, _xlfn.XMATCH($C24,Tower!$C$10:$C$469), _xlfn.XMATCH(Figures!F$3,Tower!$E$4:$AM$4))</f>
        <v>1.7771317833333331E-2</v>
      </c>
      <c r="G24" s="19" cm="1">
        <f t="array" ref="G24">INDEX(Tower!$E$10:$AM$469, _xlfn.XMATCH($C24,Tower!$C$10:$C$469), _xlfn.XMATCH(Figures!G$3,Tower!$E$4:$AM$4))</f>
        <v>2.929317518181818E-2</v>
      </c>
      <c r="H24" s="19" cm="1">
        <f t="array" ref="H24">INDEX(Tower!$E$10:$AM$469, _xlfn.XMATCH($C24,Tower!$C$10:$C$469), _xlfn.XMATCH(Figures!H$3,Tower!$E$4:$AM$4))</f>
        <v>4.154312948333333E-2</v>
      </c>
      <c r="I24" s="19" cm="1">
        <f t="array" ref="I24">INDEX(Tower!$E$10:$AM$469, _xlfn.XMATCH($C24,Tower!$C$10:$C$469), _xlfn.XMATCH(Figures!I$3,Tower!$E$4:$AM$4))</f>
        <v>3.9986761025000005E-2</v>
      </c>
      <c r="J24" s="19" cm="1">
        <f t="array" ref="J24">INDEX(Tower!$E$10:$AM$469, _xlfn.XMATCH($C24,Tower!$C$10:$C$469), _xlfn.XMATCH(Figures!J$3,Tower!$E$4:$AM$4))</f>
        <v>3.3022849462365583E-2</v>
      </c>
      <c r="K24" s="19" cm="1">
        <f t="array" ref="K24">INDEX(Tower!$E$10:$AM$469, _xlfn.XMATCH($C24,Tower!$C$10:$C$469), _xlfn.XMATCH(Figures!K$3,Tower!$E$4:$AM$4))</f>
        <v>3.4540082351410241E-2</v>
      </c>
      <c r="L24" s="19" cm="1">
        <f t="array" ref="L24">INDEX(Tower!$E$10:$AM$469, _xlfn.XMATCH($C24,Tower!$C$10:$C$469), _xlfn.XMATCH(Figures!L$3,Tower!$E$4:$AM$4))</f>
        <v>-5.5555555555555601E-3</v>
      </c>
      <c r="M24" s="19" cm="1">
        <f t="array" ref="M24">INDEX(Tower!$E$10:$AM$469, _xlfn.XMATCH($C24,Tower!$C$10:$C$469), _xlfn.XMATCH(Figures!M$3,Tower!$E$4:$AM$4))</f>
        <v>3.1090909090909089E-2</v>
      </c>
      <c r="N24" s="19" cm="1">
        <f t="array" ref="N24">INDEX(Tower!$E$10:$AM$469, _xlfn.XMATCH($C24,Tower!$C$10:$C$469), _xlfn.XMATCH(Figures!N$3,Tower!$E$4:$AM$4))</f>
        <v>4.9444444444444437E-2</v>
      </c>
      <c r="O24" s="19" cm="1">
        <f t="array" ref="O24">INDEX(Tower!$E$10:$AM$469, _xlfn.XMATCH($C24,Tower!$C$10:$C$469), _xlfn.XMATCH(Figures!O$3,Tower!$E$4:$AM$4))</f>
        <v>5.0349866572727268E-2</v>
      </c>
      <c r="P24" s="19" cm="1">
        <f t="array" ref="P24">INDEX(Tower!$E$10:$AM$469, _xlfn.XMATCH($C24,Tower!$C$10:$C$469), _xlfn.XMATCH(Figures!P$3,Tower!$E$4:$AM$4))</f>
        <v>6.0777777777777785E-2</v>
      </c>
      <c r="Q24" s="19" cm="1">
        <f t="array" ref="Q24">INDEX(Tower!$E$10:$AM$469, _xlfn.XMATCH($C24,Tower!$C$10:$C$469), _xlfn.XMATCH(Figures!Q$3,Tower!$E$4:$AM$4))</f>
        <v>4.5555555555555564E-2</v>
      </c>
      <c r="R24" s="19" cm="1">
        <f t="array" ref="R24">INDEX(Tower!$E$10:$AM$469, _xlfn.XMATCH($C24,Tower!$C$10:$C$469), _xlfn.XMATCH(Figures!R$3,Tower!$E$4:$AM$4))</f>
        <v>3.996013763333333E-2</v>
      </c>
      <c r="S24" s="19" cm="1">
        <f t="array" ref="S24">INDEX(Tower!$E$10:$AM$469, _xlfn.XMATCH($C24,Tower!$C$10:$C$469), _xlfn.XMATCH(Figures!S$3,Tower!$E$4:$AM$4))</f>
        <v>5.8341571799999999E-2</v>
      </c>
      <c r="T24" s="19" cm="1">
        <f t="array" ref="T24">INDEX(Tower!$E$10:$AM$469, _xlfn.XMATCH($C24,Tower!$C$10:$C$469), _xlfn.XMATCH(Figures!T$3,Tower!$E$4:$AM$4))</f>
        <v>8.1498620420000001E-2</v>
      </c>
      <c r="U24" s="19" cm="1">
        <f t="array" ref="U24">INDEX(Tower!$E$10:$AM$469, _xlfn.XMATCH($C24,Tower!$C$10:$C$469), _xlfn.XMATCH(Figures!U$3,Tower!$E$4:$AM$4))</f>
        <v>9.11E-2</v>
      </c>
      <c r="V24" s="19" cm="1">
        <f t="array" ref="V24">INDEX(Tower!$E$10:$AM$469, _xlfn.XMATCH($C24,Tower!$C$10:$C$469), _xlfn.XMATCH(Figures!V$3,Tower!$E$4:$AM$4))</f>
        <v>0.11967226150918744</v>
      </c>
      <c r="W24" s="19" cm="1">
        <f t="array" ref="W24">INDEX(Tower!$E$10:$AM$469, _xlfn.XMATCH($C24,Tower!$C$10:$C$469), _xlfn.XMATCH(Figures!W$3,Tower!$E$4:$AM$4))</f>
        <v>0.11920894487802426</v>
      </c>
      <c r="X24" s="19" cm="1">
        <f t="array" ref="X24">INDEX(Tower!$E$10:$AM$469, _xlfn.XMATCH($C24,Tower!$C$10:$C$469), _xlfn.XMATCH(Figures!X$3,Tower!$E$4:$AM$4))</f>
        <v>0.14755735950953583</v>
      </c>
      <c r="Y24" s="19" cm="1">
        <f t="array" ref="Y24">INDEX(Tower!$E$10:$AM$469, _xlfn.XMATCH($C24,Tower!$C$10:$C$469), _xlfn.XMATCH(Figures!Y$3,Tower!$E$4:$AM$4))</f>
        <v>0.14125074272133101</v>
      </c>
    </row>
    <row r="25" spans="2:35">
      <c r="C25" s="6" t="s">
        <v>671</v>
      </c>
      <c r="F25" s="19" cm="1">
        <f t="array" ref="F25">INDEX(Tower!$E$10:$AM$469, _xlfn.XMATCH($C25,Tower!$C$10:$C$469), _xlfn.XMATCH(Figures!F$3,Tower!$E$4:$AM$4))</f>
        <v>2.777131783333333E-2</v>
      </c>
      <c r="G25" s="19" cm="1">
        <f t="array" ref="G25">INDEX(Tower!$E$10:$AM$469, _xlfn.XMATCH($C25,Tower!$C$10:$C$469), _xlfn.XMATCH(Figures!G$3,Tower!$E$4:$AM$4))</f>
        <v>1.9346264531818182E-2</v>
      </c>
      <c r="H25" s="19" cm="1">
        <f t="array" ref="H25">INDEX(Tower!$E$10:$AM$469, _xlfn.XMATCH($C25,Tower!$C$10:$C$469), _xlfn.XMATCH(Figures!H$3,Tower!$E$4:$AM$4))</f>
        <v>2.1773898714102558E-2</v>
      </c>
      <c r="I25" s="19" cm="1">
        <f t="array" ref="I25">INDEX(Tower!$E$10:$AM$469, _xlfn.XMATCH($C25,Tower!$C$10:$C$469), _xlfn.XMATCH(Figures!I$3,Tower!$E$4:$AM$4))</f>
        <v>1.9986761025000004E-2</v>
      </c>
      <c r="J25" s="19" cm="1">
        <f t="array" ref="J25">INDEX(Tower!$E$10:$AM$469, _xlfn.XMATCH($C25,Tower!$C$10:$C$469), _xlfn.XMATCH(Figures!J$3,Tower!$E$4:$AM$4))</f>
        <v>2.3253618693134814E-2</v>
      </c>
      <c r="K25" s="19" cm="1">
        <f t="array" ref="K25">INDEX(Tower!$E$10:$AM$469, _xlfn.XMATCH($C25,Tower!$C$10:$C$469), _xlfn.XMATCH(Figures!K$3,Tower!$E$4:$AM$4))</f>
        <v>3.433639560141024E-2</v>
      </c>
      <c r="L25" s="19" cm="1">
        <f t="array" ref="L25">INDEX(Tower!$E$10:$AM$469, _xlfn.XMATCH($C25,Tower!$C$10:$C$469), _xlfn.XMATCH(Figures!L$3,Tower!$E$4:$AM$4))</f>
        <v>6.4444444444444443E-2</v>
      </c>
      <c r="M25" s="19" cm="1">
        <f t="array" ref="M25">INDEX(Tower!$E$10:$AM$469, _xlfn.XMATCH($C25,Tower!$C$10:$C$469), _xlfn.XMATCH(Figures!M$3,Tower!$E$4:$AM$4))</f>
        <v>-7.637062937062937E-2</v>
      </c>
      <c r="N25" s="19" cm="1">
        <f t="array" ref="N25">INDEX(Tower!$E$10:$AM$469, _xlfn.XMATCH($C25,Tower!$C$10:$C$469), _xlfn.XMATCH(Figures!N$3,Tower!$E$4:$AM$4))</f>
        <v>3.4444444444444437E-2</v>
      </c>
      <c r="O25" s="19" cm="1">
        <f t="array" ref="O25">INDEX(Tower!$E$10:$AM$469, _xlfn.XMATCH($C25,Tower!$C$10:$C$469), _xlfn.XMATCH(Figures!O$3,Tower!$E$4:$AM$4))</f>
        <v>6.0231898728282829E-2</v>
      </c>
      <c r="P25" s="19" cm="1">
        <f t="array" ref="P25">INDEX(Tower!$E$10:$AM$469, _xlfn.XMATCH($C25,Tower!$C$10:$C$469), _xlfn.XMATCH(Figures!P$3,Tower!$E$4:$AM$4))</f>
        <v>1.6005050505050515E-2</v>
      </c>
      <c r="Q25" s="19" cm="1">
        <f t="array" ref="Q25">INDEX(Tower!$E$10:$AM$469, _xlfn.XMATCH($C25,Tower!$C$10:$C$469), _xlfn.XMATCH(Figures!Q$3,Tower!$E$4:$AM$4))</f>
        <v>0.20555555555555557</v>
      </c>
      <c r="R25" s="19" cm="1">
        <f t="array" ref="R25">INDEX(Tower!$E$10:$AM$469, _xlfn.XMATCH($C25,Tower!$C$10:$C$469), _xlfn.XMATCH(Figures!R$3,Tower!$E$4:$AM$4))</f>
        <v>6.9960137633333336E-2</v>
      </c>
      <c r="S25" s="19" cm="1">
        <f t="array" ref="S25">INDEX(Tower!$E$10:$AM$469, _xlfn.XMATCH($C25,Tower!$C$10:$C$469), _xlfn.XMATCH(Figures!S$3,Tower!$E$4:$AM$4))</f>
        <v>0.11969669226666667</v>
      </c>
      <c r="T25" s="19" cm="1">
        <f t="array" ref="T25">INDEX(Tower!$E$10:$AM$469, _xlfn.XMATCH($C25,Tower!$C$10:$C$469), _xlfn.XMATCH(Figures!T$3,Tower!$E$4:$AM$4))</f>
        <v>0.12149862042000001</v>
      </c>
      <c r="U25" s="19" cm="1">
        <f t="array" ref="U25">INDEX(Tower!$E$10:$AM$469, _xlfn.XMATCH($C25,Tower!$C$10:$C$469), _xlfn.XMATCH(Figures!U$3,Tower!$E$4:$AM$4))</f>
        <v>9.01E-2</v>
      </c>
      <c r="V25" s="19" cm="1">
        <f t="array" ref="V25">INDEX(Tower!$E$10:$AM$469, _xlfn.XMATCH($C25,Tower!$C$10:$C$469), _xlfn.XMATCH(Figures!V$3,Tower!$E$4:$AM$4))</f>
        <v>0.12939953423646017</v>
      </c>
      <c r="W25" s="19" cm="1">
        <f t="array" ref="W25">INDEX(Tower!$E$10:$AM$469, _xlfn.XMATCH($C25,Tower!$C$10:$C$469), _xlfn.XMATCH(Figures!W$3,Tower!$E$4:$AM$4))</f>
        <v>0.10745733934166062</v>
      </c>
      <c r="X25" s="19" cm="1">
        <f t="array" ref="X25">INDEX(Tower!$E$10:$AM$469, _xlfn.XMATCH($C25,Tower!$C$10:$C$469), _xlfn.XMATCH(Figures!X$3,Tower!$E$4:$AM$4))</f>
        <v>0.11937554132771765</v>
      </c>
      <c r="Y25" s="19" cm="1">
        <f t="array" ref="Y25">INDEX(Tower!$E$10:$AM$469, _xlfn.XMATCH($C25,Tower!$C$10:$C$469), _xlfn.XMATCH(Figures!Y$3,Tower!$E$4:$AM$4))</f>
        <v>9.9614379084967369E-2</v>
      </c>
    </row>
    <row r="28" spans="2:35">
      <c r="C28" t="str">
        <f>Tower!B334</f>
        <v>US Beverages EBIT / US Coffee and Beverages EBIT</v>
      </c>
      <c r="F28" s="19" cm="1">
        <f t="array" ref="F28">INDEX(Tower!$E$10:$AM$469, _xlfn.XMATCH($C28,Tower!$C$10:$C$469), _xlfn.XMATCH(Figures!F$3,Tower!$E$4:$AM$4))</f>
        <v>0.49999999999999994</v>
      </c>
      <c r="G28" s="19" cm="1">
        <f t="array" ref="G28">INDEX(Tower!$E$10:$AM$469, _xlfn.XMATCH($C28,Tower!$C$10:$C$469), _xlfn.XMATCH(Figures!G$3,Tower!$E$4:$AM$4))</f>
        <v>0.58512978442586894</v>
      </c>
      <c r="H28" s="19" cm="1">
        <f t="array" ref="H28">INDEX(Tower!$E$10:$AM$469, _xlfn.XMATCH($C28,Tower!$C$10:$C$469), _xlfn.XMATCH(Figures!H$3,Tower!$E$4:$AM$4))</f>
        <v>0.52668355985563997</v>
      </c>
      <c r="I28" s="19" cm="1">
        <f t="array" ref="I28">INDEX(Tower!$E$10:$AM$469, _xlfn.XMATCH($C28,Tower!$C$10:$C$469), _xlfn.XMATCH(Figures!I$3,Tower!$E$4:$AM$4))</f>
        <v>0.57630231522707032</v>
      </c>
      <c r="J28" s="19" cm="1">
        <f t="array" ref="J28">INDEX(Tower!$E$10:$AM$469, _xlfn.XMATCH($C28,Tower!$C$10:$C$469), _xlfn.XMATCH(Figures!J$3,Tower!$E$4:$AM$4))</f>
        <v>0.55596470232380757</v>
      </c>
      <c r="K28" s="19" cm="1">
        <f t="array" ref="K28">INDEX(Tower!$E$10:$AM$469, _xlfn.XMATCH($C28,Tower!$C$10:$C$469), _xlfn.XMATCH(Figures!K$3,Tower!$E$4:$AM$4))</f>
        <v>0.58156115550092191</v>
      </c>
      <c r="L28" s="19" cm="1">
        <f t="array" ref="L28">INDEX(Tower!$E$10:$AM$469, _xlfn.XMATCH($C28,Tower!$C$10:$C$469), _xlfn.XMATCH(Figures!L$3,Tower!$E$4:$AM$4))</f>
        <v>0.5434471712144614</v>
      </c>
      <c r="M28" s="19" cm="1">
        <f t="array" ref="M28">INDEX(Tower!$E$10:$AM$469, _xlfn.XMATCH($C28,Tower!$C$10:$C$469), _xlfn.XMATCH(Figures!M$3,Tower!$E$4:$AM$4))</f>
        <v>0.58276383353531303</v>
      </c>
      <c r="N28" s="19" cm="1">
        <f t="array" ref="N28">INDEX(Tower!$E$10:$AM$469, _xlfn.XMATCH($C28,Tower!$C$10:$C$469), _xlfn.XMATCH(Figures!N$3,Tower!$E$4:$AM$4))</f>
        <v>0.61168256554752121</v>
      </c>
      <c r="O28" s="19" cm="1">
        <f t="array" ref="O28">INDEX(Tower!$E$10:$AM$469, _xlfn.XMATCH($C28,Tower!$C$10:$C$469), _xlfn.XMATCH(Figures!O$3,Tower!$E$4:$AM$4))</f>
        <v>0.54452829755217846</v>
      </c>
      <c r="P28" s="19" cm="1">
        <f t="array" ref="P28">INDEX(Tower!$E$10:$AM$469, _xlfn.XMATCH($C28,Tower!$C$10:$C$469), _xlfn.XMATCH(Figures!P$3,Tower!$E$4:$AM$4))</f>
        <v>0.51741293532338306</v>
      </c>
      <c r="Q28" s="19" cm="1">
        <f t="array" ref="Q28">INDEX(Tower!$E$10:$AM$469, _xlfn.XMATCH($C28,Tower!$C$10:$C$469), _xlfn.XMATCH(Figures!Q$3,Tower!$E$4:$AM$4))</f>
        <v>0.58710407239819007</v>
      </c>
      <c r="R28" s="19" cm="1">
        <f t="array" ref="R28">INDEX(Tower!$E$10:$AM$469, _xlfn.XMATCH($C28,Tower!$C$10:$C$469), _xlfn.XMATCH(Figures!R$3,Tower!$E$4:$AM$4))</f>
        <v>0.61146496815286622</v>
      </c>
      <c r="S28" s="19" cm="1">
        <f t="array" ref="S28">INDEX(Tower!$E$10:$AM$469, _xlfn.XMATCH($C28,Tower!$C$10:$C$469), _xlfn.XMATCH(Figures!S$3,Tower!$E$4:$AM$4))</f>
        <v>0.59892473118279566</v>
      </c>
      <c r="T28" s="19" cm="1">
        <f t="array" ref="T28">INDEX(Tower!$E$10:$AM$469, _xlfn.XMATCH($C28,Tower!$C$10:$C$469), _xlfn.XMATCH(Figures!T$3,Tower!$E$4:$AM$4))</f>
        <v>0.60185185185185186</v>
      </c>
      <c r="U28" s="19" cm="1">
        <f t="array" ref="U28">INDEX(Tower!$E$10:$AM$469, _xlfn.XMATCH($C28,Tower!$C$10:$C$469), _xlfn.XMATCH(Figures!U$3,Tower!$E$4:$AM$4))</f>
        <v>0.61529808773903261</v>
      </c>
      <c r="V28" s="19" cm="1">
        <f t="array" ref="V28">INDEX(Tower!$E$10:$AM$469, _xlfn.XMATCH($C28,Tower!$C$10:$C$469), _xlfn.XMATCH(Figures!V$3,Tower!$E$4:$AM$4))</f>
        <v>0.67525773195876293</v>
      </c>
      <c r="W28" s="19" cm="1">
        <f t="array" ref="W28">INDEX(Tower!$E$10:$AM$469, _xlfn.XMATCH($C28,Tower!$C$10:$C$469), _xlfn.XMATCH(Figures!W$3,Tower!$E$4:$AM$4))</f>
        <v>0.5768482490272373</v>
      </c>
      <c r="X28" s="19" cm="1">
        <f t="array" ref="X28">INDEX(Tower!$E$10:$AM$469, _xlfn.XMATCH($C28,Tower!$C$10:$C$469), _xlfn.XMATCH(Figures!X$3,Tower!$E$4:$AM$4))</f>
        <v>0.64060529634300123</v>
      </c>
      <c r="Y28" s="19" cm="1">
        <f t="array" ref="Y28">INDEX(Tower!$E$10:$AM$469, _xlfn.XMATCH($C28,Tower!$C$10:$C$469), _xlfn.XMATCH(Figures!Y$3,Tower!$E$4:$AM$4))</f>
        <v>0.68869936034115142</v>
      </c>
      <c r="Z28" s="19" cm="1">
        <f t="array" ref="Z28">INDEX(Tower!$E$10:$AZ$469, _xlfn.XMATCH($C28,Tower!$C$10:$C$469), _xlfn.XMATCH(Figures!Z$3,Tower!$E$4:$AZ$4))</f>
        <v>0.70738494118826056</v>
      </c>
      <c r="AA28" s="19" cm="1">
        <f t="array" ref="AA28">INDEX(Tower!$E$10:$AZ$469, _xlfn.XMATCH($C28,Tower!$C$10:$C$469), _xlfn.XMATCH(Figures!AA$3,Tower!$E$4:$AZ$4))</f>
        <v>0.63933357332980612</v>
      </c>
      <c r="AB28" s="19" cm="1">
        <f t="array" ref="AB28">INDEX(Tower!$E$10:$AZ$469, _xlfn.XMATCH($C28,Tower!$C$10:$C$469), _xlfn.XMATCH(Figures!AB$3,Tower!$E$4:$AZ$4))</f>
        <v>0.68680521343732337</v>
      </c>
      <c r="AC28" s="19" cm="1">
        <f t="array" ref="AC28">INDEX(Tower!$E$10:$AZ$469, _xlfn.XMATCH($C28,Tower!$C$10:$C$469), _xlfn.XMATCH(Figures!AC$3,Tower!$E$4:$AZ$4))</f>
        <v>0.70961324462717745</v>
      </c>
      <c r="AD28" s="19" cm="1">
        <f t="array" ref="AD28">INDEX(Tower!$E$10:$AZ$469, _xlfn.XMATCH($C28,Tower!$C$10:$C$469), _xlfn.XMATCH(Figures!AD$3,Tower!$E$4:$AZ$4))</f>
        <v>0.72371862190385183</v>
      </c>
      <c r="AE28" s="19" cm="1">
        <f t="array" ref="AE28">INDEX(Tower!$E$10:$AZ$469, _xlfn.XMATCH($C28,Tower!$C$10:$C$469), _xlfn.XMATCH(Figures!AE$3,Tower!$E$4:$AZ$4))</f>
        <v>0.65698893416666704</v>
      </c>
      <c r="AF28" s="19" cm="1">
        <f t="array" ref="AF28">INDEX(Tower!$E$10:$AZ$469, _xlfn.XMATCH($C28,Tower!$C$10:$C$469), _xlfn.XMATCH(Figures!AF$3,Tower!$E$4:$AZ$4))</f>
        <v>0.70427145925820511</v>
      </c>
      <c r="AG28" s="19" cm="1">
        <f t="array" ref="AG28">INDEX(Tower!$E$10:$AZ$469, _xlfn.XMATCH($C28,Tower!$C$10:$C$469), _xlfn.XMATCH(Figures!AG$3,Tower!$E$4:$AZ$4))</f>
        <v>0.7263555563587627</v>
      </c>
      <c r="AH28" s="19" cm="1">
        <f t="array" ref="AH28">INDEX(Tower!$E$10:$AZ$469, _xlfn.XMATCH($C28,Tower!$C$10:$C$469), _xlfn.XMATCH(Figures!AH$3,Tower!$E$4:$AZ$4))</f>
        <v>0.73970071111068214</v>
      </c>
      <c r="AI28" s="19" cm="1">
        <f t="array" ref="AI28">INDEX(Tower!$E$10:$AZ$469, _xlfn.XMATCH($C28,Tower!$C$10:$C$469), _xlfn.XMATCH(Figures!AI$3,Tower!$E$4:$AZ$4))</f>
        <v>0.67452421560965969</v>
      </c>
    </row>
    <row r="29" spans="2:35">
      <c r="C29" t="str">
        <f>Tower!B335</f>
        <v>US Coffee EBIT / US Coffee and Beverages EBIT</v>
      </c>
      <c r="F29" s="19" cm="1">
        <f t="array" ref="F29">INDEX(Tower!$E$10:$AM$469, _xlfn.XMATCH($C29,Tower!$C$10:$C$469), _xlfn.XMATCH(Figures!F$3,Tower!$E$4:$AM$4))</f>
        <v>0.5</v>
      </c>
      <c r="G29" s="19" cm="1">
        <f t="array" ref="G29">INDEX(Tower!$E$10:$AM$469, _xlfn.XMATCH($C29,Tower!$C$10:$C$469), _xlfn.XMATCH(Figures!G$3,Tower!$E$4:$AM$4))</f>
        <v>0.41487021557413117</v>
      </c>
      <c r="H29" s="19" cm="1">
        <f t="array" ref="H29">INDEX(Tower!$E$10:$AM$469, _xlfn.XMATCH($C29,Tower!$C$10:$C$469), _xlfn.XMATCH(Figures!H$3,Tower!$E$4:$AM$4))</f>
        <v>0.47331644014435997</v>
      </c>
      <c r="I29" s="19" cm="1">
        <f t="array" ref="I29">INDEX(Tower!$E$10:$AM$469, _xlfn.XMATCH($C29,Tower!$C$10:$C$469), _xlfn.XMATCH(Figures!I$3,Tower!$E$4:$AM$4))</f>
        <v>0.42369768477292968</v>
      </c>
      <c r="J29" s="19" cm="1">
        <f t="array" ref="J29">INDEX(Tower!$E$10:$AM$469, _xlfn.XMATCH($C29,Tower!$C$10:$C$469), _xlfn.XMATCH(Figures!J$3,Tower!$E$4:$AM$4))</f>
        <v>0.44403529767619249</v>
      </c>
      <c r="K29" s="19" cm="1">
        <f t="array" ref="K29">INDEX(Tower!$E$10:$AM$469, _xlfn.XMATCH($C29,Tower!$C$10:$C$469), _xlfn.XMATCH(Figures!K$3,Tower!$E$4:$AM$4))</f>
        <v>0.41843884449907809</v>
      </c>
      <c r="L29" s="19" cm="1">
        <f t="array" ref="L29">INDEX(Tower!$E$10:$AM$469, _xlfn.XMATCH($C29,Tower!$C$10:$C$469), _xlfn.XMATCH(Figures!L$3,Tower!$E$4:$AM$4))</f>
        <v>0.4565528287855386</v>
      </c>
      <c r="M29" s="19" cm="1">
        <f t="array" ref="M29">INDEX(Tower!$E$10:$AM$469, _xlfn.XMATCH($C29,Tower!$C$10:$C$469), _xlfn.XMATCH(Figures!M$3,Tower!$E$4:$AM$4))</f>
        <v>0.41723616646468686</v>
      </c>
      <c r="N29" s="19" cm="1">
        <f t="array" ref="N29">INDEX(Tower!$E$10:$AM$469, _xlfn.XMATCH($C29,Tower!$C$10:$C$469), _xlfn.XMATCH(Figures!N$3,Tower!$E$4:$AM$4))</f>
        <v>0.38831743445247879</v>
      </c>
      <c r="O29" s="19" cm="1">
        <f t="array" ref="O29">INDEX(Tower!$E$10:$AM$469, _xlfn.XMATCH($C29,Tower!$C$10:$C$469), _xlfn.XMATCH(Figures!O$3,Tower!$E$4:$AM$4))</f>
        <v>0.45547170244782165</v>
      </c>
      <c r="P29" s="19" cm="1">
        <f t="array" ref="P29">INDEX(Tower!$E$10:$AM$469, _xlfn.XMATCH($C29,Tower!$C$10:$C$469), _xlfn.XMATCH(Figures!P$3,Tower!$E$4:$AM$4))</f>
        <v>0.48258706467661694</v>
      </c>
      <c r="Q29" s="19" cm="1">
        <f t="array" ref="Q29">INDEX(Tower!$E$10:$AM$469, _xlfn.XMATCH($C29,Tower!$C$10:$C$469), _xlfn.XMATCH(Figures!Q$3,Tower!$E$4:$AM$4))</f>
        <v>0.41289592760180993</v>
      </c>
      <c r="R29" s="19" cm="1">
        <f t="array" ref="R29">INDEX(Tower!$E$10:$AM$469, _xlfn.XMATCH($C29,Tower!$C$10:$C$469), _xlfn.XMATCH(Figures!R$3,Tower!$E$4:$AM$4))</f>
        <v>0.38853503184713378</v>
      </c>
      <c r="S29" s="19" cm="1">
        <f t="array" ref="S29">INDEX(Tower!$E$10:$AM$469, _xlfn.XMATCH($C29,Tower!$C$10:$C$469), _xlfn.XMATCH(Figures!S$3,Tower!$E$4:$AM$4))</f>
        <v>0.40107526881720429</v>
      </c>
      <c r="T29" s="19" cm="1">
        <f t="array" ref="T29">INDEX(Tower!$E$10:$AM$469, _xlfn.XMATCH($C29,Tower!$C$10:$C$469), _xlfn.XMATCH(Figures!T$3,Tower!$E$4:$AM$4))</f>
        <v>0.39814814814814814</v>
      </c>
      <c r="U29" s="19" cm="1">
        <f t="array" ref="U29">INDEX(Tower!$E$10:$AM$469, _xlfn.XMATCH($C29,Tower!$C$10:$C$469), _xlfn.XMATCH(Figures!U$3,Tower!$E$4:$AM$4))</f>
        <v>0.38470191226096739</v>
      </c>
      <c r="V29" s="19" cm="1">
        <f t="array" ref="V29">INDEX(Tower!$E$10:$AM$469, _xlfn.XMATCH($C29,Tower!$C$10:$C$469), _xlfn.XMATCH(Figures!V$3,Tower!$E$4:$AM$4))</f>
        <v>0.32474226804123713</v>
      </c>
      <c r="W29" s="19" cm="1">
        <f t="array" ref="W29">INDEX(Tower!$E$10:$AM$469, _xlfn.XMATCH($C29,Tower!$C$10:$C$469), _xlfn.XMATCH(Figures!W$3,Tower!$E$4:$AM$4))</f>
        <v>0.42315175097276264</v>
      </c>
      <c r="X29" s="19" cm="1">
        <f t="array" ref="X29">INDEX(Tower!$E$10:$AM$469, _xlfn.XMATCH($C29,Tower!$C$10:$C$469), _xlfn.XMATCH(Figures!X$3,Tower!$E$4:$AM$4))</f>
        <v>0.35939470365699872</v>
      </c>
      <c r="Y29" s="19" cm="1">
        <f t="array" ref="Y29">INDEX(Tower!$E$10:$AM$469, _xlfn.XMATCH($C29,Tower!$C$10:$C$469), _xlfn.XMATCH(Figures!Y$3,Tower!$E$4:$AM$4))</f>
        <v>0.31130063965884863</v>
      </c>
      <c r="Z29" s="19" cm="1">
        <f t="array" ref="Z29">INDEX(Tower!$E$10:$AZ$469, _xlfn.XMATCH($C29,Tower!$C$10:$C$469), _xlfn.XMATCH(Figures!Z$3,Tower!$E$4:$AZ$4))</f>
        <v>0.29261505881173949</v>
      </c>
      <c r="AA29" s="19" cm="1">
        <f t="array" ref="AA29">INDEX(Tower!$E$10:$AZ$469, _xlfn.XMATCH($C29,Tower!$C$10:$C$469), _xlfn.XMATCH(Figures!AA$3,Tower!$E$4:$AZ$4))</f>
        <v>0.360666426670194</v>
      </c>
      <c r="AB29" s="19" cm="1">
        <f t="array" ref="AB29">INDEX(Tower!$E$10:$AZ$469, _xlfn.XMATCH($C29,Tower!$C$10:$C$469), _xlfn.XMATCH(Figures!AB$3,Tower!$E$4:$AZ$4))</f>
        <v>0.31319478656267669</v>
      </c>
      <c r="AC29" s="19" cm="1">
        <f t="array" ref="AC29">INDEX(Tower!$E$10:$AZ$469, _xlfn.XMATCH($C29,Tower!$C$10:$C$469), _xlfn.XMATCH(Figures!AC$3,Tower!$E$4:$AZ$4))</f>
        <v>0.2903867553728226</v>
      </c>
      <c r="AD29" s="19" cm="1">
        <f t="array" ref="AD29">INDEX(Tower!$E$10:$AZ$469, _xlfn.XMATCH($C29,Tower!$C$10:$C$469), _xlfn.XMATCH(Figures!AD$3,Tower!$E$4:$AZ$4))</f>
        <v>0.27628137809614811</v>
      </c>
      <c r="AE29" s="19" cm="1">
        <f t="array" ref="AE29">INDEX(Tower!$E$10:$AZ$469, _xlfn.XMATCH($C29,Tower!$C$10:$C$469), _xlfn.XMATCH(Figures!AE$3,Tower!$E$4:$AZ$4))</f>
        <v>0.34301106583333296</v>
      </c>
      <c r="AF29" s="19" cm="1">
        <f t="array" ref="AF29">INDEX(Tower!$E$10:$AZ$469, _xlfn.XMATCH($C29,Tower!$C$10:$C$469), _xlfn.XMATCH(Figures!AF$3,Tower!$E$4:$AZ$4))</f>
        <v>0.29572854074179494</v>
      </c>
      <c r="AG29" s="19" cm="1">
        <f t="array" ref="AG29">INDEX(Tower!$E$10:$AZ$469, _xlfn.XMATCH($C29,Tower!$C$10:$C$469), _xlfn.XMATCH(Figures!AG$3,Tower!$E$4:$AZ$4))</f>
        <v>0.27364444364123741</v>
      </c>
      <c r="AH29" s="19" cm="1">
        <f t="array" ref="AH29">INDEX(Tower!$E$10:$AZ$469, _xlfn.XMATCH($C29,Tower!$C$10:$C$469), _xlfn.XMATCH(Figures!AH$3,Tower!$E$4:$AZ$4))</f>
        <v>0.26029928888931791</v>
      </c>
      <c r="AI29" s="19" cm="1">
        <f t="array" ref="AI29">INDEX(Tower!$E$10:$AZ$469, _xlfn.XMATCH($C29,Tower!$C$10:$C$469), _xlfn.XMATCH(Figures!AI$3,Tower!$E$4:$AZ$4))</f>
        <v>0.32547578439034042</v>
      </c>
    </row>
    <row r="31" spans="2:35">
      <c r="B31" t="s">
        <v>352</v>
      </c>
      <c r="C31" t="str">
        <f>Tower!C24</f>
        <v>Price growth - US - Refreshment beverages</v>
      </c>
      <c r="F31" s="19" cm="1">
        <f t="array" ref="F31">INDEX(Tower!$E$10:$AM$469, _xlfn.XMATCH($C31,Tower!$C$10:$C$469), _xlfn.XMATCH(Figures!F$3,Tower!$E$4:$AM$4))</f>
        <v>1.1000000000000001E-2</v>
      </c>
      <c r="G31" s="19" cm="1">
        <f t="array" ref="G31">INDEX(Tower!$E$10:$AM$469, _xlfn.XMATCH($C31,Tower!$C$10:$C$469), _xlfn.XMATCH(Figures!G$3,Tower!$E$4:$AM$4))</f>
        <v>2.1250000000000002E-2</v>
      </c>
      <c r="H31" s="19" cm="1">
        <f t="array" ref="H31">INDEX(Tower!$E$10:$AM$469, _xlfn.XMATCH($C31,Tower!$C$10:$C$469), _xlfn.XMATCH(Figures!H$3,Tower!$E$4:$AM$4))</f>
        <v>4.7E-2</v>
      </c>
      <c r="I31" s="19" cm="1">
        <f t="array" ref="I31">INDEX(Tower!$E$10:$AM$469, _xlfn.XMATCH($C31,Tower!$C$10:$C$469), _xlfn.XMATCH(Figures!I$3,Tower!$E$4:$AM$4))</f>
        <v>3.2000000000000001E-2</v>
      </c>
      <c r="J31" s="19" cm="1">
        <f t="array" ref="J31">INDEX(Tower!$E$10:$AM$469, _xlfn.XMATCH($C31,Tower!$C$10:$C$469), _xlfn.XMATCH(Figures!J$3,Tower!$E$4:$AM$4))</f>
        <v>4.5999999999999999E-2</v>
      </c>
      <c r="K31" s="19" cm="1">
        <f t="array" ref="K31">INDEX(Tower!$E$10:$AM$469, _xlfn.XMATCH($C31,Tower!$C$10:$C$469), _xlfn.XMATCH(Figures!K$3,Tower!$E$4:$AM$4))</f>
        <v>1.55E-2</v>
      </c>
      <c r="L31" s="19" cm="1">
        <f t="array" ref="L31">INDEX(Tower!$E$10:$AM$469, _xlfn.XMATCH($C31,Tower!$C$10:$C$469), _xlfn.XMATCH(Figures!L$3,Tower!$E$4:$AM$4))</f>
        <v>1.3999999999999999E-2</v>
      </c>
      <c r="M31" s="19" cm="1">
        <f t="array" ref="M31">INDEX(Tower!$E$10:$AM$469, _xlfn.XMATCH($C31,Tower!$C$10:$C$469), _xlfn.XMATCH(Figures!M$3,Tower!$E$4:$AM$4))</f>
        <v>-2.5499999999999998E-2</v>
      </c>
      <c r="N31" s="19" cm="1">
        <f t="array" ref="N31">INDEX(Tower!$E$10:$AM$469, _xlfn.XMATCH($C31,Tower!$C$10:$C$469), _xlfn.XMATCH(Figures!N$3,Tower!$E$4:$AM$4))</f>
        <v>9.4999999999999998E-3</v>
      </c>
      <c r="O31" s="19" cm="1">
        <f t="array" ref="O31">INDEX(Tower!$E$10:$AM$469, _xlfn.XMATCH($C31,Tower!$C$10:$C$469), _xlfn.XMATCH(Figures!O$3,Tower!$E$4:$AM$4))</f>
        <v>2.5000000000000001E-3</v>
      </c>
      <c r="P31" s="19" cm="1">
        <f t="array" ref="P31">INDEX(Tower!$E$10:$AM$469, _xlfn.XMATCH($C31,Tower!$C$10:$C$469), _xlfn.XMATCH(Figures!P$3,Tower!$E$4:$AM$4))</f>
        <v>1.3999999999999999E-2</v>
      </c>
      <c r="Q31" s="19" cm="1">
        <f t="array" ref="Q31">INDEX(Tower!$E$10:$AM$469, _xlfn.XMATCH($C31,Tower!$C$10:$C$469), _xlfn.XMATCH(Figures!Q$3,Tower!$E$4:$AM$4))</f>
        <v>2.8999999999999998E-2</v>
      </c>
      <c r="R31" s="19" cm="1">
        <f t="array" ref="R31">INDEX(Tower!$E$10:$AM$469, _xlfn.XMATCH($C31,Tower!$C$10:$C$469), _xlfn.XMATCH(Figures!R$3,Tower!$E$4:$AM$4))</f>
        <v>6.8000000000000005E-2</v>
      </c>
      <c r="S31" s="19" cm="1">
        <f t="array" ref="S31">INDEX(Tower!$E$10:$AM$469, _xlfn.XMATCH($C31,Tower!$C$10:$C$469), _xlfn.XMATCH(Figures!S$3,Tower!$E$4:$AM$4))</f>
        <v>7.4999999999999997E-2</v>
      </c>
      <c r="T31" s="19" cm="1">
        <f t="array" ref="T31">INDEX(Tower!$E$10:$AM$469, _xlfn.XMATCH($C31,Tower!$C$10:$C$469), _xlfn.XMATCH(Figures!T$3,Tower!$E$4:$AM$4))</f>
        <v>8.199999999999999E-2</v>
      </c>
      <c r="U31" s="19" cm="1">
        <f t="array" ref="U31">INDEX(Tower!$E$10:$AM$469, _xlfn.XMATCH($C31,Tower!$C$10:$C$469), _xlfn.XMATCH(Figures!U$3,Tower!$E$4:$AM$4))</f>
        <v>0.13</v>
      </c>
      <c r="V31" s="19" cm="1">
        <f t="array" ref="V31">INDEX(Tower!$E$10:$AM$469, _xlfn.XMATCH($C31,Tower!$C$10:$C$469), _xlfn.XMATCH(Figures!V$3,Tower!$E$4:$AM$4))</f>
        <v>0.14300000000000002</v>
      </c>
      <c r="W31" s="19" cm="1">
        <f t="array" ref="W31">INDEX(Tower!$E$10:$AM$469, _xlfn.XMATCH($C31,Tower!$C$10:$C$469), _xlfn.XMATCH(Figures!W$3,Tower!$E$4:$AM$4))</f>
        <v>0.153</v>
      </c>
      <c r="X31" s="19" cm="1">
        <f t="array" ref="X31">INDEX(Tower!$E$10:$AM$469, _xlfn.XMATCH($C31,Tower!$C$10:$C$469), _xlfn.XMATCH(Figures!X$3,Tower!$E$4:$AM$4))</f>
        <v>0.125</v>
      </c>
      <c r="Y31" s="19" cm="1">
        <f t="array" ref="Y31">INDEX(Tower!$E$10:$AM$469, _xlfn.XMATCH($C31,Tower!$C$10:$C$469), _xlfn.XMATCH(Figures!Y$3,Tower!$E$4:$AM$4))</f>
        <v>0.12</v>
      </c>
    </row>
    <row r="32" spans="2:35">
      <c r="B32" t="s">
        <v>359</v>
      </c>
      <c r="C32" t="str">
        <f>Tower!C97</f>
        <v>Price/mix - North America</v>
      </c>
      <c r="F32" s="19" cm="1">
        <f t="array" ref="F32">INDEX(Tower!$E$10:$AM$469, _xlfn.XMATCH($C32,Tower!$C$10:$C$469), _xlfn.XMATCH(Figures!F$3,Tower!$E$4:$AM$4))</f>
        <v>-4.2956324615384996E-4</v>
      </c>
      <c r="G32" s="19" cm="1">
        <f t="array" ref="G32">INDEX(Tower!$E$10:$AM$469, _xlfn.XMATCH($C32,Tower!$C$10:$C$469), _xlfn.XMATCH(Figures!G$3,Tower!$E$4:$AM$4))</f>
        <v>0.02</v>
      </c>
      <c r="H32" s="19" cm="1">
        <f t="array" ref="H32">INDEX(Tower!$E$10:$AM$469, _xlfn.XMATCH($C32,Tower!$C$10:$C$469), _xlfn.XMATCH(Figures!H$3,Tower!$E$4:$AM$4))</f>
        <v>4.0198576707976351E-2</v>
      </c>
      <c r="I32" s="19" cm="1">
        <f t="array" ref="I32">INDEX(Tower!$E$10:$AM$469, _xlfn.XMATCH($C32,Tower!$C$10:$C$469), _xlfn.XMATCH(Figures!I$3,Tower!$E$4:$AM$4))</f>
        <v>3.9896728540213429E-2</v>
      </c>
      <c r="J32" s="19" cm="1">
        <f t="array" ref="J32">INDEX(Tower!$E$10:$AM$469, _xlfn.XMATCH($C32,Tower!$C$10:$C$469), _xlfn.XMATCH(Figures!J$3,Tower!$E$4:$AM$4))</f>
        <v>3.0370736372677492E-2</v>
      </c>
      <c r="K32" s="19" cm="1">
        <f t="array" ref="K32">INDEX(Tower!$E$10:$AM$469, _xlfn.XMATCH($C32,Tower!$C$10:$C$469), _xlfn.XMATCH(Figures!K$3,Tower!$E$4:$AM$4))</f>
        <v>1.9354252307895402E-2</v>
      </c>
      <c r="L32" s="19" cm="1">
        <f t="array" ref="L32">INDEX(Tower!$E$10:$AM$469, _xlfn.XMATCH($C32,Tower!$C$10:$C$469), _xlfn.XMATCH(Figures!L$3,Tower!$E$4:$AM$4))</f>
        <v>1.0125809513815261E-2</v>
      </c>
      <c r="M32" s="19" cm="1">
        <f t="array" ref="M32">INDEX(Tower!$E$10:$AM$469, _xlfn.XMATCH($C32,Tower!$C$10:$C$469), _xlfn.XMATCH(Figures!M$3,Tower!$E$4:$AM$4))</f>
        <v>2.1976296993956001E-4</v>
      </c>
      <c r="N32" s="19" cm="1">
        <f t="array" ref="N32">INDEX(Tower!$E$10:$AM$469, _xlfn.XMATCH($C32,Tower!$C$10:$C$469), _xlfn.XMATCH(Figures!N$3,Tower!$E$4:$AM$4))</f>
        <v>3.9928795933602663E-2</v>
      </c>
      <c r="O32" s="19" cm="1">
        <f t="array" ref="O32">INDEX(Tower!$E$10:$AM$469, _xlfn.XMATCH($C32,Tower!$C$10:$C$469), _xlfn.XMATCH(Figures!O$3,Tower!$E$4:$AM$4))</f>
        <v>0.03</v>
      </c>
      <c r="P32" s="19" cm="1">
        <f t="array" ref="P32">INDEX(Tower!$E$10:$AM$469, _xlfn.XMATCH($C32,Tower!$C$10:$C$469), _xlfn.XMATCH(Figures!P$3,Tower!$E$4:$AM$4))</f>
        <v>4.0037593984962407E-2</v>
      </c>
      <c r="Q32" s="19" cm="1">
        <f t="array" ref="Q32">INDEX(Tower!$E$10:$AM$469, _xlfn.XMATCH($C32,Tower!$C$10:$C$469), _xlfn.XMATCH(Figures!Q$3,Tower!$E$4:$AM$4))</f>
        <v>0.11898652053997077</v>
      </c>
      <c r="R32" s="19" cm="1">
        <f t="array" ref="R32">INDEX(Tower!$E$10:$AM$469, _xlfn.XMATCH($C32,Tower!$C$10:$C$469), _xlfn.XMATCH(Figures!R$3,Tower!$E$4:$AM$4))</f>
        <v>5.0265395417826549E-2</v>
      </c>
      <c r="S32" s="19" cm="1">
        <f t="array" ref="S32">INDEX(Tower!$E$10:$AM$469, _xlfn.XMATCH($C32,Tower!$C$10:$C$469), _xlfn.XMATCH(Figures!S$3,Tower!$E$4:$AM$4))</f>
        <v>0.09</v>
      </c>
      <c r="T32" s="19" cm="1">
        <f t="array" ref="T32">INDEX(Tower!$E$10:$AM$469, _xlfn.XMATCH($C32,Tower!$C$10:$C$469), _xlfn.XMATCH(Figures!T$3,Tower!$E$4:$AM$4))</f>
        <v>0.11</v>
      </c>
      <c r="U32" s="19" cm="1">
        <f t="array" ref="U32">INDEX(Tower!$E$10:$AM$469, _xlfn.XMATCH($C32,Tower!$C$10:$C$469), _xlfn.XMATCH(Figures!U$3,Tower!$E$4:$AM$4))</f>
        <v>0.10074878987756634</v>
      </c>
      <c r="V32" s="19" cm="1">
        <f t="array" ref="V32">INDEX(Tower!$E$10:$AM$469, _xlfn.XMATCH($C32,Tower!$C$10:$C$469), _xlfn.XMATCH(Figures!V$3,Tower!$E$4:$AM$4))</f>
        <v>0.15076017674106207</v>
      </c>
      <c r="W32" s="19" cm="1">
        <f t="array" ref="W32">INDEX(Tower!$E$10:$AM$469, _xlfn.XMATCH($C32,Tower!$C$10:$C$469), _xlfn.XMATCH(Figures!W$3,Tower!$E$4:$AM$4))</f>
        <v>0.11988751764563267</v>
      </c>
      <c r="X32" s="19" cm="1">
        <f t="array" ref="X32">INDEX(Tower!$E$10:$AM$469, _xlfn.XMATCH($C32,Tower!$C$10:$C$469), _xlfn.XMATCH(Figures!X$3,Tower!$E$4:$AM$4))</f>
        <v>0.10994784264680799</v>
      </c>
      <c r="Y32" s="19" cm="1">
        <f t="array" ref="Y32">INDEX(Tower!$E$10:$AM$469, _xlfn.XMATCH($C32,Tower!$C$10:$C$469), _xlfn.XMATCH(Figures!Y$3,Tower!$E$4:$AM$4))</f>
        <v>8.967025448746957E-2</v>
      </c>
    </row>
    <row r="33" spans="2:42">
      <c r="B33" t="s">
        <v>348</v>
      </c>
      <c r="C33" t="str">
        <f>Tower!C103</f>
        <v>Price/mix impact - PBNA</v>
      </c>
      <c r="F33" s="19" cm="1">
        <f t="array" ref="F33">INDEX(Tower!$E$10:$AM$469, _xlfn.XMATCH($C33,Tower!$C$10:$C$469), _xlfn.XMATCH(Figures!F$3,Tower!$E$4:$AM$4))</f>
        <v>1.7771317833333331E-2</v>
      </c>
      <c r="G33" s="19" cm="1">
        <f t="array" ref="G33">INDEX(Tower!$E$10:$AM$469, _xlfn.XMATCH($C33,Tower!$C$10:$C$469), _xlfn.XMATCH(Figures!G$3,Tower!$E$4:$AM$4))</f>
        <v>2.929317518181818E-2</v>
      </c>
      <c r="H33" s="19" cm="1">
        <f t="array" ref="H33">INDEX(Tower!$E$10:$AM$469, _xlfn.XMATCH($C33,Tower!$C$10:$C$469), _xlfn.XMATCH(Figures!H$3,Tower!$E$4:$AM$4))</f>
        <v>4.154312948333333E-2</v>
      </c>
      <c r="I33" s="19" cm="1">
        <f t="array" ref="I33">INDEX(Tower!$E$10:$AM$469, _xlfn.XMATCH($C33,Tower!$C$10:$C$469), _xlfn.XMATCH(Figures!I$3,Tower!$E$4:$AM$4))</f>
        <v>3.9986761025000005E-2</v>
      </c>
      <c r="J33" s="19" cm="1">
        <f t="array" ref="J33">INDEX(Tower!$E$10:$AM$469, _xlfn.XMATCH($C33,Tower!$C$10:$C$469), _xlfn.XMATCH(Figures!J$3,Tower!$E$4:$AM$4))</f>
        <v>3.3022849462365583E-2</v>
      </c>
      <c r="K33" s="19" cm="1">
        <f t="array" ref="K33">INDEX(Tower!$E$10:$AM$469, _xlfn.XMATCH($C33,Tower!$C$10:$C$469), _xlfn.XMATCH(Figures!K$3,Tower!$E$4:$AM$4))</f>
        <v>3.4540082351410241E-2</v>
      </c>
      <c r="L33" s="19" cm="1">
        <f t="array" ref="L33">INDEX(Tower!$E$10:$AM$469, _xlfn.XMATCH($C33,Tower!$C$10:$C$469), _xlfn.XMATCH(Figures!L$3,Tower!$E$4:$AM$4))</f>
        <v>-5.5555555555555601E-3</v>
      </c>
      <c r="M33" s="19" cm="1">
        <f t="array" ref="M33">INDEX(Tower!$E$10:$AM$469, _xlfn.XMATCH($C33,Tower!$C$10:$C$469), _xlfn.XMATCH(Figures!M$3,Tower!$E$4:$AM$4))</f>
        <v>3.1090909090909089E-2</v>
      </c>
      <c r="N33" s="19" cm="1">
        <f t="array" ref="N33">INDEX(Tower!$E$10:$AM$469, _xlfn.XMATCH($C33,Tower!$C$10:$C$469), _xlfn.XMATCH(Figures!N$3,Tower!$E$4:$AM$4))</f>
        <v>4.9444444444444437E-2</v>
      </c>
      <c r="O33" s="19" cm="1">
        <f t="array" ref="O33">INDEX(Tower!$E$10:$AM$469, _xlfn.XMATCH($C33,Tower!$C$10:$C$469), _xlfn.XMATCH(Figures!O$3,Tower!$E$4:$AM$4))</f>
        <v>5.0349866572727268E-2</v>
      </c>
      <c r="P33" s="19" cm="1">
        <f t="array" ref="P33">INDEX(Tower!$E$10:$AM$469, _xlfn.XMATCH($C33,Tower!$C$10:$C$469), _xlfn.XMATCH(Figures!P$3,Tower!$E$4:$AM$4))</f>
        <v>6.0777777777777785E-2</v>
      </c>
      <c r="Q33" s="19" cm="1">
        <f t="array" ref="Q33">INDEX(Tower!$E$10:$AM$469, _xlfn.XMATCH($C33,Tower!$C$10:$C$469), _xlfn.XMATCH(Figures!Q$3,Tower!$E$4:$AM$4))</f>
        <v>4.5555555555555564E-2</v>
      </c>
      <c r="R33" s="19" cm="1">
        <f t="array" ref="R33">INDEX(Tower!$E$10:$AM$469, _xlfn.XMATCH($C33,Tower!$C$10:$C$469), _xlfn.XMATCH(Figures!R$3,Tower!$E$4:$AM$4))</f>
        <v>3.996013763333333E-2</v>
      </c>
      <c r="S33" s="19" cm="1">
        <f t="array" ref="S33">INDEX(Tower!$E$10:$AM$469, _xlfn.XMATCH($C33,Tower!$C$10:$C$469), _xlfn.XMATCH(Figures!S$3,Tower!$E$4:$AM$4))</f>
        <v>5.8341571799999999E-2</v>
      </c>
      <c r="T33" s="19" cm="1">
        <f t="array" ref="T33">INDEX(Tower!$E$10:$AM$469, _xlfn.XMATCH($C33,Tower!$C$10:$C$469), _xlfn.XMATCH(Figures!T$3,Tower!$E$4:$AM$4))</f>
        <v>8.1498620420000001E-2</v>
      </c>
      <c r="U33" s="19" cm="1">
        <f t="array" ref="U33">INDEX(Tower!$E$10:$AM$469, _xlfn.XMATCH($C33,Tower!$C$10:$C$469), _xlfn.XMATCH(Figures!U$3,Tower!$E$4:$AM$4))</f>
        <v>9.11E-2</v>
      </c>
      <c r="V33" s="19" cm="1">
        <f t="array" ref="V33">INDEX(Tower!$E$10:$AM$469, _xlfn.XMATCH($C33,Tower!$C$10:$C$469), _xlfn.XMATCH(Figures!V$3,Tower!$E$4:$AM$4))</f>
        <v>0.11967226150918744</v>
      </c>
      <c r="W33" s="19" cm="1">
        <f t="array" ref="W33">INDEX(Tower!$E$10:$AM$469, _xlfn.XMATCH($C33,Tower!$C$10:$C$469), _xlfn.XMATCH(Figures!W$3,Tower!$E$4:$AM$4))</f>
        <v>0.11920894487802426</v>
      </c>
      <c r="X33" s="19" cm="1">
        <f t="array" ref="X33">INDEX(Tower!$E$10:$AM$469, _xlfn.XMATCH($C33,Tower!$C$10:$C$469), _xlfn.XMATCH(Figures!X$3,Tower!$E$4:$AM$4))</f>
        <v>0.14755735950953583</v>
      </c>
      <c r="Y33" s="19" cm="1">
        <f t="array" ref="Y33">INDEX(Tower!$E$10:$AM$469, _xlfn.XMATCH($C33,Tower!$C$10:$C$469), _xlfn.XMATCH(Figures!Y$3,Tower!$E$4:$AM$4))</f>
        <v>0.14125074272133101</v>
      </c>
    </row>
    <row r="34" spans="2:42">
      <c r="F34" s="19"/>
      <c r="G34" s="19"/>
      <c r="H34" s="19"/>
      <c r="I34" s="19"/>
      <c r="J34" s="19"/>
      <c r="K34" s="19"/>
      <c r="L34" s="19"/>
      <c r="M34" s="19"/>
      <c r="N34" s="19"/>
      <c r="O34" s="19"/>
      <c r="P34" s="19"/>
      <c r="Q34" s="19"/>
      <c r="R34" s="19"/>
      <c r="S34" s="19"/>
      <c r="T34" s="19"/>
      <c r="U34" s="19"/>
      <c r="V34" s="19"/>
      <c r="W34" s="19"/>
      <c r="X34" s="19"/>
      <c r="Y34" s="19"/>
    </row>
    <row r="35" spans="2:42">
      <c r="B35" t="s">
        <v>895</v>
      </c>
      <c r="C35" s="15" t="str">
        <f>Tower!C17</f>
        <v>KDP Beverage Revenue</v>
      </c>
      <c r="F35" s="624" cm="1">
        <f t="array" ref="F35">INDEX(Tower!$E$10:$AM$469, _xlfn.XMATCH($C35,Tower!$C$10:$C$469), _xlfn.XMATCH(Figures!F$3,Tower!$E$4:$AM$4))</f>
        <v>1600.32</v>
      </c>
      <c r="G35" s="624" cm="1">
        <f t="array" ref="G35">INDEX(Tower!$E$10:$AM$469, _xlfn.XMATCH($C35,Tower!$C$10:$C$469), _xlfn.XMATCH(Figures!G$3,Tower!$E$4:$AM$4))</f>
        <v>1467.84</v>
      </c>
      <c r="H35" s="624" cm="1">
        <f t="array" ref="H35">INDEX(Tower!$E$10:$AM$469, _xlfn.XMATCH($C35,Tower!$C$10:$C$469), _xlfn.XMATCH(Figures!H$3,Tower!$E$4:$AM$4))</f>
        <v>1363.2</v>
      </c>
      <c r="I35" s="624" cm="1">
        <f t="array" ref="I35">INDEX(Tower!$E$10:$AM$469, _xlfn.XMATCH($C35,Tower!$C$10:$C$469), _xlfn.XMATCH(Figures!I$3,Tower!$E$4:$AM$4))</f>
        <v>1613.76</v>
      </c>
      <c r="J35" s="624" cm="1">
        <f t="array" ref="J35">INDEX(Tower!$E$10:$AM$469, _xlfn.XMATCH($C35,Tower!$C$10:$C$469), _xlfn.XMATCH(Figures!J$3,Tower!$E$4:$AM$4))</f>
        <v>1600.32</v>
      </c>
      <c r="K35" s="624" cm="1">
        <f t="array" ref="K35">INDEX(Tower!$E$10:$AM$469, _xlfn.XMATCH($C35,Tower!$C$10:$C$469), _xlfn.XMATCH(Figures!K$3,Tower!$E$4:$AM$4))</f>
        <v>1527.36</v>
      </c>
      <c r="L35" s="624" cm="1">
        <f t="array" ref="L35">INDEX(Tower!$E$10:$AM$469, _xlfn.XMATCH($C35,Tower!$C$10:$C$469), _xlfn.XMATCH(Figures!L$3,Tower!$E$4:$AM$4))</f>
        <v>1462.08</v>
      </c>
      <c r="M35" s="624" cm="1">
        <f t="array" ref="M35">INDEX(Tower!$E$10:$AM$469, _xlfn.XMATCH($C35,Tower!$C$10:$C$469), _xlfn.XMATCH(Figures!M$3,Tower!$E$4:$AM$4))</f>
        <v>1632.96</v>
      </c>
      <c r="N35" s="624" cm="1">
        <f t="array" ref="N35">INDEX(Tower!$E$10:$AM$469, _xlfn.XMATCH($C35,Tower!$C$10:$C$469), _xlfn.XMATCH(Figures!N$3,Tower!$E$4:$AM$4))</f>
        <v>1727.04</v>
      </c>
      <c r="O35" s="624" cm="1">
        <f t="array" ref="O35">INDEX(Tower!$E$10:$AM$469, _xlfn.XMATCH($C35,Tower!$C$10:$C$469), _xlfn.XMATCH(Figures!O$3,Tower!$E$4:$AM$4))</f>
        <v>1598.3999999999999</v>
      </c>
      <c r="P35" s="624" cm="1">
        <f t="array" ref="P35">INDEX(Tower!$E$10:$AM$469, _xlfn.XMATCH($C35,Tower!$C$10:$C$469), _xlfn.XMATCH(Figures!P$3,Tower!$E$4:$AM$4))</f>
        <v>1579</v>
      </c>
      <c r="Q35" s="624" cm="1">
        <f t="array" ref="Q35">INDEX(Tower!$E$10:$AM$469, _xlfn.XMATCH($C35,Tower!$C$10:$C$469), _xlfn.XMATCH(Figures!Q$3,Tower!$E$4:$AM$4))</f>
        <v>1807</v>
      </c>
      <c r="R35" s="624" cm="1">
        <f t="array" ref="R35">INDEX(Tower!$E$10:$AM$469, _xlfn.XMATCH($C35,Tower!$C$10:$C$469), _xlfn.XMATCH(Figures!R$3,Tower!$E$4:$AM$4))</f>
        <v>1874</v>
      </c>
      <c r="S35" s="624" cm="1">
        <f t="array" ref="S35">INDEX(Tower!$E$10:$AM$469, _xlfn.XMATCH($C35,Tower!$C$10:$C$469), _xlfn.XMATCH(Figures!S$3,Tower!$E$4:$AM$4))</f>
        <v>1860</v>
      </c>
      <c r="T35" s="624" cm="1">
        <f t="array" ref="T35">INDEX(Tower!$E$10:$AM$469, _xlfn.XMATCH($C35,Tower!$C$10:$C$469), _xlfn.XMATCH(Figures!T$3,Tower!$E$4:$AM$4))</f>
        <v>1781</v>
      </c>
      <c r="U35" s="624" cm="1">
        <f t="array" ref="U35">INDEX(Tower!$E$10:$AM$469, _xlfn.XMATCH($C35,Tower!$C$10:$C$469), _xlfn.XMATCH(Figures!U$3,Tower!$E$4:$AM$4))</f>
        <v>2084</v>
      </c>
      <c r="V35" s="624" cm="1">
        <f t="array" ref="V35">INDEX(Tower!$E$10:$AM$469, _xlfn.XMATCH($C35,Tower!$C$10:$C$469), _xlfn.XMATCH(Figures!V$3,Tower!$E$4:$AM$4))</f>
        <v>2144</v>
      </c>
      <c r="W35" s="624" cm="1">
        <f t="array" ref="W35">INDEX(Tower!$E$10:$AM$469, _xlfn.XMATCH($C35,Tower!$C$10:$C$469), _xlfn.XMATCH(Figures!W$3,Tower!$E$4:$AM$4))</f>
        <v>2074</v>
      </c>
      <c r="X35" s="624" cm="1">
        <f t="array" ref="X35">INDEX(Tower!$E$10:$AM$469, _xlfn.XMATCH($C35,Tower!$C$10:$C$469), _xlfn.XMATCH(Figures!X$3,Tower!$E$4:$AM$4))</f>
        <v>2007</v>
      </c>
      <c r="Y35" s="624" cm="1">
        <f t="array" ref="Y35">INDEX(Tower!$E$10:$AM$469, _xlfn.XMATCH($C35,Tower!$C$10:$C$469), _xlfn.XMATCH(Figures!Y$3,Tower!$E$4:$AM$4))</f>
        <v>2330</v>
      </c>
    </row>
    <row r="36" spans="2:42">
      <c r="B36" t="s">
        <v>359</v>
      </c>
      <c r="C36" t="str">
        <f>Tower!C100</f>
        <v>North America - Net operating revenues - Operating</v>
      </c>
      <c r="F36" s="624" cm="1">
        <f t="array" ref="F36">INDEX(Tower!$E$10:$AM$469, _xlfn.XMATCH($C36,Tower!$C$10:$C$469), _xlfn.XMATCH(Figures!F$3,Tower!$E$4:$AM$4))</f>
        <v>3093.4</v>
      </c>
      <c r="G36" s="624" cm="1">
        <f t="array" ref="G36">INDEX(Tower!$E$10:$AM$469, _xlfn.XMATCH($C36,Tower!$C$10:$C$469), _xlfn.XMATCH(Figures!G$3,Tower!$E$4:$AM$4))</f>
        <v>2809.4666666666667</v>
      </c>
      <c r="H36" s="624" cm="1">
        <f t="array" ref="H36">INDEX(Tower!$E$10:$AM$469, _xlfn.XMATCH($C36,Tower!$C$10:$C$469), _xlfn.XMATCH(Figures!H$3,Tower!$E$4:$AM$4))</f>
        <v>2683.125</v>
      </c>
      <c r="I36" s="624" cm="1">
        <f t="array" ref="I36">INDEX(Tower!$E$10:$AM$469, _xlfn.XMATCH($C36,Tower!$C$10:$C$469), _xlfn.XMATCH(Figures!I$3,Tower!$E$4:$AM$4))</f>
        <v>3162</v>
      </c>
      <c r="J36" s="624" cm="1">
        <f t="array" ref="J36">INDEX(Tower!$E$10:$AM$469, _xlfn.XMATCH($C36,Tower!$C$10:$C$469), _xlfn.XMATCH(Figures!J$3,Tower!$E$4:$AM$4))</f>
        <v>3138</v>
      </c>
      <c r="K36" s="624" cm="1">
        <f t="array" ref="K36">INDEX(Tower!$E$10:$AM$469, _xlfn.XMATCH($C36,Tower!$C$10:$C$469), _xlfn.XMATCH(Figures!K$3,Tower!$E$4:$AM$4))</f>
        <v>2932</v>
      </c>
      <c r="L36" s="624" cm="1">
        <f t="array" ref="L36">INDEX(Tower!$E$10:$AM$469, _xlfn.XMATCH($C36,Tower!$C$10:$C$469), _xlfn.XMATCH(Figures!L$3,Tower!$E$4:$AM$4))</f>
        <v>2850</v>
      </c>
      <c r="M36" s="624" cm="1">
        <f t="array" ref="M36">INDEX(Tower!$E$10:$AM$469, _xlfn.XMATCH($C36,Tower!$C$10:$C$469), _xlfn.XMATCH(Figures!M$3,Tower!$E$4:$AM$4))</f>
        <v>2651.5</v>
      </c>
      <c r="N36" s="624" cm="1">
        <f t="array" ref="N36">INDEX(Tower!$E$10:$AM$469, _xlfn.XMATCH($C36,Tower!$C$10:$C$469), _xlfn.XMATCH(Figures!N$3,Tower!$E$4:$AM$4))</f>
        <v>3086.2666666666664</v>
      </c>
      <c r="O36" s="624" cm="1">
        <f t="array" ref="O36">INDEX(Tower!$E$10:$AM$469, _xlfn.XMATCH($C36,Tower!$C$10:$C$469), _xlfn.XMATCH(Figures!O$3,Tower!$E$4:$AM$4))</f>
        <v>2890.1333333333337</v>
      </c>
      <c r="P36" s="624" cm="1">
        <f t="array" ref="P36">INDEX(Tower!$E$10:$AM$469, _xlfn.XMATCH($C36,Tower!$C$10:$C$469), _xlfn.XMATCH(Figures!P$3,Tower!$E$4:$AM$4))</f>
        <v>2937</v>
      </c>
      <c r="Q36" s="624" cm="1">
        <f t="array" ref="Q36">INDEX(Tower!$E$10:$AM$469, _xlfn.XMATCH($C36,Tower!$C$10:$C$469), _xlfn.XMATCH(Figures!Q$3,Tower!$E$4:$AM$4))</f>
        <v>3381</v>
      </c>
      <c r="R36" s="624" cm="1">
        <f t="array" ref="R36">INDEX(Tower!$E$10:$AM$469, _xlfn.XMATCH($C36,Tower!$C$10:$C$469), _xlfn.XMATCH(Figures!R$3,Tower!$E$4:$AM$4))</f>
        <v>3479</v>
      </c>
      <c r="S36" s="624" cm="1">
        <f t="array" ref="S36">INDEX(Tower!$E$10:$AM$469, _xlfn.XMATCH($C36,Tower!$C$10:$C$469), _xlfn.XMATCH(Figures!S$3,Tower!$E$4:$AM$4))</f>
        <v>3393</v>
      </c>
      <c r="T36" s="624" cm="1">
        <f t="array" ref="T36">INDEX(Tower!$E$10:$AM$469, _xlfn.XMATCH($C36,Tower!$C$10:$C$469), _xlfn.XMATCH(Figures!T$3,Tower!$E$4:$AM$4))</f>
        <v>3590</v>
      </c>
      <c r="U36" s="624" cm="1">
        <f t="array" ref="U36">INDEX(Tower!$E$10:$AM$469, _xlfn.XMATCH($C36,Tower!$C$10:$C$469), _xlfn.XMATCH(Figures!U$3,Tower!$E$4:$AM$4))</f>
        <v>4030</v>
      </c>
      <c r="V36" s="624" cm="1">
        <f t="array" ref="V36">INDEX(Tower!$E$10:$AM$469, _xlfn.XMATCH($C36,Tower!$C$10:$C$469), _xlfn.XMATCH(Figures!V$3,Tower!$E$4:$AM$4))</f>
        <v>4201</v>
      </c>
      <c r="W36" s="624" cm="1">
        <f t="array" ref="W36">INDEX(Tower!$E$10:$AM$469, _xlfn.XMATCH($C36,Tower!$C$10:$C$469), _xlfn.XMATCH(Figures!W$3,Tower!$E$4:$AM$4))</f>
        <v>3854.8461538461538</v>
      </c>
      <c r="X36" s="624" cm="1">
        <f t="array" ref="X36">INDEX(Tower!$E$10:$AM$469, _xlfn.XMATCH($C36,Tower!$C$10:$C$469), _xlfn.XMATCH(Figures!X$3,Tower!$E$4:$AM$4))</f>
        <v>3903.0769230769229</v>
      </c>
      <c r="Y36" s="624" cm="1">
        <f t="array" ref="Y36">INDEX(Tower!$E$10:$AM$469, _xlfn.XMATCH($C36,Tower!$C$10:$C$469), _xlfn.XMATCH(Figures!Y$3,Tower!$E$4:$AM$4))</f>
        <v>4367.9230769230762</v>
      </c>
    </row>
    <row r="37" spans="2:42">
      <c r="B37" t="s">
        <v>348</v>
      </c>
      <c r="C37" t="str">
        <f>Tower!C106</f>
        <v>Revenue - PBNA</v>
      </c>
      <c r="F37" s="624" cm="1">
        <f t="array" ref="F37">INDEX(Tower!$E$10:$AM$469, _xlfn.XMATCH($C37,Tower!$C$10:$C$469), _xlfn.XMATCH(Figures!F$3,Tower!$E$4:$AM$4))</f>
        <v>5456</v>
      </c>
      <c r="G37" s="624" cm="1">
        <f t="array" ref="G37">INDEX(Tower!$E$10:$AM$469, _xlfn.XMATCH($C37,Tower!$C$10:$C$469), _xlfn.XMATCH(Figures!G$3,Tower!$E$4:$AM$4))</f>
        <v>6008</v>
      </c>
      <c r="H37" s="624" cm="1">
        <f t="array" ref="H37">INDEX(Tower!$E$10:$AM$469, _xlfn.XMATCH($C37,Tower!$C$10:$C$469), _xlfn.XMATCH(Figures!H$3,Tower!$E$4:$AM$4))</f>
        <v>4510</v>
      </c>
      <c r="I37" s="624" cm="1">
        <f t="array" ref="I37">INDEX(Tower!$E$10:$AM$469, _xlfn.XMATCH($C37,Tower!$C$10:$C$469), _xlfn.XMATCH(Figures!I$3,Tower!$E$4:$AM$4))</f>
        <v>5322</v>
      </c>
      <c r="J37" s="624" cm="1">
        <f t="array" ref="J37">INDEX(Tower!$E$10:$AM$469, _xlfn.XMATCH($C37,Tower!$C$10:$C$469), _xlfn.XMATCH(Figures!J$3,Tower!$E$4:$AM$4))</f>
        <v>5643</v>
      </c>
      <c r="K37" s="624" cm="1">
        <f t="array" ref="K37">INDEX(Tower!$E$10:$AM$469, _xlfn.XMATCH($C37,Tower!$C$10:$C$469), _xlfn.XMATCH(Figures!K$3,Tower!$E$4:$AM$4))</f>
        <v>6255</v>
      </c>
      <c r="L37" s="624" cm="1">
        <f t="array" ref="L37">INDEX(Tower!$E$10:$AM$469, _xlfn.XMATCH($C37,Tower!$C$10:$C$469), _xlfn.XMATCH(Figures!L$3,Tower!$E$4:$AM$4))</f>
        <v>4838</v>
      </c>
      <c r="M37" s="624" cm="1">
        <f t="array" ref="M37">INDEX(Tower!$E$10:$AM$469, _xlfn.XMATCH($C37,Tower!$C$10:$C$469), _xlfn.XMATCH(Figures!M$3,Tower!$E$4:$AM$4))</f>
        <v>4970</v>
      </c>
      <c r="N37" s="624" cm="1">
        <f t="array" ref="N37">INDEX(Tower!$E$10:$AM$469, _xlfn.XMATCH($C37,Tower!$C$10:$C$469), _xlfn.XMATCH(Figures!N$3,Tower!$E$4:$AM$4))</f>
        <v>5958</v>
      </c>
      <c r="O37" s="624" cm="1">
        <f t="array" ref="O37">INDEX(Tower!$E$10:$AM$469, _xlfn.XMATCH($C37,Tower!$C$10:$C$469), _xlfn.XMATCH(Figures!O$3,Tower!$E$4:$AM$4))</f>
        <v>6793</v>
      </c>
      <c r="P37" s="624" cm="1">
        <f t="array" ref="P37">INDEX(Tower!$E$10:$AM$469, _xlfn.XMATCH($C37,Tower!$C$10:$C$469), _xlfn.XMATCH(Figures!P$3,Tower!$E$4:$AM$4))</f>
        <v>5042.75</v>
      </c>
      <c r="Q37" s="624" cm="1">
        <f t="array" ref="Q37">INDEX(Tower!$E$10:$AM$469, _xlfn.XMATCH($C37,Tower!$C$10:$C$469), _xlfn.XMATCH(Figures!Q$3,Tower!$E$4:$AM$4))</f>
        <v>6110.166666666667</v>
      </c>
      <c r="R37" s="624" cm="1">
        <f t="array" ref="R37">INDEX(Tower!$E$10:$AM$469, _xlfn.XMATCH($C37,Tower!$C$10:$C$469), _xlfn.XMATCH(Figures!R$3,Tower!$E$4:$AM$4))</f>
        <v>6339.5</v>
      </c>
      <c r="S37" s="624" cm="1">
        <f t="array" ref="S37">INDEX(Tower!$E$10:$AM$469, _xlfn.XMATCH($C37,Tower!$C$10:$C$469), _xlfn.XMATCH(Figures!S$3,Tower!$E$4:$AM$4))</f>
        <v>7581.5</v>
      </c>
      <c r="T37" s="624" cm="1">
        <f t="array" ref="T37">INDEX(Tower!$E$10:$AM$469, _xlfn.XMATCH($C37,Tower!$C$10:$C$469), _xlfn.XMATCH(Figures!T$3,Tower!$E$4:$AM$4))</f>
        <v>5353</v>
      </c>
      <c r="U37" s="624" cm="1">
        <f t="array" ref="U37">INDEX(Tower!$E$10:$AM$469, _xlfn.XMATCH($C37,Tower!$C$10:$C$469), _xlfn.XMATCH(Figures!U$3,Tower!$E$4:$AM$4))</f>
        <v>6120</v>
      </c>
      <c r="V37" s="624" cm="1">
        <f t="array" ref="V37">INDEX(Tower!$E$10:$AM$469, _xlfn.XMATCH($C37,Tower!$C$10:$C$469), _xlfn.XMATCH(Figures!V$3,Tower!$E$4:$AM$4))</f>
        <v>6635</v>
      </c>
      <c r="W37" s="624" cm="1">
        <f t="array" ref="W37">INDEX(Tower!$E$10:$AM$469, _xlfn.XMATCH($C37,Tower!$C$10:$C$469), _xlfn.XMATCH(Figures!W$3,Tower!$E$4:$AM$4))</f>
        <v>8058.2745098039213</v>
      </c>
      <c r="X37" s="624" cm="1">
        <f t="array" ref="X37">INDEX(Tower!$E$10:$AM$469, _xlfn.XMATCH($C37,Tower!$C$10:$C$469), _xlfn.XMATCH(Figures!X$3,Tower!$E$4:$AM$4))</f>
        <v>5798</v>
      </c>
      <c r="Y37" s="624" cm="1">
        <f t="array" ref="Y37">INDEX(Tower!$E$10:$AM$469, _xlfn.XMATCH($C37,Tower!$C$10:$C$469), _xlfn.XMATCH(Figures!Y$3,Tower!$E$4:$AM$4))</f>
        <v>6755</v>
      </c>
    </row>
    <row r="39" spans="2:42">
      <c r="C39" t="str">
        <f>Tower!C26</f>
        <v>KDP Organic Bevs</v>
      </c>
      <c r="F39" s="19" cm="1">
        <f t="array" ref="F39">INDEX(Tower!$E$10:$AM$469, _xlfn.XMATCH($C39,Tower!$C$10:$C$469), _xlfn.XMATCH(Figures!F$3,Tower!$E$4:$AM$4))</f>
        <v>4.2000000000000003E-2</v>
      </c>
      <c r="G39" s="19" cm="1">
        <f t="array" ref="G39">INDEX(Tower!$E$10:$AM$469, _xlfn.XMATCH($C39,Tower!$C$10:$C$469), _xlfn.XMATCH(Figures!G$3,Tower!$E$4:$AM$4))</f>
        <v>4.65E-2</v>
      </c>
      <c r="H39" s="19" cm="1">
        <f t="array" ref="H39">INDEX(Tower!$E$10:$AM$469, _xlfn.XMATCH($C39,Tower!$C$10:$C$469), _xlfn.XMATCH(Figures!H$3,Tower!$E$4:$AM$4))</f>
        <v>3.2500000000000001E-2</v>
      </c>
      <c r="I39" s="19" cm="1">
        <f t="array" ref="I39">INDEX(Tower!$E$10:$AM$469, _xlfn.XMATCH($C39,Tower!$C$10:$C$469), _xlfn.XMATCH(Figures!I$3,Tower!$E$4:$AM$4))</f>
        <v>2.1499999999999998E-2</v>
      </c>
      <c r="J39" s="19" cm="1">
        <f t="array" ref="J39">INDEX(Tower!$E$10:$AM$469, _xlfn.XMATCH($C39,Tower!$C$10:$C$469), _xlfn.XMATCH(Figures!J$3,Tower!$E$4:$AM$4))</f>
        <v>5.9499999999999997E-2</v>
      </c>
      <c r="K39" s="19" cm="1">
        <f t="array" ref="K39">INDEX(Tower!$E$10:$AM$469, _xlfn.XMATCH($C39,Tower!$C$10:$C$469), _xlfn.XMATCH(Figures!K$3,Tower!$E$4:$AM$4))</f>
        <v>5.7500000000000002E-2</v>
      </c>
      <c r="L39" s="19" cm="1">
        <f t="array" ref="L39">INDEX(Tower!$E$10:$AM$469, _xlfn.XMATCH($C39,Tower!$C$10:$C$469), _xlfn.XMATCH(Figures!L$3,Tower!$E$4:$AM$4))</f>
        <v>4.9000000000000002E-2</v>
      </c>
      <c r="M39" s="19" cm="1">
        <f t="array" ref="M39">INDEX(Tower!$E$10:$AM$469, _xlfn.XMATCH($C39,Tower!$C$10:$C$469), _xlfn.XMATCH(Figures!M$3,Tower!$E$4:$AM$4))</f>
        <v>-4.9500000000000002E-2</v>
      </c>
      <c r="N39" s="19" cm="1">
        <f t="array" ref="N39">INDEX(Tower!$E$10:$AM$469, _xlfn.XMATCH($C39,Tower!$C$10:$C$469), _xlfn.XMATCH(Figures!N$3,Tower!$E$4:$AM$4))</f>
        <v>4.2500000000000003E-2</v>
      </c>
      <c r="O39" s="19" cm="1">
        <f t="array" ref="O39">INDEX(Tower!$E$10:$AM$469, _xlfn.XMATCH($C39,Tower!$C$10:$C$469), _xlfn.XMATCH(Figures!O$3,Tower!$E$4:$AM$4))</f>
        <v>1.0500000000000001E-2</v>
      </c>
      <c r="P39" s="19" cm="1">
        <f t="array" ref="P39">INDEX(Tower!$E$10:$AM$469, _xlfn.XMATCH($C39,Tower!$C$10:$C$469), _xlfn.XMATCH(Figures!P$3,Tower!$E$4:$AM$4))</f>
        <v>6.7000000000000004E-2</v>
      </c>
      <c r="Q39" s="19" cm="1">
        <f t="array" ref="Q39">INDEX(Tower!$E$10:$AM$469, _xlfn.XMATCH($C39,Tower!$C$10:$C$469), _xlfn.XMATCH(Figures!Q$3,Tower!$E$4:$AM$4))</f>
        <v>9.6000000000000002E-2</v>
      </c>
      <c r="R39" s="19" cm="1">
        <f t="array" ref="R39">INDEX(Tower!$E$10:$AM$469, _xlfn.XMATCH($C39,Tower!$C$10:$C$469), _xlfn.XMATCH(Figures!R$3,Tower!$E$4:$AM$4))</f>
        <v>7.9000000000000001E-2</v>
      </c>
      <c r="S39" s="19" cm="1">
        <f t="array" ref="S39">INDEX(Tower!$E$10:$AM$469, _xlfn.XMATCH($C39,Tower!$C$10:$C$469), _xlfn.XMATCH(Figures!S$3,Tower!$E$4:$AM$4))</f>
        <v>0.15699999999999997</v>
      </c>
      <c r="T39" s="19" cm="1">
        <f t="array" ref="T39">INDEX(Tower!$E$10:$AM$469, _xlfn.XMATCH($C39,Tower!$C$10:$C$469), _xlfn.XMATCH(Figures!T$3,Tower!$E$4:$AM$4))</f>
        <v>0.128</v>
      </c>
      <c r="U39" s="19" cm="1">
        <f t="array" ref="U39">INDEX(Tower!$E$10:$AM$469, _xlfn.XMATCH($C39,Tower!$C$10:$C$469), _xlfn.XMATCH(Figures!U$3,Tower!$E$4:$AM$4))</f>
        <v>0.153</v>
      </c>
      <c r="V39" s="19" cm="1">
        <f t="array" ref="V39">INDEX(Tower!$E$10:$AM$469, _xlfn.XMATCH($C39,Tower!$C$10:$C$469), _xlfn.XMATCH(Figures!V$3,Tower!$E$4:$AM$4))</f>
        <v>0.14400000000000002</v>
      </c>
      <c r="W39" s="19" cm="1">
        <f t="array" ref="W39">INDEX(Tower!$E$10:$AM$469, _xlfn.XMATCH($C39,Tower!$C$10:$C$469), _xlfn.XMATCH(Figures!W$3,Tower!$E$4:$AM$4))</f>
        <v>0.11499999999999999</v>
      </c>
      <c r="X39" s="19" cm="1">
        <f t="array" ref="X39">INDEX(Tower!$E$10:$AM$469, _xlfn.XMATCH($C39,Tower!$C$10:$C$469), _xlfn.XMATCH(Figures!X$3,Tower!$E$4:$AM$4))</f>
        <v>0.127</v>
      </c>
      <c r="Y39" s="19" cm="1">
        <f t="array" ref="Y39">INDEX(Tower!$E$10:$AM$469, _xlfn.XMATCH($C39,Tower!$C$10:$C$469), _xlfn.XMATCH(Figures!Y$3,Tower!$E$4:$AM$4))</f>
        <v>0.11799999999999999</v>
      </c>
    </row>
    <row r="40" spans="2:42">
      <c r="F40" s="19"/>
      <c r="G40" s="19"/>
      <c r="H40" s="19"/>
      <c r="I40" s="19"/>
      <c r="J40" s="15">
        <f>(J39-F39)*10000</f>
        <v>174.99999999999994</v>
      </c>
      <c r="K40" s="15">
        <f t="shared" ref="K40:Y40" si="0">(K39-G39)*10000</f>
        <v>110.00000000000003</v>
      </c>
      <c r="L40" s="15">
        <f t="shared" si="0"/>
        <v>165</v>
      </c>
      <c r="M40" s="15">
        <f t="shared" si="0"/>
        <v>-710.00000000000011</v>
      </c>
      <c r="N40" s="15">
        <f t="shared" si="0"/>
        <v>-169.99999999999994</v>
      </c>
      <c r="O40" s="15">
        <f t="shared" si="0"/>
        <v>-470</v>
      </c>
      <c r="P40" s="15">
        <f t="shared" si="0"/>
        <v>180.00000000000003</v>
      </c>
      <c r="Q40" s="15">
        <f t="shared" si="0"/>
        <v>1455.0000000000002</v>
      </c>
      <c r="R40" s="15">
        <f t="shared" si="0"/>
        <v>365</v>
      </c>
      <c r="S40" s="15">
        <f t="shared" si="0"/>
        <v>1464.9999999999995</v>
      </c>
      <c r="T40" s="15">
        <f t="shared" si="0"/>
        <v>610</v>
      </c>
      <c r="U40" s="15">
        <f t="shared" si="0"/>
        <v>570</v>
      </c>
      <c r="V40" s="15">
        <f t="shared" si="0"/>
        <v>650.00000000000011</v>
      </c>
      <c r="W40" s="15">
        <f t="shared" si="0"/>
        <v>-419.99999999999983</v>
      </c>
      <c r="X40" s="15">
        <f t="shared" si="0"/>
        <v>-10.000000000000009</v>
      </c>
      <c r="Y40" s="15">
        <f t="shared" si="0"/>
        <v>-350.00000000000006</v>
      </c>
    </row>
    <row r="41" spans="2:42">
      <c r="C41" t="str">
        <f>Tower!C51</f>
        <v>Keurig Organic Coffee</v>
      </c>
      <c r="F41" s="19" cm="1">
        <f t="array" ref="F41">INDEX(Tower!$E$10:$AM$469, _xlfn.XMATCH($C41,Tower!$C$10:$C$469), _xlfn.XMATCH(Figures!F$3,Tower!$E$4:$AM$4))</f>
        <v>2.8500000000000004E-2</v>
      </c>
      <c r="G41" s="19" cm="1">
        <f t="array" ref="G41">INDEX(Tower!$E$10:$AM$469, _xlfn.XMATCH($C41,Tower!$C$10:$C$469), _xlfn.XMATCH(Figures!G$3,Tower!$E$4:$AM$4))</f>
        <v>2.1499999999999998E-2</v>
      </c>
      <c r="H41" s="19" cm="1">
        <f t="array" ref="H41">INDEX(Tower!$E$10:$AM$469, _xlfn.XMATCH($C41,Tower!$C$10:$C$469), _xlfn.XMATCH(Figures!H$3,Tower!$E$4:$AM$4))</f>
        <v>1.9499999999999997E-2</v>
      </c>
      <c r="I41" s="19" cm="1">
        <f t="array" ref="I41">INDEX(Tower!$E$10:$AM$469, _xlfn.XMATCH($C41,Tower!$C$10:$C$469), _xlfn.XMATCH(Figures!I$3,Tower!$E$4:$AM$4))</f>
        <v>2.8999999999999998E-2</v>
      </c>
      <c r="J41" s="19" cm="1">
        <f t="array" ref="J41">INDEX(Tower!$E$10:$AM$469, _xlfn.XMATCH($C41,Tower!$C$10:$C$469), _xlfn.XMATCH(Figures!J$3,Tower!$E$4:$AM$4))</f>
        <v>2.1500000000000002E-2</v>
      </c>
      <c r="K41" s="19" cm="1">
        <f t="array" ref="K41">INDEX(Tower!$E$10:$AM$469, _xlfn.XMATCH($C41,Tower!$C$10:$C$469), _xlfn.XMATCH(Figures!K$3,Tower!$E$4:$AM$4))</f>
        <v>4.0500000000000001E-2</v>
      </c>
      <c r="L41" s="19" cm="1">
        <f t="array" ref="L41">INDEX(Tower!$E$10:$AM$469, _xlfn.XMATCH($C41,Tower!$C$10:$C$469), _xlfn.XMATCH(Figures!L$3,Tower!$E$4:$AM$4))</f>
        <v>4.7500000000000001E-2</v>
      </c>
      <c r="M41" s="19" cm="1">
        <f t="array" ref="M41">INDEX(Tower!$E$10:$AM$469, _xlfn.XMATCH($C41,Tower!$C$10:$C$469), _xlfn.XMATCH(Figures!M$3,Tower!$E$4:$AM$4))</f>
        <v>6.0499999999999998E-2</v>
      </c>
      <c r="N41" s="19" cm="1">
        <f t="array" ref="N41">INDEX(Tower!$E$10:$AM$469, _xlfn.XMATCH($C41,Tower!$C$10:$C$469), _xlfn.XMATCH(Figures!N$3,Tower!$E$4:$AM$4))</f>
        <v>6.9499999999999992E-2</v>
      </c>
      <c r="O41" s="19" cm="1">
        <f t="array" ref="O41">INDEX(Tower!$E$10:$AM$469, _xlfn.XMATCH($C41,Tower!$C$10:$C$469), _xlfn.XMATCH(Figures!O$3,Tower!$E$4:$AM$4))</f>
        <v>8.4000000000000005E-2</v>
      </c>
      <c r="P41" s="19" cm="1">
        <f t="array" ref="P41">INDEX(Tower!$E$10:$AM$469, _xlfn.XMATCH($C41,Tower!$C$10:$C$469), _xlfn.XMATCH(Figures!P$3,Tower!$E$4:$AM$4))</f>
        <v>0.18700000000000003</v>
      </c>
      <c r="Q41" s="19" cm="1">
        <f t="array" ref="Q41">INDEX(Tower!$E$10:$AM$469, _xlfn.XMATCH($C41,Tower!$C$10:$C$469), _xlfn.XMATCH(Figures!Q$3,Tower!$E$4:$AM$4))</f>
        <v>4.5999999999999992E-2</v>
      </c>
      <c r="R41" s="19" cm="1">
        <f t="array" ref="R41">INDEX(Tower!$E$10:$AM$469, _xlfn.XMATCH($C41,Tower!$C$10:$C$469), _xlfn.XMATCH(Figures!R$3,Tower!$E$4:$AM$4))</f>
        <v>5.2999999999999999E-2</v>
      </c>
      <c r="S41" s="19" cm="1">
        <f t="array" ref="S41">INDEX(Tower!$E$10:$AM$469, _xlfn.XMATCH($C41,Tower!$C$10:$C$469), _xlfn.XMATCH(Figures!S$3,Tower!$E$4:$AM$4))</f>
        <v>-8.0000000000000002E-3</v>
      </c>
      <c r="T41" s="19" cm="1">
        <f t="array" ref="T41">INDEX(Tower!$E$10:$AM$469, _xlfn.XMATCH($C41,Tower!$C$10:$C$469), _xlfn.XMATCH(Figures!T$3,Tower!$E$4:$AM$4))</f>
        <v>-5.3999999999999992E-2</v>
      </c>
      <c r="U41" s="19" cm="1">
        <f t="array" ref="U41">INDEX(Tower!$E$10:$AM$469, _xlfn.XMATCH($C41,Tower!$C$10:$C$469), _xlfn.XMATCH(Figures!U$3,Tower!$E$4:$AM$4))</f>
        <v>7.6999999999999999E-2</v>
      </c>
      <c r="V41" s="19" cm="1">
        <f t="array" ref="V41">INDEX(Tower!$E$10:$AM$469, _xlfn.XMATCH($C41,Tower!$C$10:$C$469), _xlfn.XMATCH(Figures!V$3,Tower!$E$4:$AM$4))</f>
        <v>4.3000000000000003E-2</v>
      </c>
      <c r="W41" s="19" cm="1">
        <f t="array" ref="W41">INDEX(Tower!$E$10:$AM$469, _xlfn.XMATCH($C41,Tower!$C$10:$C$469), _xlfn.XMATCH(Figures!W$3,Tower!$E$4:$AM$4))</f>
        <v>0.13200000000000001</v>
      </c>
      <c r="X41" s="19" cm="1">
        <f t="array" ref="X41">INDEX(Tower!$E$10:$AM$469, _xlfn.XMATCH($C41,Tower!$C$10:$C$469), _xlfn.XMATCH(Figures!X$3,Tower!$E$4:$AM$4))</f>
        <v>-1.3000000000000005E-2</v>
      </c>
      <c r="Y41" s="19" cm="1">
        <f t="array" ref="Y41">INDEX(Tower!$E$10:$AM$469, _xlfn.XMATCH($C41,Tower!$C$10:$C$469), _xlfn.XMATCH(Figures!Y$3,Tower!$E$4:$AM$4))</f>
        <v>-5.6999999999999995E-2</v>
      </c>
    </row>
    <row r="42" spans="2:42">
      <c r="J42" s="15">
        <f t="shared" ref="J42:Y42" si="1">(J41-F41)*10000</f>
        <v>-70.000000000000028</v>
      </c>
      <c r="K42" s="15">
        <f t="shared" si="1"/>
        <v>190.00000000000003</v>
      </c>
      <c r="L42" s="15">
        <f t="shared" si="1"/>
        <v>280.00000000000006</v>
      </c>
      <c r="M42" s="15">
        <f t="shared" si="1"/>
        <v>315</v>
      </c>
      <c r="N42" s="15">
        <f t="shared" si="1"/>
        <v>479.99999999999989</v>
      </c>
      <c r="O42" s="15">
        <f t="shared" si="1"/>
        <v>435.00000000000006</v>
      </c>
      <c r="P42" s="15">
        <f t="shared" si="1"/>
        <v>1395.0000000000002</v>
      </c>
      <c r="Q42" s="15">
        <f t="shared" si="1"/>
        <v>-145.00000000000006</v>
      </c>
      <c r="R42" s="15">
        <f t="shared" si="1"/>
        <v>-164.99999999999994</v>
      </c>
      <c r="S42" s="15">
        <f t="shared" si="1"/>
        <v>-920</v>
      </c>
      <c r="T42" s="15">
        <f t="shared" si="1"/>
        <v>-2410</v>
      </c>
      <c r="U42" s="15">
        <f t="shared" si="1"/>
        <v>310.00000000000006</v>
      </c>
      <c r="V42" s="15">
        <f t="shared" si="1"/>
        <v>-99.999999999999943</v>
      </c>
      <c r="W42" s="15">
        <f t="shared" si="1"/>
        <v>1400.0000000000002</v>
      </c>
      <c r="X42" s="15">
        <f t="shared" si="1"/>
        <v>409.99999999999989</v>
      </c>
      <c r="Y42" s="15">
        <f t="shared" si="1"/>
        <v>-1340</v>
      </c>
      <c r="AG42" s="19"/>
      <c r="AH42" s="19"/>
      <c r="AI42" s="19"/>
      <c r="AJ42" s="19"/>
      <c r="AK42" s="19"/>
      <c r="AL42" s="19"/>
      <c r="AM42" s="19"/>
      <c r="AN42" s="19"/>
      <c r="AO42" s="19"/>
      <c r="AP42" s="19"/>
    </row>
    <row r="43" spans="2:42">
      <c r="C43" t="str">
        <f>Tower!C292</f>
        <v>Bev EBIT Margin</v>
      </c>
      <c r="F43" s="19" cm="1">
        <f t="array" ref="F43">INDEX(Tower!$E$10:$AM$469, _xlfn.XMATCH($C43,Tower!$C$10:$C$469), _xlfn.XMATCH(Figures!F$3,Tower!$E$4:$AM$4))</f>
        <v>0.21845630873825234</v>
      </c>
      <c r="G43" s="19" cm="1">
        <f t="array" ref="G43">INDEX(Tower!$E$10:$AM$469, _xlfn.XMATCH($C43,Tower!$C$10:$C$469), _xlfn.XMATCH(Figures!G$3,Tower!$E$4:$AM$4))</f>
        <v>0.28994985829518205</v>
      </c>
      <c r="H43" s="19" cm="1">
        <f t="array" ref="H43">INDEX(Tower!$E$10:$AM$469, _xlfn.XMATCH($C43,Tower!$C$10:$C$469), _xlfn.XMATCH(Figures!H$3,Tower!$E$4:$AM$4))</f>
        <v>0.25157717136150232</v>
      </c>
      <c r="I43" s="19" cm="1">
        <f t="array" ref="I43">INDEX(Tower!$E$10:$AM$469, _xlfn.XMATCH($C43,Tower!$C$10:$C$469), _xlfn.XMATCH(Figures!I$3,Tower!$E$4:$AM$4))</f>
        <v>0.25666765813999604</v>
      </c>
      <c r="J43" s="19" cm="1">
        <f t="array" ref="J43">INDEX(Tower!$E$10:$AM$469, _xlfn.XMATCH($C43,Tower!$C$10:$C$469), _xlfn.XMATCH(Figures!J$3,Tower!$E$4:$AM$4))</f>
        <v>0.2641659168166367</v>
      </c>
      <c r="K43" s="19" cm="1">
        <f t="array" ref="K43">INDEX(Tower!$E$10:$AM$469, _xlfn.XMATCH($C43,Tower!$C$10:$C$469), _xlfn.XMATCH(Figures!K$3,Tower!$E$4:$AM$4))</f>
        <v>0.30975015713387805</v>
      </c>
      <c r="L43" s="19" cm="1">
        <f t="array" ref="L43">INDEX(Tower!$E$10:$AM$469, _xlfn.XMATCH($C43,Tower!$C$10:$C$469), _xlfn.XMATCH(Figures!L$3,Tower!$E$4:$AM$4))</f>
        <v>0.25990369884000875</v>
      </c>
      <c r="M43" s="19" cm="1">
        <f t="array" ref="M43">INDEX(Tower!$E$10:$AM$469, _xlfn.XMATCH($C43,Tower!$C$10:$C$469), _xlfn.XMATCH(Figures!M$3,Tower!$E$4:$AM$4))</f>
        <v>0.28564692337840486</v>
      </c>
      <c r="N43" s="19" cm="1">
        <f t="array" ref="N43">INDEX(Tower!$E$10:$AM$469, _xlfn.XMATCH($C43,Tower!$C$10:$C$469), _xlfn.XMATCH(Figures!N$3,Tower!$E$4:$AM$4))</f>
        <v>0.31299217157680193</v>
      </c>
      <c r="O43" s="19" cm="1">
        <f t="array" ref="O43">INDEX(Tower!$E$10:$AM$469, _xlfn.XMATCH($C43,Tower!$C$10:$C$469), _xlfn.XMATCH(Figures!O$3,Tower!$E$4:$AM$4))</f>
        <v>0.29657782782782782</v>
      </c>
      <c r="P43" s="19" cm="1">
        <f t="array" ref="P43">INDEX(Tower!$E$10:$AM$469, _xlfn.XMATCH($C43,Tower!$C$10:$C$469), _xlfn.XMATCH(Figures!P$3,Tower!$E$4:$AM$4))</f>
        <v>0.26345788473717541</v>
      </c>
      <c r="Q43" s="19" cm="1">
        <f t="array" ref="Q43">INDEX(Tower!$E$10:$AM$469, _xlfn.XMATCH($C43,Tower!$C$10:$C$469), _xlfn.XMATCH(Figures!Q$3,Tower!$E$4:$AM$4))</f>
        <v>0.28721638074156058</v>
      </c>
      <c r="R43" s="19" cm="1">
        <f t="array" ref="R43">INDEX(Tower!$E$10:$AM$469, _xlfn.XMATCH($C43,Tower!$C$10:$C$469), _xlfn.XMATCH(Figures!R$3,Tower!$E$4:$AM$4))</f>
        <v>0.30736392742796159</v>
      </c>
      <c r="S43" s="19" cm="1">
        <f t="array" ref="S43">INDEX(Tower!$E$10:$AM$469, _xlfn.XMATCH($C43,Tower!$C$10:$C$469), _xlfn.XMATCH(Figures!S$3,Tower!$E$4:$AM$4))</f>
        <v>0.29946236559139783</v>
      </c>
      <c r="T43" s="19" cm="1">
        <f t="array" ref="T43">INDEX(Tower!$E$10:$AM$469, _xlfn.XMATCH($C43,Tower!$C$10:$C$469), _xlfn.XMATCH(Figures!T$3,Tower!$E$4:$AM$4))</f>
        <v>0.25547445255474455</v>
      </c>
      <c r="U43" s="19" cm="1">
        <f t="array" ref="U43">INDEX(Tower!$E$10:$AM$469, _xlfn.XMATCH($C43,Tower!$C$10:$C$469), _xlfn.XMATCH(Figures!U$3,Tower!$E$4:$AM$4))</f>
        <v>0.2624760076775432</v>
      </c>
      <c r="V43" s="19" cm="1">
        <f t="array" ref="V43">INDEX(Tower!$E$10:$AM$469, _xlfn.XMATCH($C43,Tower!$C$10:$C$469), _xlfn.XMATCH(Figures!V$3,Tower!$E$4:$AM$4))</f>
        <v>0.30550373134328357</v>
      </c>
      <c r="W43" s="19" cm="1">
        <f t="array" ref="W43">INDEX(Tower!$E$10:$AM$469, _xlfn.XMATCH($C43,Tower!$C$10:$C$469), _xlfn.XMATCH(Figures!W$3,Tower!$E$4:$AM$4))</f>
        <v>0.28592092574734812</v>
      </c>
      <c r="X43" s="19" cm="1">
        <f t="array" ref="X43">INDEX(Tower!$E$10:$AM$469, _xlfn.XMATCH($C43,Tower!$C$10:$C$469), _xlfn.XMATCH(Figures!X$3,Tower!$E$4:$AM$4))</f>
        <v>0.25311410064773293</v>
      </c>
      <c r="Y43" s="19" cm="1">
        <f t="array" ref="Y43">INDEX(Tower!$E$10:$AM$469, _xlfn.XMATCH($C43,Tower!$C$10:$C$469), _xlfn.XMATCH(Figures!Y$3,Tower!$E$4:$AM$4))</f>
        <v>0.27725321888412019</v>
      </c>
      <c r="AG43" s="19"/>
      <c r="AH43" s="19"/>
      <c r="AI43" s="19"/>
      <c r="AJ43" s="19"/>
      <c r="AK43" s="19"/>
      <c r="AL43" s="19"/>
      <c r="AM43" s="19"/>
      <c r="AN43" s="19"/>
      <c r="AO43" s="19"/>
      <c r="AP43" s="19"/>
    </row>
    <row r="44" spans="2:42">
      <c r="F44" s="19"/>
      <c r="G44" s="19"/>
      <c r="H44" s="19"/>
      <c r="I44" s="19"/>
      <c r="J44" s="15">
        <f t="shared" ref="J44" si="2">(J43-F43)*10000</f>
        <v>457.09608078384366</v>
      </c>
      <c r="K44" s="15">
        <f t="shared" ref="K44" si="3">(K43-G43)*10000</f>
        <v>198.00298838695994</v>
      </c>
      <c r="L44" s="15">
        <f t="shared" ref="L44" si="4">(L43-H43)*10000</f>
        <v>83.265274785064292</v>
      </c>
      <c r="M44" s="15">
        <f t="shared" ref="M44" si="5">(M43-I43)*10000</f>
        <v>289.79265238408823</v>
      </c>
      <c r="N44" s="15">
        <f t="shared" ref="N44" si="6">(N43-J43)*10000</f>
        <v>488.26254760165222</v>
      </c>
      <c r="O44" s="15">
        <f t="shared" ref="O44" si="7">(O43-K43)*10000</f>
        <v>-131.72329306050224</v>
      </c>
      <c r="P44" s="15">
        <f t="shared" ref="P44" si="8">(P43-L43)*10000</f>
        <v>35.54185897166662</v>
      </c>
      <c r="Q44" s="15">
        <f t="shared" ref="Q44" si="9">(Q43-M43)*10000</f>
        <v>15.69457363155724</v>
      </c>
      <c r="R44" s="15">
        <f t="shared" ref="R44" si="10">(R43-N43)*10000</f>
        <v>-56.282441488403336</v>
      </c>
      <c r="S44" s="15">
        <f t="shared" ref="S44" si="11">(S43-O43)*10000</f>
        <v>28.845377635700054</v>
      </c>
      <c r="T44" s="15">
        <f t="shared" ref="T44" si="12">(T43-P43)*10000</f>
        <v>-79.834321824308603</v>
      </c>
      <c r="U44" s="15">
        <f t="shared" ref="U44" si="13">(U43-Q43)*10000</f>
        <v>-247.40373064017385</v>
      </c>
      <c r="V44" s="15">
        <f t="shared" ref="V44" si="14">(V43-R43)*10000</f>
        <v>-18.60196084678023</v>
      </c>
      <c r="W44" s="15">
        <f t="shared" ref="W44" si="15">(W43-S43)*10000</f>
        <v>-135.41439844049708</v>
      </c>
      <c r="X44" s="15">
        <f t="shared" ref="X44" si="16">(X43-T43)*10000</f>
        <v>-23.603519070116153</v>
      </c>
      <c r="Y44" s="15">
        <f t="shared" ref="Y44" si="17">(Y43-U43)*10000</f>
        <v>147.7721120657699</v>
      </c>
    </row>
    <row r="45" spans="2:42">
      <c r="C45" t="str">
        <f>Tower!C295</f>
        <v>Coffee EBIT Margin</v>
      </c>
      <c r="F45" s="19" cm="1">
        <f t="array" ref="F45">INDEX(Tower!$E$10:$AM$469, _xlfn.XMATCH($C45,Tower!$C$10:$C$469), _xlfn.XMATCH(Figures!F$3,Tower!$E$4:$AM$4))</f>
        <v>0.38605092868658764</v>
      </c>
      <c r="G45" s="19" cm="1">
        <f t="array" ref="G45">INDEX(Tower!$E$10:$AM$469, _xlfn.XMATCH($C45,Tower!$C$10:$C$469), _xlfn.XMATCH(Figures!G$3,Tower!$E$4:$AM$4))</f>
        <v>0.30144649564452969</v>
      </c>
      <c r="H45" s="19" cm="1">
        <f t="array" ref="H45">INDEX(Tower!$E$10:$AM$469, _xlfn.XMATCH($C45,Tower!$C$10:$C$469), _xlfn.XMATCH(Figures!H$3,Tower!$E$4:$AM$4))</f>
        <v>0.37021910436286753</v>
      </c>
      <c r="I45" s="19" cm="1">
        <f t="array" ref="I45">INDEX(Tower!$E$10:$AM$469, _xlfn.XMATCH($C45,Tower!$C$10:$C$469), _xlfn.XMATCH(Figures!I$3,Tower!$E$4:$AM$4))</f>
        <v>0.35766972046041817</v>
      </c>
      <c r="J45" s="19" cm="1">
        <f t="array" ref="J45">INDEX(Tower!$E$10:$AM$469, _xlfn.XMATCH($C45,Tower!$C$10:$C$469), _xlfn.XMATCH(Figures!J$3,Tower!$E$4:$AM$4))</f>
        <v>0.36864286494158749</v>
      </c>
      <c r="K45" s="19" cm="1">
        <f t="array" ref="K45">INDEX(Tower!$E$10:$AM$469, _xlfn.XMATCH($C45,Tower!$C$10:$C$469), _xlfn.XMATCH(Figures!K$3,Tower!$E$4:$AM$4))</f>
        <v>0.32711896982510097</v>
      </c>
      <c r="L45" s="19" cm="1">
        <f t="array" ref="L45">INDEX(Tower!$E$10:$AM$469, _xlfn.XMATCH($C45,Tower!$C$10:$C$469), _xlfn.XMATCH(Figures!L$3,Tower!$E$4:$AM$4))</f>
        <v>0.38151007433256057</v>
      </c>
      <c r="M45" s="19" cm="1">
        <f t="array" ref="M45">INDEX(Tower!$E$10:$AM$469, _xlfn.XMATCH($C45,Tower!$C$10:$C$469), _xlfn.XMATCH(Figures!M$3,Tower!$E$4:$AM$4))</f>
        <v>0.37231599366764034</v>
      </c>
      <c r="N45" s="19" cm="1">
        <f t="array" ref="N45">INDEX(Tower!$E$10:$AM$469, _xlfn.XMATCH($C45,Tower!$C$10:$C$469), _xlfn.XMATCH(Figures!N$3,Tower!$E$4:$AM$4))</f>
        <v>0.36374043374106979</v>
      </c>
      <c r="O45" s="19" cm="1">
        <f t="array" ref="O45">INDEX(Tower!$E$10:$AM$469, _xlfn.XMATCH($C45,Tower!$C$10:$C$469), _xlfn.XMATCH(Figures!O$3,Tower!$E$4:$AM$4))</f>
        <v>0.34929527836504581</v>
      </c>
      <c r="P45" s="19" cm="1">
        <f t="array" ref="P45">INDEX(Tower!$E$10:$AM$469, _xlfn.XMATCH($C45,Tower!$C$10:$C$469), _xlfn.XMATCH(Figures!P$3,Tower!$E$4:$AM$4))</f>
        <v>0.38916750250752258</v>
      </c>
      <c r="Q45" s="19" cm="1">
        <f t="array" ref="Q45">INDEX(Tower!$E$10:$AM$469, _xlfn.XMATCH($C45,Tower!$C$10:$C$469), _xlfn.XMATCH(Figures!Q$3,Tower!$E$4:$AM$4))</f>
        <v>0.38219895287958117</v>
      </c>
      <c r="R45" s="19" cm="1">
        <f t="array" ref="R45">INDEX(Tower!$E$10:$AM$469, _xlfn.XMATCH($C45,Tower!$C$10:$C$469), _xlfn.XMATCH(Figures!R$3,Tower!$E$4:$AM$4))</f>
        <v>0.3652694610778443</v>
      </c>
      <c r="S45" s="19" cm="1">
        <f t="array" ref="S45">INDEX(Tower!$E$10:$AM$469, _xlfn.XMATCH($C45,Tower!$C$10:$C$469), _xlfn.XMATCH(Figures!S$3,Tower!$E$4:$AM$4))</f>
        <v>0.32863436123348017</v>
      </c>
      <c r="T45" s="19" cm="1">
        <f t="array" ref="T45">INDEX(Tower!$E$10:$AM$469, _xlfn.XMATCH($C45,Tower!$C$10:$C$469), _xlfn.XMATCH(Figures!T$3,Tower!$E$4:$AM$4))</f>
        <v>0.31919406150583246</v>
      </c>
      <c r="U45" s="19" cm="1">
        <f t="array" ref="U45">INDEX(Tower!$E$10:$AM$469, _xlfn.XMATCH($C45,Tower!$C$10:$C$469), _xlfn.XMATCH(Figures!U$3,Tower!$E$4:$AM$4))</f>
        <v>0.33236151603498543</v>
      </c>
      <c r="V45" s="19" cm="1">
        <f t="array" ref="V45">INDEX(Tower!$E$10:$AM$469, _xlfn.XMATCH($C45,Tower!$C$10:$C$469), _xlfn.XMATCH(Figures!V$3,Tower!$E$4:$AM$4))</f>
        <v>0.30143540669856461</v>
      </c>
      <c r="W45" s="19" cm="1">
        <f t="array" ref="W45">INDEX(Tower!$E$10:$AM$469, _xlfn.XMATCH($C45,Tower!$C$10:$C$469), _xlfn.XMATCH(Figures!W$3,Tower!$E$4:$AM$4))</f>
        <v>0.33852140077821014</v>
      </c>
      <c r="X45" s="19" cm="1">
        <f t="array" ref="X45">INDEX(Tower!$E$10:$AM$469, _xlfn.XMATCH($C45,Tower!$C$10:$C$469), _xlfn.XMATCH(Figures!X$3,Tower!$E$4:$AM$4))</f>
        <v>0.30612244897959184</v>
      </c>
      <c r="Y45" s="19" cm="1">
        <f t="array" ref="Y45">INDEX(Tower!$E$10:$AM$469, _xlfn.XMATCH($C45,Tower!$C$10:$C$469), _xlfn.XMATCH(Figures!Y$3,Tower!$E$4:$AM$4))</f>
        <v>0.30103092783505153</v>
      </c>
    </row>
    <row r="46" spans="2:42">
      <c r="J46" s="15">
        <f t="shared" ref="J46" si="18">(J45-F45)*10000</f>
        <v>-174.08063745000146</v>
      </c>
      <c r="K46" s="15">
        <f t="shared" ref="K46" si="19">(K45-G45)*10000</f>
        <v>256.72474180571282</v>
      </c>
      <c r="L46" s="15">
        <f t="shared" ref="L46" si="20">(L45-H45)*10000</f>
        <v>112.90969969693032</v>
      </c>
      <c r="M46" s="15">
        <f t="shared" ref="M46" si="21">(M45-I45)*10000</f>
        <v>146.46273207222171</v>
      </c>
      <c r="N46" s="15">
        <f t="shared" ref="N46" si="22">(N45-J45)*10000</f>
        <v>-49.024312005176981</v>
      </c>
      <c r="O46" s="15">
        <f t="shared" ref="O46" si="23">(O45-K45)*10000</f>
        <v>221.76308539944844</v>
      </c>
      <c r="P46" s="15">
        <f t="shared" ref="P46" si="24">(P45-L45)*10000</f>
        <v>76.574281749620113</v>
      </c>
      <c r="Q46" s="15">
        <f t="shared" ref="Q46" si="25">(Q45-M45)*10000</f>
        <v>98.829592119408233</v>
      </c>
      <c r="R46" s="15">
        <f t="shared" ref="R46" si="26">(R45-N45)*10000</f>
        <v>15.290273367745133</v>
      </c>
      <c r="S46" s="15">
        <f t="shared" ref="S46" si="27">(S45-O45)*10000</f>
        <v>-206.60917131565648</v>
      </c>
      <c r="T46" s="15">
        <f t="shared" ref="T46" si="28">(T45-P45)*10000</f>
        <v>-699.73441001690117</v>
      </c>
      <c r="U46" s="15">
        <f t="shared" ref="U46" si="29">(U45-Q45)*10000</f>
        <v>-498.37436844595737</v>
      </c>
      <c r="V46" s="15">
        <f t="shared" ref="V46" si="30">(V45-R45)*10000</f>
        <v>-638.34054379279689</v>
      </c>
      <c r="W46" s="15">
        <f t="shared" ref="W46" si="31">(W45-S45)*10000</f>
        <v>98.8703954472997</v>
      </c>
      <c r="X46" s="15">
        <f t="shared" ref="X46" si="32">(X45-T45)*10000</f>
        <v>-130.71612526240617</v>
      </c>
      <c r="Y46" s="15">
        <f t="shared" ref="Y46" si="33">(Y45-U45)*10000</f>
        <v>-313.30588199933896</v>
      </c>
    </row>
    <row r="47" spans="2:42">
      <c r="J47" s="15"/>
      <c r="K47" s="15"/>
      <c r="L47" s="15"/>
      <c r="M47" s="15"/>
      <c r="N47" s="15"/>
      <c r="O47" s="15"/>
      <c r="P47" s="15"/>
      <c r="Q47" s="15"/>
      <c r="R47" s="15"/>
      <c r="S47" s="15"/>
      <c r="T47" s="15"/>
      <c r="U47" s="15"/>
      <c r="V47" s="15"/>
      <c r="W47" s="15"/>
      <c r="X47" s="15"/>
      <c r="Y47" s="15"/>
    </row>
    <row r="48" spans="2:42">
      <c r="C48" s="58" t="str">
        <f>Tower!C138</f>
        <v>Bevs as a percentage of revenue bps change</v>
      </c>
      <c r="J48" s="15" cm="1">
        <f t="array" ref="J48">INDEX(Tower!$E$10:$AM$469, _xlfn.XMATCH($C48,Tower!$C$10:$C$469), _xlfn.XMATCH(Figures!J$3,Tower!$E$4:$AM$4))</f>
        <v>-27.333469973355172</v>
      </c>
      <c r="K48" s="15" cm="1">
        <f t="array" ref="K48">INDEX(Tower!$E$10:$AM$469, _xlfn.XMATCH($C48,Tower!$C$10:$C$469), _xlfn.XMATCH(Figures!K$3,Tower!$E$4:$AM$4))</f>
        <v>-12.333040361104386</v>
      </c>
      <c r="L48" s="15" cm="1">
        <f t="array" ref="L48">INDEX(Tower!$E$10:$AM$469, _xlfn.XMATCH($C48,Tower!$C$10:$C$469), _xlfn.XMATCH(Figures!L$3,Tower!$E$4:$AM$4))</f>
        <v>151.31812062812111</v>
      </c>
      <c r="M48" s="15" cm="1">
        <f t="array" ref="M48">INDEX(Tower!$E$10:$AM$469, _xlfn.XMATCH($C48,Tower!$C$10:$C$469), _xlfn.XMATCH(Figures!M$3,Tower!$E$4:$AM$4))</f>
        <v>-37.157592758886302</v>
      </c>
      <c r="N48" s="15" cm="1">
        <f t="array" ref="N48">INDEX(Tower!$E$10:$AM$469, _xlfn.XMATCH($C48,Tower!$C$10:$C$469), _xlfn.XMATCH(Figures!N$3,Tower!$E$4:$AM$4))</f>
        <v>142.64762212428229</v>
      </c>
      <c r="O48" s="15" cm="1">
        <f t="array" ref="O48">INDEX(Tower!$E$10:$AM$469, _xlfn.XMATCH($C48,Tower!$C$10:$C$469), _xlfn.XMATCH(Figures!O$3,Tower!$E$4:$AM$4))</f>
        <v>-84.29053401032283</v>
      </c>
      <c r="P48" s="15" cm="1">
        <f t="array" ref="P48">INDEX(Tower!$E$10:$AM$469, _xlfn.XMATCH($C48,Tower!$C$10:$C$469), _xlfn.XMATCH(Figures!P$3,Tower!$E$4:$AM$4))</f>
        <v>-154.33245689065234</v>
      </c>
      <c r="Q48" s="15" cm="1">
        <f t="array" ref="Q48">INDEX(Tower!$E$10:$AM$469, _xlfn.XMATCH($C48,Tower!$C$10:$C$469), _xlfn.XMATCH(Figures!Q$3,Tower!$E$4:$AM$4))</f>
        <v>53.101092410062776</v>
      </c>
      <c r="R48" s="15" cm="1">
        <f t="array" ref="R48">INDEX(Tower!$E$10:$AM$469, _xlfn.XMATCH($C48,Tower!$C$10:$C$469), _xlfn.XMATCH(Figures!R$3,Tower!$E$4:$AM$4))</f>
        <v>47.478349465104316</v>
      </c>
      <c r="S48" s="15" cm="1">
        <f t="array" ref="S48">INDEX(Tower!$E$10:$AM$469, _xlfn.XMATCH($C48,Tower!$C$10:$C$469), _xlfn.XMATCH(Figures!S$3,Tower!$E$4:$AM$4))</f>
        <v>363.67220050511628</v>
      </c>
      <c r="T48" s="15" cm="1">
        <f t="array" ref="T48">INDEX(Tower!$E$10:$AM$469, _xlfn.XMATCH($C48,Tower!$C$10:$C$469), _xlfn.XMATCH(Figures!T$3,Tower!$E$4:$AM$4))</f>
        <v>345.1497007060633</v>
      </c>
      <c r="U48" s="15" cm="1">
        <f t="array" ref="U48">INDEX(Tower!$E$10:$AM$469, _xlfn.XMATCH($C48,Tower!$C$10:$C$469), _xlfn.XMATCH(Figures!U$3,Tower!$E$4:$AM$4))</f>
        <v>109.03834918222555</v>
      </c>
      <c r="V48" s="15" cm="1">
        <f t="array" ref="V48">INDEX(Tower!$E$10:$AM$469, _xlfn.XMATCH($C48,Tower!$C$10:$C$469), _xlfn.XMATCH(Figures!V$3,Tower!$E$4:$AM$4))</f>
        <v>153.22771099689936</v>
      </c>
      <c r="W48" s="15" cm="1">
        <f t="array" ref="W48">INDEX(Tower!$E$10:$AM$469, _xlfn.XMATCH($C48,Tower!$C$10:$C$469), _xlfn.XMATCH(Figures!W$3,Tower!$E$4:$AM$4))</f>
        <v>-31.518366237274222</v>
      </c>
      <c r="X48" s="15" cm="1">
        <f t="array" ref="X48">INDEX(Tower!$E$10:$AM$469, _xlfn.XMATCH($C48,Tower!$C$10:$C$469), _xlfn.XMATCH(Figures!X$3,Tower!$E$4:$AM$4))</f>
        <v>199.45964036356955</v>
      </c>
      <c r="Y48" s="15" cm="1">
        <f t="array" ref="Y48">INDEX(Tower!$E$10:$AM$469, _xlfn.XMATCH($C48,Tower!$C$10:$C$469), _xlfn.XMATCH(Figures!Y$3,Tower!$E$4:$AM$4))</f>
        <v>285.56436433813894</v>
      </c>
      <c r="Z48" s="15" cm="1">
        <f t="array" ref="Z48">INDEX(Tower!$E$10:$AZ$469, _xlfn.XMATCH($C48,Tower!$C$10:$C$469), _xlfn.XMATCH(Figures!Z$3,Tower!$E$4:$AZ$4))</f>
        <v>235.9687265581789</v>
      </c>
      <c r="AA48" s="15" cm="1">
        <f t="array" ref="AA48">INDEX(Tower!$E$10:$AZ$469, _xlfn.XMATCH($C48,Tower!$C$10:$C$469), _xlfn.XMATCH(Figures!AA$3,Tower!$E$4:$AZ$4))</f>
        <v>210.4417816777171</v>
      </c>
      <c r="AB48" s="15" cm="1">
        <f t="array" ref="AB48">INDEX(Tower!$E$10:$AZ$469, _xlfn.XMATCH($C48,Tower!$C$10:$C$469), _xlfn.XMATCH(Figures!AB$3,Tower!$E$4:$AZ$4))</f>
        <v>178.28234471007676</v>
      </c>
      <c r="AC48" s="15" cm="1">
        <f t="array" ref="AC48">INDEX(Tower!$E$10:$AZ$469, _xlfn.XMATCH($C48,Tower!$C$10:$C$469), _xlfn.XMATCH(Figures!AC$3,Tower!$E$4:$AZ$4))</f>
        <v>73.148084706368138</v>
      </c>
      <c r="AD48" s="15" cm="1">
        <f t="array" ref="AD48">INDEX(Tower!$E$10:$AZ$469, _xlfn.XMATCH($C48,Tower!$C$10:$C$469), _xlfn.XMATCH(Figures!AD$3,Tower!$E$4:$AZ$4))</f>
        <v>63.957443730031649</v>
      </c>
      <c r="AE48" s="15" cm="1">
        <f t="array" ref="AE48">INDEX(Tower!$E$10:$AZ$469, _xlfn.XMATCH($C48,Tower!$C$10:$C$469), _xlfn.XMATCH(Figures!AE$3,Tower!$E$4:$AZ$4))</f>
        <v>77.708484384590989</v>
      </c>
      <c r="AF48" s="15" cm="1">
        <f t="array" ref="AF48">INDEX(Tower!$E$10:$AZ$469, _xlfn.XMATCH($C48,Tower!$C$10:$C$469), _xlfn.XMATCH(Figures!AF$3,Tower!$E$4:$AZ$4))</f>
        <v>58.863835168759813</v>
      </c>
      <c r="AG48" s="15" cm="1">
        <f t="array" ref="AG48">INDEX(Tower!$E$10:$AZ$469, _xlfn.XMATCH($C48,Tower!$C$10:$C$469), _xlfn.XMATCH(Figures!AG$3,Tower!$E$4:$AZ$4))</f>
        <v>54.706902555612388</v>
      </c>
      <c r="AH48" s="15" cm="1">
        <f t="array" ref="AH48">INDEX(Tower!$E$10:$AZ$469, _xlfn.XMATCH($C48,Tower!$C$10:$C$469), _xlfn.XMATCH(Figures!AH$3,Tower!$E$4:$AZ$4))</f>
        <v>56.273706087158757</v>
      </c>
      <c r="AI48" s="15" cm="1">
        <f t="array" ref="AI48">INDEX(Tower!$E$10:$AZ$469, _xlfn.XMATCH($C48,Tower!$C$10:$C$469), _xlfn.XMATCH(Figures!AI$3,Tower!$E$4:$AZ$4))</f>
        <v>66.075154631093369</v>
      </c>
    </row>
    <row r="49" spans="3:35">
      <c r="C49" s="58" t="str">
        <f>Tower!C140</f>
        <v>coffee as a percentage of revenue bps change</v>
      </c>
      <c r="J49" s="15" cm="1">
        <f t="array" ref="J49">INDEX(Tower!$E$10:$AM$469, _xlfn.XMATCH($C49,Tower!$C$10:$C$469), _xlfn.XMATCH(Figures!J$3,Tower!$E$4:$AM$4))</f>
        <v>20.490879278540763</v>
      </c>
      <c r="K49" s="15" cm="1">
        <f t="array" ref="K49">INDEX(Tower!$E$10:$AM$469, _xlfn.XMATCH($C49,Tower!$C$10:$C$469), _xlfn.XMATCH(Figures!K$3,Tower!$E$4:$AM$4))</f>
        <v>-11.926756458172093</v>
      </c>
      <c r="L49" s="15" cm="1">
        <f t="array" ref="L49">INDEX(Tower!$E$10:$AM$469, _xlfn.XMATCH($C49,Tower!$C$10:$C$469), _xlfn.XMATCH(Figures!L$3,Tower!$E$4:$AM$4))</f>
        <v>-122.22788735115175</v>
      </c>
      <c r="M49" s="15" cm="1">
        <f t="array" ref="M49">INDEX(Tower!$E$10:$AM$469, _xlfn.XMATCH($C49,Tower!$C$10:$C$469), _xlfn.XMATCH(Figures!M$3,Tower!$E$4:$AM$4))</f>
        <v>104.17514324085941</v>
      </c>
      <c r="N49" s="15" cm="1">
        <f t="array" ref="N49">INDEX(Tower!$E$10:$AM$469, _xlfn.XMATCH($C49,Tower!$C$10:$C$469), _xlfn.XMATCH(Figures!N$3,Tower!$E$4:$AM$4))</f>
        <v>-67.381913838059916</v>
      </c>
      <c r="O49" s="15" cm="1">
        <f t="array" ref="O49">INDEX(Tower!$E$10:$AM$469, _xlfn.XMATCH($C49,Tower!$C$10:$C$469), _xlfn.XMATCH(Figures!O$3,Tower!$E$4:$AM$4))</f>
        <v>90.601805348337621</v>
      </c>
      <c r="P49" s="15" cm="1">
        <f t="array" ref="P49">INDEX(Tower!$E$10:$AM$469, _xlfn.XMATCH($C49,Tower!$C$10:$C$469), _xlfn.XMATCH(Figures!P$3,Tower!$E$4:$AM$4))</f>
        <v>233.1889299724138</v>
      </c>
      <c r="Q49" s="15" cm="1">
        <f t="array" ref="Q49">INDEX(Tower!$E$10:$AM$469, _xlfn.XMATCH($C49,Tower!$C$10:$C$469), _xlfn.XMATCH(Figures!Q$3,Tower!$E$4:$AM$4))</f>
        <v>-90.512133935878865</v>
      </c>
      <c r="R49" s="15" cm="1">
        <f t="array" ref="R49">INDEX(Tower!$E$10:$AM$469, _xlfn.XMATCH($C49,Tower!$C$10:$C$469), _xlfn.XMATCH(Figures!R$3,Tower!$E$4:$AM$4))</f>
        <v>-40.830361691289177</v>
      </c>
      <c r="S49" s="15" cm="1">
        <f t="array" ref="S49">INDEX(Tower!$E$10:$AM$469, _xlfn.XMATCH($C49,Tower!$C$10:$C$469), _xlfn.XMATCH(Figures!S$3,Tower!$E$4:$AM$4))</f>
        <v>-290.20048640732546</v>
      </c>
      <c r="T49" s="15" cm="1">
        <f t="array" ref="T49">INDEX(Tower!$E$10:$AM$469, _xlfn.XMATCH($C49,Tower!$C$10:$C$469), _xlfn.XMATCH(Figures!T$3,Tower!$E$4:$AM$4))</f>
        <v>-371.88396879837717</v>
      </c>
      <c r="U49" s="15" cm="1">
        <f t="array" ref="U49">INDEX(Tower!$E$10:$AM$469, _xlfn.XMATCH($C49,Tower!$C$10:$C$469), _xlfn.XMATCH(Figures!U$3,Tower!$E$4:$AM$4))</f>
        <v>-146.07206735749446</v>
      </c>
      <c r="V49" s="15" cm="1">
        <f t="array" ref="V49">INDEX(Tower!$E$10:$AM$469, _xlfn.XMATCH($C49,Tower!$C$10:$C$469), _xlfn.XMATCH(Figures!V$3,Tower!$E$4:$AM$4))</f>
        <v>-197.93059508134036</v>
      </c>
      <c r="W49" s="15" cm="1">
        <f t="array" ref="W49">INDEX(Tower!$E$10:$AM$469, _xlfn.XMATCH($C49,Tower!$C$10:$C$469), _xlfn.XMATCH(Figures!W$3,Tower!$E$4:$AM$4))</f>
        <v>31.816133610080843</v>
      </c>
      <c r="X49" s="15" cm="1">
        <f t="array" ref="X49">INDEX(Tower!$E$10:$AM$469, _xlfn.XMATCH($C49,Tower!$C$10:$C$469), _xlfn.XMATCH(Figures!X$3,Tower!$E$4:$AM$4))</f>
        <v>-287.05975872953871</v>
      </c>
      <c r="Y49" s="15" cm="1">
        <f t="array" ref="Y49">INDEX(Tower!$E$10:$AM$469, _xlfn.XMATCH($C49,Tower!$C$10:$C$469), _xlfn.XMATCH(Figures!Y$3,Tower!$E$4:$AM$4))</f>
        <v>-335.2869790271962</v>
      </c>
      <c r="Z49" s="15" cm="1">
        <f t="array" ref="Z49">INDEX(Tower!$E$10:$AZ$469, _xlfn.XMATCH($C49,Tower!$C$10:$C$469), _xlfn.XMATCH(Figures!Z$3,Tower!$E$4:$AZ$4))</f>
        <v>-274.89233558703086</v>
      </c>
      <c r="AA49" s="15" cm="1">
        <f t="array" ref="AA49">INDEX(Tower!$E$10:$AZ$469, _xlfn.XMATCH($C49,Tower!$C$10:$C$469), _xlfn.XMATCH(Figures!AA$3,Tower!$E$4:$AZ$4))</f>
        <v>-275.2029517832072</v>
      </c>
      <c r="AB49" s="15" cm="1">
        <f t="array" ref="AB49">INDEX(Tower!$E$10:$AZ$469, _xlfn.XMATCH($C49,Tower!$C$10:$C$469), _xlfn.XMATCH(Figures!AB$3,Tower!$E$4:$AZ$4))</f>
        <v>-220.87960258198481</v>
      </c>
      <c r="AC49" s="15" cm="1">
        <f t="array" ref="AC49">INDEX(Tower!$E$10:$AZ$469, _xlfn.XMATCH($C49,Tower!$C$10:$C$469), _xlfn.XMATCH(Figures!AC$3,Tower!$E$4:$AZ$4))</f>
        <v>-121.74289942053385</v>
      </c>
      <c r="AD49" s="15" cm="1">
        <f t="array" ref="AD49">INDEX(Tower!$E$10:$AZ$469, _xlfn.XMATCH($C49,Tower!$C$10:$C$469), _xlfn.XMATCH(Figures!AD$3,Tower!$E$4:$AZ$4))</f>
        <v>-118.46046268187999</v>
      </c>
      <c r="AE49" s="15" cm="1">
        <f t="array" ref="AE49">INDEX(Tower!$E$10:$AZ$469, _xlfn.XMATCH($C49,Tower!$C$10:$C$469), _xlfn.XMATCH(Figures!AE$3,Tower!$E$4:$AZ$4))</f>
        <v>-135.18776919049236</v>
      </c>
      <c r="AF49" s="15" cm="1">
        <f t="array" ref="AF49">INDEX(Tower!$E$10:$AZ$469, _xlfn.XMATCH($C49,Tower!$C$10:$C$469), _xlfn.XMATCH(Figures!AF$3,Tower!$E$4:$AZ$4))</f>
        <v>-107.48160007119174</v>
      </c>
      <c r="AG49" s="15" cm="1">
        <f t="array" ref="AG49">INDEX(Tower!$E$10:$AZ$469, _xlfn.XMATCH($C49,Tower!$C$10:$C$469), _xlfn.XMATCH(Figures!AG$3,Tower!$E$4:$AZ$4))</f>
        <v>-104.51693063533469</v>
      </c>
      <c r="AH49" s="15" cm="1">
        <f t="array" ref="AH49">INDEX(Tower!$E$10:$AZ$469, _xlfn.XMATCH($C49,Tower!$C$10:$C$469), _xlfn.XMATCH(Figures!AH$3,Tower!$E$4:$AZ$4))</f>
        <v>-104.55369070984655</v>
      </c>
      <c r="AI49" s="15" cm="1">
        <f t="array" ref="AI49">INDEX(Tower!$E$10:$AZ$469, _xlfn.XMATCH($C49,Tower!$C$10:$C$469), _xlfn.XMATCH(Figures!AI$3,Tower!$E$4:$AZ$4))</f>
        <v>-117.64825214504226</v>
      </c>
    </row>
    <row r="81" spans="17:18">
      <c r="Q81" s="22"/>
      <c r="R81" s="22"/>
    </row>
    <row r="82" spans="17:18">
      <c r="Q82" s="22"/>
      <c r="R82" s="22"/>
    </row>
    <row r="83" spans="17:18">
      <c r="Q83" s="22"/>
      <c r="R83" s="22"/>
    </row>
    <row r="84" spans="17:18">
      <c r="Q84" s="22"/>
      <c r="R84" s="22"/>
    </row>
    <row r="85" spans="17:18">
      <c r="Q85" s="22"/>
      <c r="R85" s="22"/>
    </row>
    <row r="86" spans="17:18">
      <c r="Q86" s="22"/>
      <c r="R86" s="22"/>
    </row>
    <row r="87" spans="17:18">
      <c r="Q87" s="22"/>
      <c r="R87" s="22"/>
    </row>
  </sheetData>
  <pageMargins left="0.7" right="0.7" top="0.75" bottom="0.75" header="0.3" footer="0.3"/>
  <customProperties>
    <customPr name="UniqueWorksheetId" r:id="rId1"/>
  </customPropertie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A445-A5BF-488F-9A5F-840109EEA449}">
  <dimension ref="B3:W129"/>
  <sheetViews>
    <sheetView workbookViewId="0"/>
  </sheetViews>
  <sheetFormatPr defaultRowHeight="14.5"/>
  <cols>
    <col min="2" max="2" width="15.7265625" customWidth="1"/>
    <col min="3" max="3" width="57.1796875" customWidth="1"/>
    <col min="4" max="6" width="17.453125" customWidth="1"/>
    <col min="7" max="7" width="12.7265625" customWidth="1"/>
    <col min="8" max="8" width="2.81640625" customWidth="1"/>
    <col min="9" max="9" width="25.1796875" customWidth="1"/>
    <col min="10" max="10" width="196.81640625" customWidth="1"/>
    <col min="11" max="11" width="25.90625" customWidth="1"/>
    <col min="13" max="16" width="8.81640625" bestFit="1" customWidth="1"/>
    <col min="17" max="23" width="9.36328125" bestFit="1" customWidth="1"/>
  </cols>
  <sheetData>
    <row r="3" spans="2:23">
      <c r="B3" s="24" t="s">
        <v>171</v>
      </c>
      <c r="C3" s="24"/>
      <c r="D3" s="24" t="s">
        <v>375</v>
      </c>
      <c r="E3" s="24" t="s">
        <v>373</v>
      </c>
      <c r="F3" s="24" t="s">
        <v>374</v>
      </c>
      <c r="G3" s="24" t="s">
        <v>208</v>
      </c>
      <c r="H3" s="24"/>
      <c r="I3" s="24" t="s">
        <v>378</v>
      </c>
      <c r="J3" s="24" t="s">
        <v>209</v>
      </c>
      <c r="M3" s="675" t="s">
        <v>399</v>
      </c>
      <c r="N3" s="675"/>
      <c r="O3" s="675"/>
      <c r="P3" s="675"/>
      <c r="Q3" s="675"/>
      <c r="R3" s="675"/>
      <c r="S3" s="675"/>
      <c r="T3" s="675"/>
      <c r="U3" s="675"/>
      <c r="V3" s="675"/>
      <c r="W3" s="675"/>
    </row>
    <row r="4" spans="2:23" s="85" customFormat="1">
      <c r="B4" s="84"/>
      <c r="C4" s="84"/>
      <c r="D4" s="84"/>
      <c r="E4" s="84"/>
      <c r="F4" s="84"/>
      <c r="G4" s="84"/>
    </row>
    <row r="5" spans="2:23">
      <c r="C5" s="673" t="s">
        <v>172</v>
      </c>
      <c r="D5" s="673"/>
      <c r="E5" s="673"/>
      <c r="F5" s="673"/>
      <c r="G5" s="673"/>
      <c r="H5" s="27"/>
      <c r="I5" s="27"/>
      <c r="J5" s="27"/>
      <c r="M5" s="669" t="s">
        <v>401</v>
      </c>
      <c r="N5" s="669"/>
      <c r="O5" s="669"/>
      <c r="P5" s="669"/>
      <c r="Q5" s="669"/>
      <c r="R5" s="669"/>
      <c r="S5" s="669"/>
      <c r="T5" s="669"/>
      <c r="U5" s="669"/>
      <c r="V5" s="669"/>
      <c r="W5" s="669"/>
    </row>
    <row r="6" spans="2:23">
      <c r="C6" t="s">
        <v>436</v>
      </c>
      <c r="D6">
        <v>128</v>
      </c>
      <c r="E6">
        <v>128</v>
      </c>
      <c r="F6">
        <v>128</v>
      </c>
      <c r="G6" t="s">
        <v>190</v>
      </c>
      <c r="I6" t="s">
        <v>379</v>
      </c>
      <c r="J6" t="s">
        <v>218</v>
      </c>
      <c r="L6" s="163">
        <f>E23</f>
        <v>1165.2479999999998</v>
      </c>
      <c r="M6" s="21">
        <v>3</v>
      </c>
      <c r="N6" s="21">
        <v>3.2</v>
      </c>
      <c r="O6" s="21">
        <f>N6+0.2</f>
        <v>3.4000000000000004</v>
      </c>
      <c r="P6" s="21">
        <f t="shared" ref="P6:W6" si="0">O6+0.2</f>
        <v>3.6000000000000005</v>
      </c>
      <c r="Q6" s="21">
        <f t="shared" si="0"/>
        <v>3.8000000000000007</v>
      </c>
      <c r="R6" s="21">
        <f t="shared" si="0"/>
        <v>4.0000000000000009</v>
      </c>
      <c r="S6" s="21">
        <f t="shared" si="0"/>
        <v>4.2000000000000011</v>
      </c>
      <c r="T6" s="21">
        <f t="shared" si="0"/>
        <v>4.4000000000000012</v>
      </c>
      <c r="U6" s="21">
        <f t="shared" si="0"/>
        <v>4.6000000000000014</v>
      </c>
      <c r="V6" s="21">
        <f t="shared" si="0"/>
        <v>4.8000000000000016</v>
      </c>
      <c r="W6" s="21">
        <f t="shared" si="0"/>
        <v>5.0000000000000018</v>
      </c>
    </row>
    <row r="7" spans="2:23" ht="15" thickBot="1">
      <c r="C7" s="144" t="s">
        <v>244</v>
      </c>
      <c r="D7" s="160">
        <v>-2</v>
      </c>
      <c r="E7" s="144">
        <v>0</v>
      </c>
      <c r="F7" s="144">
        <v>2</v>
      </c>
      <c r="G7" t="s">
        <v>181</v>
      </c>
      <c r="I7" t="s">
        <v>379</v>
      </c>
      <c r="J7" t="s">
        <v>253</v>
      </c>
      <c r="K7" s="674" t="s">
        <v>277</v>
      </c>
      <c r="L7">
        <v>54</v>
      </c>
      <c r="M7" s="15">
        <f t="dataTable" ref="M7:W16" dt2D="1" dtr="1" r1="E11" r2="E20"/>
        <v>1620.8640000000003</v>
      </c>
      <c r="N7" s="15">
        <v>1524.096</v>
      </c>
      <c r="O7" s="15">
        <v>1438.712470588235</v>
      </c>
      <c r="P7" s="15">
        <v>1362.816</v>
      </c>
      <c r="Q7" s="15">
        <v>1294.9086315789471</v>
      </c>
      <c r="R7" s="15">
        <v>1233.7919999999997</v>
      </c>
      <c r="S7" s="15">
        <v>1178.4959999999996</v>
      </c>
      <c r="T7" s="15">
        <v>1128.2269090909087</v>
      </c>
      <c r="U7" s="15">
        <v>1082.3290434782605</v>
      </c>
      <c r="V7" s="15">
        <v>1040.2559999999999</v>
      </c>
      <c r="W7" s="15">
        <v>1001.5487999999997</v>
      </c>
    </row>
    <row r="8" spans="2:23">
      <c r="C8" t="s">
        <v>252</v>
      </c>
      <c r="D8" s="15">
        <f>D6*D7/100</f>
        <v>-2.56</v>
      </c>
      <c r="E8">
        <f>E6*E7/100</f>
        <v>0</v>
      </c>
      <c r="F8" s="2">
        <f>F6*F7/100</f>
        <v>2.56</v>
      </c>
      <c r="G8" t="s">
        <v>190</v>
      </c>
      <c r="J8" t="s">
        <v>204</v>
      </c>
      <c r="K8" s="674"/>
      <c r="L8">
        <v>53</v>
      </c>
      <c r="M8" s="15">
        <v>1590.8479999999997</v>
      </c>
      <c r="N8" s="15">
        <v>1495.8720000000003</v>
      </c>
      <c r="O8" s="15">
        <v>1412.0696470588236</v>
      </c>
      <c r="P8" s="15">
        <v>1337.5786666666665</v>
      </c>
      <c r="Q8" s="15">
        <v>1270.9288421052629</v>
      </c>
      <c r="R8" s="15">
        <v>1210.9439999999997</v>
      </c>
      <c r="S8" s="15">
        <v>1156.6719999999998</v>
      </c>
      <c r="T8" s="15">
        <v>1107.3338181818181</v>
      </c>
      <c r="U8" s="15">
        <v>1062.2859130434781</v>
      </c>
      <c r="V8" s="15">
        <v>1020.9919999999997</v>
      </c>
      <c r="W8" s="15">
        <v>983.0015999999996</v>
      </c>
    </row>
    <row r="9" spans="2:23">
      <c r="K9" s="674"/>
      <c r="L9">
        <v>52</v>
      </c>
      <c r="M9" s="15">
        <v>1560.8320000000001</v>
      </c>
      <c r="N9" s="15">
        <v>1467.6480000000001</v>
      </c>
      <c r="O9" s="15">
        <v>1385.4268235294119</v>
      </c>
      <c r="P9" s="15">
        <v>1312.3413333333333</v>
      </c>
      <c r="Q9" s="15">
        <v>1246.9490526315788</v>
      </c>
      <c r="R9" s="15">
        <v>1188.0959999999998</v>
      </c>
      <c r="S9" s="15">
        <v>1134.848</v>
      </c>
      <c r="T9" s="15">
        <v>1086.4407272727269</v>
      </c>
      <c r="U9" s="15">
        <v>1042.2427826086955</v>
      </c>
      <c r="V9" s="15">
        <v>1001.7279999999997</v>
      </c>
      <c r="W9" s="15">
        <v>964.45439999999974</v>
      </c>
    </row>
    <row r="10" spans="2:23">
      <c r="C10" t="s">
        <v>239</v>
      </c>
      <c r="D10">
        <v>80</v>
      </c>
      <c r="E10">
        <v>80</v>
      </c>
      <c r="F10">
        <v>80</v>
      </c>
      <c r="G10" t="s">
        <v>181</v>
      </c>
      <c r="I10" t="s">
        <v>380</v>
      </c>
      <c r="J10" t="s">
        <v>257</v>
      </c>
      <c r="K10" s="674"/>
      <c r="L10">
        <v>51</v>
      </c>
      <c r="M10" s="15">
        <v>1530.816</v>
      </c>
      <c r="N10" s="15">
        <v>1439.424</v>
      </c>
      <c r="O10" s="15">
        <v>1358.7840000000001</v>
      </c>
      <c r="P10" s="15">
        <v>1287.104</v>
      </c>
      <c r="Q10" s="15">
        <v>1222.9692631578944</v>
      </c>
      <c r="R10" s="15">
        <v>1165.2479999999998</v>
      </c>
      <c r="S10" s="15">
        <v>1113.0239999999997</v>
      </c>
      <c r="T10" s="15">
        <v>1065.547636363636</v>
      </c>
      <c r="U10" s="15">
        <v>1022.1996521739129</v>
      </c>
      <c r="V10" s="15">
        <v>982.46399999999994</v>
      </c>
      <c r="W10" s="15">
        <v>945.90719999999965</v>
      </c>
    </row>
    <row r="11" spans="2:23" ht="15" thickBot="1">
      <c r="C11" s="144" t="s">
        <v>240</v>
      </c>
      <c r="D11" s="157">
        <v>4.5</v>
      </c>
      <c r="E11" s="157">
        <v>4</v>
      </c>
      <c r="F11" s="157">
        <v>3.5</v>
      </c>
      <c r="G11" t="s">
        <v>242</v>
      </c>
      <c r="I11" s="11" t="s">
        <v>380</v>
      </c>
      <c r="J11" t="s">
        <v>377</v>
      </c>
      <c r="K11" s="674"/>
      <c r="L11">
        <v>50</v>
      </c>
      <c r="M11" s="15">
        <v>1500.8</v>
      </c>
      <c r="N11" s="15">
        <v>1411.1999999999998</v>
      </c>
      <c r="O11" s="15">
        <v>1332.1411764705881</v>
      </c>
      <c r="P11" s="15">
        <v>1261.8666666666666</v>
      </c>
      <c r="Q11" s="15">
        <v>1198.9894736842102</v>
      </c>
      <c r="R11" s="15">
        <v>1142.3999999999999</v>
      </c>
      <c r="S11" s="15">
        <v>1091.1999999999998</v>
      </c>
      <c r="T11" s="15">
        <v>1044.6545454545451</v>
      </c>
      <c r="U11" s="15">
        <v>1002.1565217391302</v>
      </c>
      <c r="V11" s="15">
        <v>963.19999999999982</v>
      </c>
      <c r="W11" s="15">
        <v>927.35999999999979</v>
      </c>
    </row>
    <row r="12" spans="2:23">
      <c r="C12" t="s">
        <v>258</v>
      </c>
      <c r="D12" s="2">
        <f>D6*D10/100/D11</f>
        <v>22.755555555555556</v>
      </c>
      <c r="E12" s="2">
        <f>E6*E10/100/E11</f>
        <v>25.6</v>
      </c>
      <c r="F12" s="2">
        <f>F6*F10/100/F11</f>
        <v>29.25714285714286</v>
      </c>
      <c r="G12" t="s">
        <v>190</v>
      </c>
      <c r="J12" t="s">
        <v>204</v>
      </c>
      <c r="K12" s="674"/>
      <c r="L12">
        <v>49</v>
      </c>
      <c r="M12" s="15">
        <v>1470.7839999999999</v>
      </c>
      <c r="N12" s="15">
        <v>1382.9760000000001</v>
      </c>
      <c r="O12" s="15">
        <v>1305.4983529411763</v>
      </c>
      <c r="P12" s="15">
        <v>1236.6293333333331</v>
      </c>
      <c r="Q12" s="15">
        <v>1175.0096842105261</v>
      </c>
      <c r="R12" s="15">
        <v>1119.5519999999997</v>
      </c>
      <c r="S12" s="15">
        <v>1069.3759999999997</v>
      </c>
      <c r="T12" s="15">
        <v>1023.7614545454543</v>
      </c>
      <c r="U12" s="15">
        <v>982.11339130434772</v>
      </c>
      <c r="V12" s="15">
        <v>943.93599999999981</v>
      </c>
      <c r="W12" s="15">
        <v>908.81279999999981</v>
      </c>
    </row>
    <row r="13" spans="2:23">
      <c r="K13" s="674"/>
      <c r="L13">
        <v>48</v>
      </c>
      <c r="M13" s="15">
        <v>1440.768</v>
      </c>
      <c r="N13" s="15">
        <v>1354.752</v>
      </c>
      <c r="O13" s="15">
        <v>1278.8555294117646</v>
      </c>
      <c r="P13" s="15">
        <v>1211.3919999999998</v>
      </c>
      <c r="Q13" s="15">
        <v>1151.0298947368419</v>
      </c>
      <c r="R13" s="15">
        <v>1096.7039999999997</v>
      </c>
      <c r="S13" s="15">
        <v>1047.5519999999999</v>
      </c>
      <c r="T13" s="15">
        <v>1002.8683636363633</v>
      </c>
      <c r="U13" s="15">
        <v>962.07026086956512</v>
      </c>
      <c r="V13" s="15">
        <v>924.67199999999968</v>
      </c>
      <c r="W13" s="15">
        <v>890.26559999999961</v>
      </c>
    </row>
    <row r="14" spans="2:23">
      <c r="C14" t="s">
        <v>243</v>
      </c>
      <c r="D14">
        <v>2</v>
      </c>
      <c r="E14">
        <v>2</v>
      </c>
      <c r="F14">
        <v>2</v>
      </c>
      <c r="G14" t="s">
        <v>190</v>
      </c>
      <c r="I14" t="s">
        <v>379</v>
      </c>
      <c r="J14" s="25" t="s">
        <v>251</v>
      </c>
      <c r="K14" s="674"/>
      <c r="L14">
        <v>47</v>
      </c>
      <c r="M14" s="15">
        <v>1410.752</v>
      </c>
      <c r="N14" s="15">
        <v>1326.5279999999998</v>
      </c>
      <c r="O14" s="15">
        <v>1252.2127058823528</v>
      </c>
      <c r="P14" s="15">
        <v>1186.1546666666668</v>
      </c>
      <c r="Q14" s="15">
        <v>1127.0501052631578</v>
      </c>
      <c r="R14" s="15">
        <v>1073.856</v>
      </c>
      <c r="S14" s="15">
        <v>1025.7279999999998</v>
      </c>
      <c r="T14" s="15">
        <v>981.97527272727245</v>
      </c>
      <c r="U14" s="15">
        <v>942.02713043478241</v>
      </c>
      <c r="V14" s="15">
        <v>905.40800000000002</v>
      </c>
      <c r="W14" s="15">
        <v>871.71839999999975</v>
      </c>
    </row>
    <row r="15" spans="2:23" ht="15" thickBot="1">
      <c r="C15" s="144" t="s">
        <v>245</v>
      </c>
      <c r="D15" s="144">
        <v>75</v>
      </c>
      <c r="E15" s="144">
        <f>E10</f>
        <v>80</v>
      </c>
      <c r="F15" s="144">
        <v>85</v>
      </c>
      <c r="G15" t="s">
        <v>246</v>
      </c>
      <c r="I15" t="s">
        <v>379</v>
      </c>
      <c r="J15" t="s">
        <v>390</v>
      </c>
      <c r="K15" s="674"/>
      <c r="L15">
        <v>46</v>
      </c>
      <c r="M15" s="15">
        <v>1380.7360000000001</v>
      </c>
      <c r="N15" s="15">
        <v>1298.3040000000001</v>
      </c>
      <c r="O15" s="15">
        <v>1225.569882352941</v>
      </c>
      <c r="P15" s="15">
        <v>1160.9173333333333</v>
      </c>
      <c r="Q15" s="15">
        <v>1103.0703157894734</v>
      </c>
      <c r="R15" s="15">
        <v>1051.0079999999998</v>
      </c>
      <c r="S15" s="15">
        <v>1003.9039999999998</v>
      </c>
      <c r="T15" s="15">
        <v>961.08218181818165</v>
      </c>
      <c r="U15" s="15">
        <v>921.98399999999981</v>
      </c>
      <c r="V15" s="15">
        <v>886.14399999999989</v>
      </c>
      <c r="W15" s="15">
        <v>853.17119999999966</v>
      </c>
    </row>
    <row r="16" spans="2:23">
      <c r="C16" t="s">
        <v>376</v>
      </c>
      <c r="D16">
        <f>D14*D15/100</f>
        <v>1.5</v>
      </c>
      <c r="E16">
        <f>E14*E15/100</f>
        <v>1.6</v>
      </c>
      <c r="F16">
        <f t="shared" ref="F16" si="1">F14*F15/100</f>
        <v>1.7</v>
      </c>
      <c r="G16" t="s">
        <v>182</v>
      </c>
      <c r="K16" s="674"/>
      <c r="L16">
        <v>45</v>
      </c>
      <c r="M16" s="15">
        <v>1350.7199999999998</v>
      </c>
      <c r="N16" s="15">
        <v>1270.08</v>
      </c>
      <c r="O16" s="15">
        <v>1198.9270588235293</v>
      </c>
      <c r="P16" s="15">
        <v>1135.6799999999998</v>
      </c>
      <c r="Q16" s="15">
        <v>1079.0905263157892</v>
      </c>
      <c r="R16" s="15">
        <v>1028.1599999999999</v>
      </c>
      <c r="S16" s="15">
        <v>982.0799999999997</v>
      </c>
      <c r="T16" s="15">
        <v>940.18909090909062</v>
      </c>
      <c r="U16" s="15">
        <v>901.94086956521733</v>
      </c>
      <c r="V16" s="15">
        <v>866.87999999999988</v>
      </c>
      <c r="W16" s="15">
        <v>834.6239999999998</v>
      </c>
    </row>
    <row r="18" spans="3:23">
      <c r="C18" t="s">
        <v>247</v>
      </c>
      <c r="D18" s="21">
        <f>D8+D12+D16</f>
        <v>21.695555555555558</v>
      </c>
      <c r="E18" s="21">
        <f>E8+E12+E16</f>
        <v>27.200000000000003</v>
      </c>
      <c r="F18" s="21">
        <f>F8+F12+F16</f>
        <v>33.517142857142858</v>
      </c>
      <c r="G18" t="s">
        <v>190</v>
      </c>
      <c r="J18" t="s">
        <v>204</v>
      </c>
    </row>
    <row r="20" spans="3:23">
      <c r="C20" t="s">
        <v>248</v>
      </c>
      <c r="D20">
        <v>49</v>
      </c>
      <c r="E20">
        <v>51</v>
      </c>
      <c r="F20">
        <v>53</v>
      </c>
      <c r="G20" t="s">
        <v>181</v>
      </c>
      <c r="I20" s="11" t="s">
        <v>380</v>
      </c>
      <c r="J20" t="s">
        <v>250</v>
      </c>
    </row>
    <row r="21" spans="3:23">
      <c r="C21" t="s">
        <v>241</v>
      </c>
      <c r="D21">
        <v>100</v>
      </c>
      <c r="E21">
        <v>120</v>
      </c>
      <c r="F21">
        <v>140</v>
      </c>
      <c r="G21" t="s">
        <v>189</v>
      </c>
      <c r="I21" t="s">
        <v>380</v>
      </c>
      <c r="J21" t="s">
        <v>195</v>
      </c>
    </row>
    <row r="22" spans="3:23" ht="15" thickBot="1">
      <c r="C22" s="144" t="s">
        <v>277</v>
      </c>
      <c r="D22" s="144">
        <f>E22+5</f>
        <v>35</v>
      </c>
      <c r="E22" s="144">
        <v>30</v>
      </c>
      <c r="F22" s="144">
        <f>E22-5</f>
        <v>25</v>
      </c>
      <c r="G22" t="s">
        <v>181</v>
      </c>
      <c r="I22" t="s">
        <v>380</v>
      </c>
      <c r="J22" t="s">
        <v>283</v>
      </c>
    </row>
    <row r="23" spans="3:23">
      <c r="C23" t="s">
        <v>249</v>
      </c>
      <c r="D23" s="2">
        <f>D18*D20/100*D21*(1-D22/100)</f>
        <v>691.00344444444454</v>
      </c>
      <c r="E23" s="2">
        <f>E18*E20/100*E21*(1-E22/100)</f>
        <v>1165.2479999999998</v>
      </c>
      <c r="F23" s="2">
        <f>F18*F20/100*F21*(1-F22/100)</f>
        <v>1865.2290000000003</v>
      </c>
      <c r="G23" t="s">
        <v>215</v>
      </c>
      <c r="J23" t="s">
        <v>204</v>
      </c>
    </row>
    <row r="24" spans="3:23">
      <c r="C24" s="11" t="s">
        <v>388</v>
      </c>
      <c r="D24" s="170" t="e">
        <f>$I24/D23</f>
        <v>#REF!</v>
      </c>
      <c r="E24" s="170" t="e">
        <f t="shared" ref="E24:F24" si="2">$I24/E23</f>
        <v>#REF!</v>
      </c>
      <c r="F24" s="170" t="e">
        <f t="shared" si="2"/>
        <v>#REF!</v>
      </c>
      <c r="G24" t="s">
        <v>181</v>
      </c>
      <c r="I24" s="15" t="e">
        <f>Tower!#REF!</f>
        <v>#REF!</v>
      </c>
      <c r="J24" t="s">
        <v>389</v>
      </c>
    </row>
    <row r="25" spans="3:23">
      <c r="M25" s="668" t="s">
        <v>398</v>
      </c>
      <c r="N25" s="668"/>
      <c r="O25" s="668"/>
      <c r="P25" s="668"/>
      <c r="Q25" s="668"/>
      <c r="R25" s="668"/>
      <c r="S25" s="668"/>
      <c r="T25" s="668"/>
      <c r="U25" s="668"/>
      <c r="V25" s="668"/>
      <c r="W25" s="668"/>
    </row>
    <row r="26" spans="3:23">
      <c r="C26" s="673" t="s">
        <v>173</v>
      </c>
      <c r="D26" s="673"/>
      <c r="E26" s="673"/>
      <c r="F26" s="673"/>
      <c r="G26" s="673"/>
      <c r="H26" s="27"/>
      <c r="I26" s="27"/>
      <c r="J26" s="27"/>
    </row>
    <row r="27" spans="3:23">
      <c r="C27" t="s">
        <v>217</v>
      </c>
      <c r="D27">
        <v>330</v>
      </c>
      <c r="E27">
        <v>330</v>
      </c>
      <c r="F27">
        <v>330</v>
      </c>
      <c r="G27" t="s">
        <v>190</v>
      </c>
      <c r="I27" t="s">
        <v>379</v>
      </c>
      <c r="J27" t="s">
        <v>218</v>
      </c>
      <c r="M27" s="669" t="s">
        <v>402</v>
      </c>
      <c r="N27" s="669"/>
      <c r="O27" s="669"/>
      <c r="P27" s="669"/>
      <c r="Q27" s="669"/>
      <c r="R27" s="669"/>
      <c r="S27" s="669"/>
      <c r="T27" s="669"/>
      <c r="U27" s="669"/>
      <c r="V27" s="669"/>
      <c r="W27" s="669"/>
    </row>
    <row r="28" spans="3:23">
      <c r="C28" t="s">
        <v>219</v>
      </c>
      <c r="D28">
        <v>77</v>
      </c>
      <c r="E28">
        <v>77</v>
      </c>
      <c r="F28">
        <v>77</v>
      </c>
      <c r="G28" t="s">
        <v>181</v>
      </c>
      <c r="I28" t="s">
        <v>379</v>
      </c>
      <c r="J28" t="s">
        <v>220</v>
      </c>
      <c r="L28" s="163">
        <f>E49</f>
        <v>5933.9505115953825</v>
      </c>
      <c r="M28">
        <v>30</v>
      </c>
      <c r="N28">
        <f>M28+5</f>
        <v>35</v>
      </c>
      <c r="O28">
        <f t="shared" ref="O28:W28" si="3">N28+5</f>
        <v>40</v>
      </c>
      <c r="P28">
        <f t="shared" si="3"/>
        <v>45</v>
      </c>
      <c r="Q28">
        <f t="shared" si="3"/>
        <v>50</v>
      </c>
      <c r="R28">
        <f t="shared" si="3"/>
        <v>55</v>
      </c>
      <c r="S28">
        <f t="shared" si="3"/>
        <v>60</v>
      </c>
      <c r="T28">
        <f t="shared" si="3"/>
        <v>65</v>
      </c>
      <c r="U28">
        <f t="shared" si="3"/>
        <v>70</v>
      </c>
      <c r="V28">
        <f t="shared" si="3"/>
        <v>75</v>
      </c>
      <c r="W28">
        <f t="shared" si="3"/>
        <v>80</v>
      </c>
    </row>
    <row r="29" spans="3:23">
      <c r="C29" t="s">
        <v>221</v>
      </c>
      <c r="D29">
        <v>0</v>
      </c>
      <c r="E29">
        <v>0</v>
      </c>
      <c r="F29">
        <v>0</v>
      </c>
      <c r="G29" t="s">
        <v>181</v>
      </c>
      <c r="I29" t="s">
        <v>379</v>
      </c>
      <c r="J29" t="s">
        <v>214</v>
      </c>
      <c r="K29" s="674" t="s">
        <v>403</v>
      </c>
      <c r="L29" s="161">
        <v>1</v>
      </c>
      <c r="M29" s="15">
        <f t="dataTable" ref="M29:W42" dt2D="1" dtr="1" r1="E37" r2="E39"/>
        <v>2862.063766799999</v>
      </c>
      <c r="N29" s="15">
        <v>3144.8663945999997</v>
      </c>
      <c r="O29" s="15">
        <v>3427.6690223999994</v>
      </c>
      <c r="P29" s="15">
        <v>3710.4716501999992</v>
      </c>
      <c r="Q29" s="15">
        <v>3993.274277999999</v>
      </c>
      <c r="R29" s="15">
        <v>4276.0769057999996</v>
      </c>
      <c r="S29" s="15">
        <v>4558.8795335999985</v>
      </c>
      <c r="T29" s="15">
        <v>4841.6821613999991</v>
      </c>
      <c r="U29" s="15">
        <v>5124.4847891999989</v>
      </c>
      <c r="V29" s="15">
        <v>5407.2874169999986</v>
      </c>
      <c r="W29" s="15">
        <v>5690.0900447999984</v>
      </c>
    </row>
    <row r="30" spans="3:23" ht="15" thickBot="1">
      <c r="C30" t="s">
        <v>222</v>
      </c>
      <c r="D30" s="144">
        <v>70</v>
      </c>
      <c r="E30" s="144">
        <v>70</v>
      </c>
      <c r="F30" s="144">
        <v>70</v>
      </c>
      <c r="G30" t="s">
        <v>181</v>
      </c>
      <c r="I30" t="s">
        <v>379</v>
      </c>
      <c r="J30" s="25" t="s">
        <v>223</v>
      </c>
      <c r="K30" s="674"/>
      <c r="L30" s="161">
        <f>L29+0.2</f>
        <v>1.2</v>
      </c>
      <c r="M30" s="15">
        <v>3201.4269201599991</v>
      </c>
      <c r="N30" s="15">
        <v>3540.7900735199992</v>
      </c>
      <c r="O30" s="15">
        <v>3880.1532268799992</v>
      </c>
      <c r="P30" s="15">
        <v>4219.5163802399984</v>
      </c>
      <c r="Q30" s="15">
        <v>4558.8795335999985</v>
      </c>
      <c r="R30" s="15">
        <v>4898.2426869599994</v>
      </c>
      <c r="S30" s="15">
        <v>5237.6058403199977</v>
      </c>
      <c r="T30" s="15">
        <v>5576.9689936799987</v>
      </c>
      <c r="U30" s="15">
        <v>5916.3321470399987</v>
      </c>
      <c r="V30" s="15">
        <v>6255.6953003999988</v>
      </c>
      <c r="W30" s="15">
        <v>6595.058453759998</v>
      </c>
    </row>
    <row r="31" spans="3:23">
      <c r="C31" t="s">
        <v>224</v>
      </c>
      <c r="D31" s="2">
        <f>D27*(D28/100)*(D30/100)+D27*(1-D28/100)*(D29/100)</f>
        <v>177.86999999999998</v>
      </c>
      <c r="E31" s="2">
        <f>E27*(E28/100)*(E30/100)+E27*(1-E28/100)*(E29/100)</f>
        <v>177.86999999999998</v>
      </c>
      <c r="F31" s="2">
        <f>F27*(F28/100)*(F30/100)+F27*(1-F28/100)*(F29/100)</f>
        <v>177.86999999999998</v>
      </c>
      <c r="G31" t="s">
        <v>190</v>
      </c>
      <c r="J31" t="s">
        <v>204</v>
      </c>
      <c r="K31" s="674"/>
      <c r="L31" s="161">
        <f t="shared" ref="L31:L42" si="4">L30+0.2</f>
        <v>1.4</v>
      </c>
      <c r="M31" s="15">
        <v>3540.7900735199992</v>
      </c>
      <c r="N31" s="15">
        <v>3936.7137524399996</v>
      </c>
      <c r="O31" s="15">
        <v>4332.637431359999</v>
      </c>
      <c r="P31" s="15">
        <v>4728.5611102799985</v>
      </c>
      <c r="Q31" s="15">
        <v>5124.4847891999989</v>
      </c>
      <c r="R31" s="15">
        <v>5520.4084681199984</v>
      </c>
      <c r="S31" s="15">
        <v>5916.3321470399978</v>
      </c>
      <c r="T31" s="15">
        <v>6312.2558259599982</v>
      </c>
      <c r="U31" s="15">
        <v>6708.1795048799986</v>
      </c>
      <c r="V31" s="15">
        <v>7104.1031837999981</v>
      </c>
      <c r="W31" s="15">
        <v>7500.0268627199985</v>
      </c>
    </row>
    <row r="32" spans="3:23">
      <c r="K32" s="674"/>
      <c r="L32" s="161">
        <f t="shared" si="4"/>
        <v>1.5999999999999999</v>
      </c>
      <c r="M32" s="15">
        <v>3880.1532268799983</v>
      </c>
      <c r="N32" s="15">
        <v>4332.637431359999</v>
      </c>
      <c r="O32" s="15">
        <v>4785.1216358399988</v>
      </c>
      <c r="P32" s="15">
        <v>5237.6058403199977</v>
      </c>
      <c r="Q32" s="15">
        <v>5690.0900447999984</v>
      </c>
      <c r="R32" s="15">
        <v>6142.5742492799982</v>
      </c>
      <c r="S32" s="15">
        <v>6595.0584537599971</v>
      </c>
      <c r="T32" s="15">
        <v>7047.5426582399969</v>
      </c>
      <c r="U32" s="15">
        <v>7500.0268627199985</v>
      </c>
      <c r="V32" s="15">
        <v>7952.5110671999973</v>
      </c>
      <c r="W32" s="15">
        <v>8404.995271679998</v>
      </c>
    </row>
    <row r="33" spans="3:23" ht="15" thickBot="1">
      <c r="C33" t="s">
        <v>225</v>
      </c>
      <c r="D33" s="144">
        <v>85</v>
      </c>
      <c r="E33" s="145">
        <v>88</v>
      </c>
      <c r="F33" s="145">
        <v>90</v>
      </c>
      <c r="G33" t="s">
        <v>181</v>
      </c>
      <c r="J33" t="s">
        <v>226</v>
      </c>
      <c r="K33" s="674"/>
      <c r="L33" s="161">
        <f t="shared" si="4"/>
        <v>1.7999999999999998</v>
      </c>
      <c r="M33" s="15">
        <v>4219.5163802399984</v>
      </c>
      <c r="N33" s="15">
        <v>4728.5611102799994</v>
      </c>
      <c r="O33" s="15">
        <v>5237.6058403199977</v>
      </c>
      <c r="P33" s="15">
        <v>5746.6505703599978</v>
      </c>
      <c r="Q33" s="15">
        <v>6255.6953003999979</v>
      </c>
      <c r="R33" s="15">
        <v>6764.740030439998</v>
      </c>
      <c r="S33" s="15">
        <v>7273.7847604799972</v>
      </c>
      <c r="T33" s="15">
        <v>7782.8294905199964</v>
      </c>
      <c r="U33" s="15">
        <v>8291.8742205599992</v>
      </c>
      <c r="V33" s="15">
        <v>8800.9189505999966</v>
      </c>
      <c r="W33" s="15">
        <v>9309.9636806399958</v>
      </c>
    </row>
    <row r="34" spans="3:23">
      <c r="C34" t="s">
        <v>227</v>
      </c>
      <c r="D34" s="2">
        <f>D31*(D33/100)</f>
        <v>151.18949999999998</v>
      </c>
      <c r="E34" s="2">
        <f>E31*(E33/100)</f>
        <v>156.52559999999997</v>
      </c>
      <c r="F34" s="2">
        <f>F31*(F33/100)</f>
        <v>160.08299999999997</v>
      </c>
      <c r="G34" t="s">
        <v>190</v>
      </c>
      <c r="J34" t="s">
        <v>204</v>
      </c>
      <c r="K34" s="674"/>
      <c r="L34" s="161">
        <f t="shared" si="4"/>
        <v>1.9999999999999998</v>
      </c>
      <c r="M34" s="15">
        <v>4558.8795335999985</v>
      </c>
      <c r="N34" s="15">
        <v>5124.4847891999989</v>
      </c>
      <c r="O34" s="15">
        <v>5690.0900447999975</v>
      </c>
      <c r="P34" s="15">
        <v>6255.695300399997</v>
      </c>
      <c r="Q34" s="15">
        <v>6821.3005559999974</v>
      </c>
      <c r="R34" s="15">
        <v>7386.9058115999978</v>
      </c>
      <c r="S34" s="15">
        <v>7952.5110671999973</v>
      </c>
      <c r="T34" s="15">
        <v>8518.1163227999969</v>
      </c>
      <c r="U34" s="15">
        <v>9083.7215783999982</v>
      </c>
      <c r="V34" s="15">
        <v>9649.3268339999959</v>
      </c>
      <c r="W34" s="15">
        <v>10214.932089599995</v>
      </c>
    </row>
    <row r="35" spans="3:23">
      <c r="K35" s="674"/>
      <c r="L35" s="161">
        <f t="shared" si="4"/>
        <v>2.1999999999999997</v>
      </c>
      <c r="M35" s="15">
        <v>4898.2426869599985</v>
      </c>
      <c r="N35" s="15">
        <v>5520.4084681199984</v>
      </c>
      <c r="O35" s="15">
        <v>6142.5742492799973</v>
      </c>
      <c r="P35" s="15">
        <v>6764.7400304399971</v>
      </c>
      <c r="Q35" s="15">
        <v>7386.9058115999978</v>
      </c>
      <c r="R35" s="15">
        <v>8009.0715927599967</v>
      </c>
      <c r="S35" s="15">
        <v>8631.2373739199975</v>
      </c>
      <c r="T35" s="15">
        <v>9253.4031550799973</v>
      </c>
      <c r="U35" s="15">
        <v>9875.5689362399971</v>
      </c>
      <c r="V35" s="15">
        <v>10497.734717399997</v>
      </c>
      <c r="W35" s="15">
        <v>11119.900498559995</v>
      </c>
    </row>
    <row r="36" spans="3:23">
      <c r="C36" t="s">
        <v>228</v>
      </c>
      <c r="D36">
        <v>30</v>
      </c>
      <c r="E36">
        <v>33</v>
      </c>
      <c r="F36">
        <v>36</v>
      </c>
      <c r="G36" t="s">
        <v>181</v>
      </c>
      <c r="I36" t="s">
        <v>380</v>
      </c>
      <c r="J36" t="s">
        <v>229</v>
      </c>
      <c r="K36" s="674"/>
      <c r="L36" s="161">
        <f t="shared" si="4"/>
        <v>2.4</v>
      </c>
      <c r="M36" s="15">
        <v>5237.6058403199977</v>
      </c>
      <c r="N36" s="15">
        <v>5916.3321470399987</v>
      </c>
      <c r="O36" s="15">
        <v>6595.058453759998</v>
      </c>
      <c r="P36" s="15">
        <v>7273.7847604799972</v>
      </c>
      <c r="Q36" s="15">
        <v>7952.5110671999973</v>
      </c>
      <c r="R36" s="15">
        <v>8631.2373739199993</v>
      </c>
      <c r="S36" s="15">
        <v>9309.9636806399958</v>
      </c>
      <c r="T36" s="15">
        <v>9988.6899873599978</v>
      </c>
      <c r="U36" s="15">
        <v>10667.416294079998</v>
      </c>
      <c r="V36" s="15">
        <v>11346.142600799998</v>
      </c>
      <c r="W36" s="15">
        <v>12024.868907519996</v>
      </c>
    </row>
    <row r="37" spans="3:23">
      <c r="C37" t="s">
        <v>230</v>
      </c>
      <c r="D37">
        <v>40</v>
      </c>
      <c r="E37">
        <v>45</v>
      </c>
      <c r="F37">
        <v>50</v>
      </c>
      <c r="G37" t="s">
        <v>181</v>
      </c>
      <c r="I37" s="11" t="s">
        <v>380</v>
      </c>
      <c r="J37" t="s">
        <v>273</v>
      </c>
      <c r="K37" s="674"/>
      <c r="L37" s="161">
        <f t="shared" si="4"/>
        <v>2.6</v>
      </c>
      <c r="M37" s="15">
        <v>5576.9689936799987</v>
      </c>
      <c r="N37" s="15">
        <v>6312.2558259599991</v>
      </c>
      <c r="O37" s="15">
        <v>7047.5426582399978</v>
      </c>
      <c r="P37" s="15">
        <v>7782.8294905199964</v>
      </c>
      <c r="Q37" s="15">
        <v>8518.1163227999987</v>
      </c>
      <c r="R37" s="15">
        <v>9253.4031550799991</v>
      </c>
      <c r="S37" s="15">
        <v>9988.6899873599978</v>
      </c>
      <c r="T37" s="15">
        <v>10723.976819639996</v>
      </c>
      <c r="U37" s="15">
        <v>11459.263651919999</v>
      </c>
      <c r="V37" s="15">
        <v>12194.550484199997</v>
      </c>
      <c r="W37" s="15">
        <v>12929.837316479996</v>
      </c>
    </row>
    <row r="38" spans="3:23">
      <c r="C38" t="s">
        <v>231</v>
      </c>
      <c r="D38" s="147">
        <f>D34*D36/100*D37/100</f>
        <v>18.14274</v>
      </c>
      <c r="E38" s="147">
        <f>E34*E36/100*E37/100</f>
        <v>23.244051599999992</v>
      </c>
      <c r="F38" s="147">
        <f>F34*F36/100*F37/100</f>
        <v>28.814939999999996</v>
      </c>
      <c r="G38" s="148" t="s">
        <v>190</v>
      </c>
      <c r="J38" t="s">
        <v>204</v>
      </c>
      <c r="K38" s="674"/>
      <c r="L38" s="161">
        <f t="shared" si="4"/>
        <v>2.8000000000000003</v>
      </c>
      <c r="M38" s="15">
        <v>5916.3321470399987</v>
      </c>
      <c r="N38" s="15">
        <v>6708.1795048799995</v>
      </c>
      <c r="O38" s="15">
        <v>7500.0268627199985</v>
      </c>
      <c r="P38" s="15">
        <v>8291.8742205599974</v>
      </c>
      <c r="Q38" s="15">
        <v>9083.7215783999982</v>
      </c>
      <c r="R38" s="15">
        <v>9875.5689362399989</v>
      </c>
      <c r="S38" s="15">
        <v>10667.416294079998</v>
      </c>
      <c r="T38" s="15">
        <v>11459.263651919999</v>
      </c>
      <c r="U38" s="15">
        <v>12251.111009759999</v>
      </c>
      <c r="V38" s="15">
        <v>13042.958367599997</v>
      </c>
      <c r="W38" s="15">
        <v>13834.805725439997</v>
      </c>
    </row>
    <row r="39" spans="3:23" ht="15" thickBot="1">
      <c r="C39" t="s">
        <v>232</v>
      </c>
      <c r="D39" s="157">
        <f>11.4/8*6219/4730</f>
        <v>1.8735887949260044</v>
      </c>
      <c r="E39" s="157">
        <f>11.4/8*6219/4730</f>
        <v>1.8735887949260044</v>
      </c>
      <c r="F39" s="157">
        <f>11.4/8*6219/4730</f>
        <v>1.8735887949260044</v>
      </c>
      <c r="G39" s="148" t="s">
        <v>233</v>
      </c>
      <c r="I39" s="11" t="s">
        <v>380</v>
      </c>
      <c r="J39" s="25" t="s">
        <v>391</v>
      </c>
      <c r="K39" s="674"/>
      <c r="L39" s="161">
        <f t="shared" si="4"/>
        <v>3.0000000000000004</v>
      </c>
      <c r="M39" s="15">
        <v>6255.6953003999988</v>
      </c>
      <c r="N39" s="15">
        <v>7104.1031837999999</v>
      </c>
      <c r="O39" s="15">
        <v>7952.5110671999992</v>
      </c>
      <c r="P39" s="15">
        <v>8800.9189505999984</v>
      </c>
      <c r="Q39" s="15">
        <v>9649.3268339999995</v>
      </c>
      <c r="R39" s="15">
        <v>10497.734717399999</v>
      </c>
      <c r="S39" s="15">
        <v>11346.142600799998</v>
      </c>
      <c r="T39" s="15">
        <v>12194.550484199997</v>
      </c>
      <c r="U39" s="15">
        <v>13042.9583676</v>
      </c>
      <c r="V39" s="15">
        <v>13891.366250999998</v>
      </c>
      <c r="W39" s="15">
        <v>14739.774134399999</v>
      </c>
    </row>
    <row r="40" spans="3:23">
      <c r="C40" t="s">
        <v>234</v>
      </c>
      <c r="D40" s="2">
        <f>D38*D39</f>
        <v>33.992034373255819</v>
      </c>
      <c r="E40" s="2">
        <f>E38*E39</f>
        <v>43.549794626441852</v>
      </c>
      <c r="F40" s="2">
        <f>F38*F39</f>
        <v>53.987348710465113</v>
      </c>
      <c r="G40" t="s">
        <v>235</v>
      </c>
      <c r="J40" t="s">
        <v>204</v>
      </c>
      <c r="K40" s="674"/>
      <c r="L40" s="161">
        <f t="shared" si="4"/>
        <v>3.2000000000000006</v>
      </c>
      <c r="M40" s="15">
        <v>6595.0584537599989</v>
      </c>
      <c r="N40" s="15">
        <v>7500.0268627199994</v>
      </c>
      <c r="O40" s="15">
        <v>8404.9952716799999</v>
      </c>
      <c r="P40" s="15">
        <v>9309.9636806399976</v>
      </c>
      <c r="Q40" s="15">
        <v>10214.932089599999</v>
      </c>
      <c r="R40" s="15">
        <v>11119.90049856</v>
      </c>
      <c r="S40" s="15">
        <v>12024.868907519998</v>
      </c>
      <c r="T40" s="15">
        <v>12929.837316479996</v>
      </c>
      <c r="U40" s="15">
        <v>13834.805725439999</v>
      </c>
      <c r="V40" s="15">
        <v>14739.774134399999</v>
      </c>
      <c r="W40" s="15">
        <v>15644.74254336</v>
      </c>
    </row>
    <row r="41" spans="3:23">
      <c r="E41" s="2"/>
      <c r="F41" s="2"/>
      <c r="K41" s="674"/>
      <c r="L41" s="161">
        <f t="shared" si="4"/>
        <v>3.4000000000000008</v>
      </c>
      <c r="M41" s="15">
        <v>6934.421607119999</v>
      </c>
      <c r="N41" s="15">
        <v>7895.9505416400007</v>
      </c>
      <c r="O41" s="15">
        <v>8857.4794761600006</v>
      </c>
      <c r="P41" s="15">
        <v>9819.0084106799986</v>
      </c>
      <c r="Q41" s="15">
        <v>10780.5373452</v>
      </c>
      <c r="R41" s="15">
        <v>11742.06627972</v>
      </c>
      <c r="S41" s="15">
        <v>12703.595214239998</v>
      </c>
      <c r="T41" s="15">
        <v>13665.124148759998</v>
      </c>
      <c r="U41" s="15">
        <v>14626.653083280002</v>
      </c>
      <c r="V41" s="15">
        <v>15588.182017799998</v>
      </c>
      <c r="W41" s="15">
        <v>16549.710952320002</v>
      </c>
    </row>
    <row r="42" spans="3:23" ht="29">
      <c r="C42" t="s">
        <v>236</v>
      </c>
      <c r="D42">
        <v>0.55000000000000004</v>
      </c>
      <c r="E42" s="22">
        <v>0.6</v>
      </c>
      <c r="F42" s="22">
        <v>0.65</v>
      </c>
      <c r="G42" t="s">
        <v>189</v>
      </c>
      <c r="I42" t="s">
        <v>380</v>
      </c>
      <c r="J42" s="169" t="s">
        <v>427</v>
      </c>
      <c r="K42" s="674"/>
      <c r="L42" s="161">
        <f t="shared" si="4"/>
        <v>3.600000000000001</v>
      </c>
      <c r="M42" s="15">
        <v>7273.784760479999</v>
      </c>
      <c r="N42" s="15">
        <v>8291.874220560001</v>
      </c>
      <c r="O42" s="15">
        <v>9309.9636806399994</v>
      </c>
      <c r="P42" s="15">
        <v>10328.053140719998</v>
      </c>
      <c r="Q42" s="15">
        <v>11346.1426008</v>
      </c>
      <c r="R42" s="15">
        <v>12364.23206088</v>
      </c>
      <c r="S42" s="15">
        <v>13382.321520959998</v>
      </c>
      <c r="T42" s="15">
        <v>14400.410981039999</v>
      </c>
      <c r="U42" s="15">
        <v>15418.500441120001</v>
      </c>
      <c r="V42" s="15">
        <v>16436.589901200001</v>
      </c>
      <c r="W42" s="15">
        <v>17454.679361279999</v>
      </c>
    </row>
    <row r="43" spans="3:23">
      <c r="J43" s="25"/>
    </row>
    <row r="44" spans="3:23">
      <c r="C44" t="s">
        <v>237</v>
      </c>
      <c r="D44" s="2">
        <f>D40*D42*365</f>
        <v>6823.9009004311056</v>
      </c>
      <c r="E44" s="2">
        <f>E40*E42*365</f>
        <v>9537.4050231907659</v>
      </c>
      <c r="F44" s="2">
        <f>F40*F42*365</f>
        <v>12808.49848155785</v>
      </c>
      <c r="G44" t="s">
        <v>216</v>
      </c>
      <c r="J44" t="s">
        <v>204</v>
      </c>
    </row>
    <row r="45" spans="3:23" ht="15" thickBot="1">
      <c r="C45" t="s">
        <v>277</v>
      </c>
      <c r="D45" s="144">
        <v>55</v>
      </c>
      <c r="E45" s="146">
        <v>50</v>
      </c>
      <c r="F45" s="146">
        <v>45</v>
      </c>
      <c r="G45" t="s">
        <v>181</v>
      </c>
      <c r="I45" t="s">
        <v>380</v>
      </c>
      <c r="J45" t="s">
        <v>279</v>
      </c>
    </row>
    <row r="46" spans="3:23">
      <c r="C46" t="s">
        <v>278</v>
      </c>
      <c r="D46" s="2">
        <f>D44*(1-(D45/100))</f>
        <v>3070.7554051939974</v>
      </c>
      <c r="E46" s="2">
        <f>E44*(1-(E45/100))</f>
        <v>4768.7025115953829</v>
      </c>
      <c r="F46" s="2">
        <f>F44*(1-(F45/100))</f>
        <v>7044.6741648568177</v>
      </c>
      <c r="G46" t="s">
        <v>216</v>
      </c>
      <c r="J46" t="s">
        <v>204</v>
      </c>
    </row>
    <row r="47" spans="3:23">
      <c r="C47" s="11" t="s">
        <v>392</v>
      </c>
      <c r="D47" s="170" t="e">
        <f t="shared" ref="D47:F47" si="5">$I47/D46</f>
        <v>#REF!</v>
      </c>
      <c r="E47" s="170" t="e">
        <f t="shared" si="5"/>
        <v>#REF!</v>
      </c>
      <c r="F47" s="170" t="e">
        <f t="shared" si="5"/>
        <v>#REF!</v>
      </c>
      <c r="G47" t="s">
        <v>181</v>
      </c>
      <c r="I47" s="2" t="e">
        <f>Tower!#REF!</f>
        <v>#REF!</v>
      </c>
    </row>
    <row r="48" spans="3:23" ht="15" thickBot="1">
      <c r="E48" s="2"/>
      <c r="F48" s="2"/>
    </row>
    <row r="49" spans="2:23">
      <c r="C49" s="149" t="s">
        <v>254</v>
      </c>
      <c r="D49" s="150">
        <f>D46+D23</f>
        <v>3761.7588496384419</v>
      </c>
      <c r="E49" s="150">
        <f>E46+E23</f>
        <v>5933.9505115953825</v>
      </c>
      <c r="F49" s="150">
        <f>F46+F23</f>
        <v>8909.903164856818</v>
      </c>
      <c r="G49" s="151" t="s">
        <v>216</v>
      </c>
      <c r="J49" t="s">
        <v>204</v>
      </c>
    </row>
    <row r="50" spans="2:23" ht="15" thickBot="1">
      <c r="C50" s="152" t="s">
        <v>381</v>
      </c>
      <c r="D50" s="158">
        <f>-(1-D49/E49)*100</f>
        <v>-36.606164101171991</v>
      </c>
      <c r="E50" s="157">
        <v>0</v>
      </c>
      <c r="F50" s="154">
        <f>(F49/E49-1)*100</f>
        <v>50.151288714764334</v>
      </c>
      <c r="G50" s="153" t="s">
        <v>181</v>
      </c>
      <c r="J50" t="s">
        <v>204</v>
      </c>
    </row>
    <row r="52" spans="2:23">
      <c r="B52" s="143" t="s">
        <v>174</v>
      </c>
      <c r="C52" s="143"/>
      <c r="D52" s="24" t="s">
        <v>375</v>
      </c>
      <c r="E52" s="24" t="s">
        <v>373</v>
      </c>
      <c r="F52" s="24" t="s">
        <v>374</v>
      </c>
      <c r="G52" s="24" t="s">
        <v>208</v>
      </c>
      <c r="H52" s="24"/>
      <c r="I52" s="24" t="s">
        <v>378</v>
      </c>
      <c r="J52" s="24" t="s">
        <v>209</v>
      </c>
    </row>
    <row r="53" spans="2:23" s="83" customFormat="1">
      <c r="B53" s="82"/>
      <c r="C53" s="82"/>
      <c r="D53" s="82"/>
      <c r="E53" s="82"/>
      <c r="F53" s="82"/>
      <c r="G53" s="82"/>
      <c r="J53" s="20" t="s">
        <v>202</v>
      </c>
      <c r="M53" s="675" t="s">
        <v>399</v>
      </c>
      <c r="N53" s="675"/>
      <c r="O53" s="675"/>
      <c r="P53" s="675"/>
      <c r="Q53" s="675"/>
      <c r="R53" s="675"/>
      <c r="S53" s="675"/>
      <c r="T53" s="675"/>
      <c r="U53" s="675"/>
      <c r="V53" s="675"/>
      <c r="W53" s="675"/>
    </row>
    <row r="54" spans="2:23">
      <c r="C54" s="673" t="s">
        <v>175</v>
      </c>
      <c r="D54" s="673"/>
      <c r="E54" s="673"/>
      <c r="F54" s="673"/>
      <c r="G54" s="673"/>
      <c r="H54" s="27"/>
      <c r="I54" s="27"/>
      <c r="J54" s="27"/>
    </row>
    <row r="55" spans="2:23">
      <c r="C55" t="s">
        <v>176</v>
      </c>
      <c r="D55">
        <v>128</v>
      </c>
      <c r="E55">
        <v>128</v>
      </c>
      <c r="F55">
        <v>128</v>
      </c>
      <c r="G55" t="s">
        <v>182</v>
      </c>
      <c r="I55" t="s">
        <v>379</v>
      </c>
      <c r="J55" t="s">
        <v>193</v>
      </c>
      <c r="M55" s="669" t="s">
        <v>400</v>
      </c>
      <c r="N55" s="669"/>
      <c r="O55" s="669"/>
      <c r="P55" s="669"/>
      <c r="Q55" s="669"/>
      <c r="R55" s="669"/>
      <c r="S55" s="669"/>
      <c r="T55" s="669"/>
      <c r="U55" s="669"/>
      <c r="V55" s="669"/>
      <c r="W55" s="669"/>
    </row>
    <row r="56" spans="2:23" ht="15" thickBot="1">
      <c r="C56" t="s">
        <v>177</v>
      </c>
      <c r="D56" s="144">
        <v>65</v>
      </c>
      <c r="E56" s="144">
        <v>69.5</v>
      </c>
      <c r="F56" s="144">
        <v>75</v>
      </c>
      <c r="G56" t="s">
        <v>181</v>
      </c>
      <c r="I56" t="s">
        <v>380</v>
      </c>
      <c r="J56" t="s">
        <v>194</v>
      </c>
      <c r="L56" s="163">
        <f>E69</f>
        <v>944.99999999999989</v>
      </c>
      <c r="M56">
        <v>-2</v>
      </c>
      <c r="N56">
        <f>M56+2</f>
        <v>0</v>
      </c>
      <c r="O56">
        <f t="shared" ref="O56:W56" si="6">N56+2</f>
        <v>2</v>
      </c>
      <c r="P56">
        <f t="shared" si="6"/>
        <v>4</v>
      </c>
      <c r="Q56">
        <f t="shared" si="6"/>
        <v>6</v>
      </c>
      <c r="R56">
        <f t="shared" si="6"/>
        <v>8</v>
      </c>
      <c r="S56">
        <f t="shared" si="6"/>
        <v>10</v>
      </c>
      <c r="T56">
        <f t="shared" si="6"/>
        <v>12</v>
      </c>
      <c r="U56">
        <f t="shared" si="6"/>
        <v>14</v>
      </c>
      <c r="V56">
        <f t="shared" si="6"/>
        <v>16</v>
      </c>
      <c r="W56">
        <f t="shared" si="6"/>
        <v>18</v>
      </c>
    </row>
    <row r="57" spans="2:23">
      <c r="C57" t="s">
        <v>238</v>
      </c>
      <c r="D57">
        <f>D55*D56/100</f>
        <v>83.2</v>
      </c>
      <c r="E57">
        <f>E55*E56/100</f>
        <v>88.96</v>
      </c>
      <c r="F57">
        <f>F55*F56/100</f>
        <v>96</v>
      </c>
      <c r="G57" t="s">
        <v>182</v>
      </c>
      <c r="J57" t="s">
        <v>204</v>
      </c>
      <c r="K57" s="674" t="s">
        <v>277</v>
      </c>
      <c r="L57">
        <v>20</v>
      </c>
      <c r="M57" s="15">
        <f t="dataTable" ref="M57:W66" dt2D="1" dtr="1" r1="E63" r2="E68"/>
        <v>995.59680000000014</v>
      </c>
      <c r="N57" s="15">
        <v>1080</v>
      </c>
      <c r="O57" s="15">
        <v>1164.4032</v>
      </c>
      <c r="P57" s="15">
        <v>1248.8064000000002</v>
      </c>
      <c r="Q57" s="15">
        <v>1333.2096000000001</v>
      </c>
      <c r="R57" s="15">
        <v>1417.6128000000001</v>
      </c>
      <c r="S57" s="15">
        <v>1502.0160000000001</v>
      </c>
      <c r="T57" s="15">
        <v>1586.4192</v>
      </c>
      <c r="U57" s="15">
        <v>1670.8224</v>
      </c>
      <c r="V57" s="15">
        <v>1755.2256000000002</v>
      </c>
      <c r="W57" s="15">
        <v>1839.6287999999997</v>
      </c>
    </row>
    <row r="58" spans="2:23">
      <c r="K58" s="674"/>
      <c r="L58">
        <f>L57+5</f>
        <v>25</v>
      </c>
      <c r="M58" s="15">
        <v>933.37200000000007</v>
      </c>
      <c r="N58" s="15">
        <v>1012.5</v>
      </c>
      <c r="O58" s="15">
        <v>1091.6279999999999</v>
      </c>
      <c r="P58" s="15">
        <v>1170.7560000000001</v>
      </c>
      <c r="Q58" s="15">
        <v>1249.884</v>
      </c>
      <c r="R58" s="15">
        <v>1329.0120000000002</v>
      </c>
      <c r="S58" s="15">
        <v>1408.1399999999999</v>
      </c>
      <c r="T58" s="15">
        <v>1487.268</v>
      </c>
      <c r="U58" s="15">
        <v>1566.3959999999997</v>
      </c>
      <c r="V58" s="15">
        <v>1645.5240000000001</v>
      </c>
      <c r="W58" s="15">
        <v>1724.6519999999996</v>
      </c>
    </row>
    <row r="59" spans="2:23">
      <c r="C59" t="s">
        <v>178</v>
      </c>
      <c r="D59">
        <v>45</v>
      </c>
      <c r="E59">
        <v>45</v>
      </c>
      <c r="F59">
        <v>45</v>
      </c>
      <c r="G59" t="s">
        <v>182</v>
      </c>
      <c r="I59" t="s">
        <v>379</v>
      </c>
      <c r="J59" t="s">
        <v>194</v>
      </c>
      <c r="K59" s="674"/>
      <c r="L59">
        <f t="shared" ref="L59:L66" si="7">L58+5</f>
        <v>30</v>
      </c>
      <c r="M59" s="15">
        <v>871.1472</v>
      </c>
      <c r="N59" s="15">
        <v>944.99999999999989</v>
      </c>
      <c r="O59" s="15">
        <v>1018.8527999999999</v>
      </c>
      <c r="P59" s="15">
        <v>1092.7056</v>
      </c>
      <c r="Q59" s="15">
        <v>1166.5583999999999</v>
      </c>
      <c r="R59" s="15">
        <v>1240.4112</v>
      </c>
      <c r="S59" s="15">
        <v>1314.2639999999999</v>
      </c>
      <c r="T59" s="15">
        <v>1388.1167999999998</v>
      </c>
      <c r="U59" s="15">
        <v>1461.9695999999997</v>
      </c>
      <c r="V59" s="15">
        <v>1535.8224</v>
      </c>
      <c r="W59" s="15">
        <v>1609.6751999999997</v>
      </c>
    </row>
    <row r="60" spans="2:23">
      <c r="C60" t="s">
        <v>179</v>
      </c>
      <c r="D60" s="2">
        <f>D57-D59</f>
        <v>38.200000000000003</v>
      </c>
      <c r="E60" s="2">
        <f>E57-E59</f>
        <v>43.959999999999994</v>
      </c>
      <c r="F60" s="2">
        <f>F57-F59</f>
        <v>51</v>
      </c>
      <c r="G60" t="s">
        <v>182</v>
      </c>
      <c r="J60" t="s">
        <v>204</v>
      </c>
      <c r="K60" s="674"/>
      <c r="L60">
        <f t="shared" si="7"/>
        <v>35</v>
      </c>
      <c r="M60" s="15">
        <v>808.92240000000004</v>
      </c>
      <c r="N60" s="15">
        <v>877.5</v>
      </c>
      <c r="O60" s="15">
        <v>946.07759999999996</v>
      </c>
      <c r="P60" s="15">
        <v>1014.6552</v>
      </c>
      <c r="Q60" s="15">
        <v>1083.2328</v>
      </c>
      <c r="R60" s="15">
        <v>1151.8104000000001</v>
      </c>
      <c r="S60" s="15">
        <v>1220.3879999999999</v>
      </c>
      <c r="T60" s="15">
        <v>1288.9656</v>
      </c>
      <c r="U60" s="15">
        <v>1357.5431999999998</v>
      </c>
      <c r="V60" s="15">
        <v>1426.1208000000001</v>
      </c>
      <c r="W60" s="15">
        <v>1494.6983999999998</v>
      </c>
    </row>
    <row r="61" spans="2:23" ht="15" thickBot="1">
      <c r="C61" t="s">
        <v>180</v>
      </c>
      <c r="D61" s="157">
        <f>D11</f>
        <v>4.5</v>
      </c>
      <c r="E61" s="157">
        <f>E11</f>
        <v>4</v>
      </c>
      <c r="F61" s="157">
        <f>F11</f>
        <v>3.5</v>
      </c>
      <c r="G61" t="s">
        <v>183</v>
      </c>
      <c r="I61" t="s">
        <v>380</v>
      </c>
      <c r="J61" t="s">
        <v>256</v>
      </c>
      <c r="K61" s="674"/>
      <c r="L61">
        <f t="shared" si="7"/>
        <v>40</v>
      </c>
      <c r="M61" s="15">
        <v>746.69760000000008</v>
      </c>
      <c r="N61" s="15">
        <v>810</v>
      </c>
      <c r="O61" s="15">
        <v>873.30239999999992</v>
      </c>
      <c r="P61" s="15">
        <v>936.60479999999995</v>
      </c>
      <c r="Q61" s="15">
        <v>999.90719999999988</v>
      </c>
      <c r="R61" s="15">
        <v>1063.2095999999999</v>
      </c>
      <c r="S61" s="15">
        <v>1126.5119999999999</v>
      </c>
      <c r="T61" s="15">
        <v>1189.8144</v>
      </c>
      <c r="U61" s="15">
        <v>1253.1167999999998</v>
      </c>
      <c r="V61" s="15">
        <v>1316.4192</v>
      </c>
      <c r="W61" s="15">
        <v>1379.7215999999996</v>
      </c>
    </row>
    <row r="62" spans="2:23">
      <c r="C62" t="s">
        <v>184</v>
      </c>
      <c r="D62" s="2">
        <f>D59/D61</f>
        <v>10</v>
      </c>
      <c r="E62" s="2">
        <f>E59/E61</f>
        <v>11.25</v>
      </c>
      <c r="F62" s="2">
        <f>F59/F61</f>
        <v>12.857142857142858</v>
      </c>
      <c r="G62" t="s">
        <v>182</v>
      </c>
      <c r="J62" t="s">
        <v>204</v>
      </c>
      <c r="K62" s="674"/>
      <c r="L62">
        <f t="shared" si="7"/>
        <v>45</v>
      </c>
      <c r="M62" s="15">
        <v>684.47280000000012</v>
      </c>
      <c r="N62" s="15">
        <v>742.50000000000011</v>
      </c>
      <c r="O62" s="15">
        <v>800.52719999999999</v>
      </c>
      <c r="P62" s="15">
        <v>858.5544000000001</v>
      </c>
      <c r="Q62" s="15">
        <v>916.58160000000009</v>
      </c>
      <c r="R62" s="15">
        <v>974.60880000000009</v>
      </c>
      <c r="S62" s="15">
        <v>1032.636</v>
      </c>
      <c r="T62" s="15">
        <v>1090.6632</v>
      </c>
      <c r="U62" s="15">
        <v>1148.6904</v>
      </c>
      <c r="V62" s="15">
        <v>1206.7176000000002</v>
      </c>
      <c r="W62" s="15">
        <v>1264.7447999999999</v>
      </c>
    </row>
    <row r="63" spans="2:23">
      <c r="C63" t="s">
        <v>186</v>
      </c>
      <c r="D63" s="155">
        <v>-5</v>
      </c>
      <c r="E63" s="2">
        <v>0</v>
      </c>
      <c r="F63">
        <v>10</v>
      </c>
      <c r="G63" t="s">
        <v>181</v>
      </c>
      <c r="I63" s="11" t="s">
        <v>380</v>
      </c>
      <c r="J63" t="s">
        <v>382</v>
      </c>
      <c r="K63" s="674"/>
      <c r="L63">
        <f t="shared" si="7"/>
        <v>50</v>
      </c>
      <c r="M63" s="15">
        <v>622.24800000000005</v>
      </c>
      <c r="N63" s="15">
        <v>675</v>
      </c>
      <c r="O63" s="15">
        <v>727.75199999999995</v>
      </c>
      <c r="P63" s="15">
        <v>780.50400000000002</v>
      </c>
      <c r="Q63" s="15">
        <v>833.25599999999997</v>
      </c>
      <c r="R63" s="15">
        <v>886.00800000000004</v>
      </c>
      <c r="S63" s="15">
        <v>938.76</v>
      </c>
      <c r="T63" s="15">
        <v>991.51199999999994</v>
      </c>
      <c r="U63" s="15">
        <v>1044.2639999999999</v>
      </c>
      <c r="V63" s="15">
        <v>1097.0160000000001</v>
      </c>
      <c r="W63" s="15">
        <v>1149.7679999999998</v>
      </c>
    </row>
    <row r="64" spans="2:23" ht="15" thickBot="1">
      <c r="C64" t="s">
        <v>185</v>
      </c>
      <c r="D64" s="156">
        <f>D60*(D63/100)</f>
        <v>-1.9100000000000001</v>
      </c>
      <c r="E64" s="146">
        <f>E60*(E63/100)</f>
        <v>0</v>
      </c>
      <c r="F64" s="146">
        <f>F60*(F63/100)</f>
        <v>5.1000000000000005</v>
      </c>
      <c r="G64" t="s">
        <v>182</v>
      </c>
      <c r="J64" t="s">
        <v>204</v>
      </c>
      <c r="K64" s="674"/>
      <c r="L64">
        <f t="shared" si="7"/>
        <v>55</v>
      </c>
      <c r="M64" s="15">
        <v>560.02319999999997</v>
      </c>
      <c r="N64" s="15">
        <v>607.49999999999989</v>
      </c>
      <c r="O64" s="15">
        <v>654.97679999999991</v>
      </c>
      <c r="P64" s="15">
        <v>702.45359999999994</v>
      </c>
      <c r="Q64" s="15">
        <v>749.93039999999985</v>
      </c>
      <c r="R64" s="15">
        <v>797.40719999999999</v>
      </c>
      <c r="S64" s="15">
        <v>844.8839999999999</v>
      </c>
      <c r="T64" s="15">
        <v>892.36079999999981</v>
      </c>
      <c r="U64" s="15">
        <v>939.83759999999984</v>
      </c>
      <c r="V64" s="15">
        <v>987.31439999999998</v>
      </c>
      <c r="W64" s="15">
        <v>1034.7911999999997</v>
      </c>
    </row>
    <row r="65" spans="3:23">
      <c r="C65" t="s">
        <v>187</v>
      </c>
      <c r="D65" s="2">
        <f>D64+D62</f>
        <v>8.09</v>
      </c>
      <c r="E65" s="2">
        <f>E64+E62</f>
        <v>11.25</v>
      </c>
      <c r="F65" s="2">
        <f>F64+F62</f>
        <v>17.957142857142859</v>
      </c>
      <c r="G65" t="s">
        <v>190</v>
      </c>
      <c r="J65" t="s">
        <v>204</v>
      </c>
      <c r="K65" s="674"/>
      <c r="L65">
        <f t="shared" si="7"/>
        <v>60</v>
      </c>
      <c r="M65" s="15">
        <v>497.79840000000007</v>
      </c>
      <c r="N65" s="15">
        <v>540</v>
      </c>
      <c r="O65" s="15">
        <v>582.20159999999998</v>
      </c>
      <c r="P65" s="15">
        <v>624.40320000000008</v>
      </c>
      <c r="Q65" s="15">
        <v>666.60480000000007</v>
      </c>
      <c r="R65" s="15">
        <v>708.80640000000005</v>
      </c>
      <c r="S65" s="15">
        <v>751.00800000000004</v>
      </c>
      <c r="T65" s="15">
        <v>793.20960000000002</v>
      </c>
      <c r="U65" s="15">
        <v>835.41120000000001</v>
      </c>
      <c r="V65" s="15">
        <v>877.61280000000011</v>
      </c>
      <c r="W65" s="15">
        <v>919.81439999999986</v>
      </c>
    </row>
    <row r="66" spans="3:23">
      <c r="K66" s="674"/>
      <c r="L66">
        <f t="shared" si="7"/>
        <v>65</v>
      </c>
      <c r="M66" s="15">
        <v>435.5736</v>
      </c>
      <c r="N66" s="15">
        <v>472.49999999999994</v>
      </c>
      <c r="O66" s="15">
        <v>509.42639999999994</v>
      </c>
      <c r="P66" s="15">
        <v>546.3528</v>
      </c>
      <c r="Q66" s="15">
        <v>583.27919999999995</v>
      </c>
      <c r="R66" s="15">
        <v>620.2056</v>
      </c>
      <c r="S66" s="15">
        <v>657.13199999999995</v>
      </c>
      <c r="T66" s="15">
        <v>694.05839999999989</v>
      </c>
      <c r="U66" s="15">
        <v>730.98479999999984</v>
      </c>
      <c r="V66" s="15">
        <v>767.91120000000001</v>
      </c>
      <c r="W66" s="15">
        <v>804.83759999999984</v>
      </c>
    </row>
    <row r="67" spans="3:23">
      <c r="C67" t="s">
        <v>188</v>
      </c>
      <c r="D67">
        <f t="shared" ref="D67:F68" si="8">D21</f>
        <v>100</v>
      </c>
      <c r="E67">
        <f t="shared" si="8"/>
        <v>120</v>
      </c>
      <c r="F67">
        <f t="shared" si="8"/>
        <v>140</v>
      </c>
      <c r="G67" t="s">
        <v>189</v>
      </c>
      <c r="I67" t="s">
        <v>380</v>
      </c>
      <c r="J67" t="s">
        <v>274</v>
      </c>
    </row>
    <row r="68" spans="3:23" ht="15" thickBot="1">
      <c r="C68" t="s">
        <v>277</v>
      </c>
      <c r="D68" s="144">
        <f t="shared" si="8"/>
        <v>35</v>
      </c>
      <c r="E68" s="144">
        <f t="shared" si="8"/>
        <v>30</v>
      </c>
      <c r="F68" s="144">
        <f t="shared" si="8"/>
        <v>25</v>
      </c>
      <c r="G68" t="s">
        <v>181</v>
      </c>
      <c r="I68" s="11" t="s">
        <v>380</v>
      </c>
      <c r="J68" t="s">
        <v>280</v>
      </c>
    </row>
    <row r="69" spans="3:23">
      <c r="C69" t="s">
        <v>191</v>
      </c>
      <c r="D69" s="2">
        <f>D65*D67*(1-D68/100)</f>
        <v>525.85</v>
      </c>
      <c r="E69" s="2">
        <f>E65*E67*(1-E68/100)</f>
        <v>944.99999999999989</v>
      </c>
      <c r="F69" s="2">
        <f>F65*F67*(1-F68/100)</f>
        <v>1885.5000000000005</v>
      </c>
      <c r="G69" t="s">
        <v>215</v>
      </c>
      <c r="J69" t="s">
        <v>196</v>
      </c>
    </row>
    <row r="70" spans="3:23">
      <c r="C70" s="11" t="s">
        <v>388</v>
      </c>
      <c r="D70" s="170" t="e">
        <f>$I70/D69</f>
        <v>#REF!</v>
      </c>
      <c r="E70" s="170" t="e">
        <f t="shared" ref="E70" si="9">$I70/E69</f>
        <v>#REF!</v>
      </c>
      <c r="F70" s="170" t="e">
        <f t="shared" ref="F70" si="10">$I70/F69</f>
        <v>#REF!</v>
      </c>
      <c r="G70" t="s">
        <v>181</v>
      </c>
      <c r="I70" s="15" t="e">
        <f>Tower!#REF!</f>
        <v>#REF!</v>
      </c>
    </row>
    <row r="72" spans="3:23">
      <c r="M72" s="668" t="s">
        <v>398</v>
      </c>
      <c r="N72" s="668"/>
      <c r="O72" s="668"/>
      <c r="P72" s="668"/>
      <c r="Q72" s="668"/>
      <c r="R72" s="668"/>
      <c r="S72" s="668"/>
      <c r="T72" s="668"/>
      <c r="U72" s="668"/>
      <c r="V72" s="668"/>
      <c r="W72" s="668"/>
    </row>
    <row r="73" spans="3:23">
      <c r="C73" s="673" t="s">
        <v>173</v>
      </c>
      <c r="D73" s="673"/>
      <c r="E73" s="673"/>
      <c r="F73" s="673"/>
      <c r="G73" s="673"/>
      <c r="H73" s="27"/>
      <c r="I73" s="27"/>
      <c r="J73" s="27"/>
    </row>
    <row r="74" spans="3:23">
      <c r="C74" t="s">
        <v>192</v>
      </c>
      <c r="D74">
        <v>45</v>
      </c>
      <c r="E74">
        <v>45</v>
      </c>
      <c r="F74">
        <v>45</v>
      </c>
      <c r="G74" t="s">
        <v>190</v>
      </c>
      <c r="I74" t="s">
        <v>379</v>
      </c>
      <c r="J74" t="s">
        <v>385</v>
      </c>
      <c r="M74" s="669" t="s">
        <v>396</v>
      </c>
      <c r="N74" s="669"/>
      <c r="O74" s="669"/>
      <c r="P74" s="669"/>
      <c r="Q74" s="669"/>
      <c r="R74" s="669"/>
      <c r="S74" s="669"/>
      <c r="T74" s="669"/>
      <c r="U74" s="669"/>
      <c r="V74" s="669"/>
      <c r="W74" s="669"/>
    </row>
    <row r="75" spans="3:23">
      <c r="C75" t="s">
        <v>197</v>
      </c>
      <c r="D75">
        <v>12</v>
      </c>
      <c r="E75">
        <v>12</v>
      </c>
      <c r="F75">
        <v>12</v>
      </c>
      <c r="G75" t="s">
        <v>190</v>
      </c>
      <c r="I75" t="s">
        <v>379</v>
      </c>
      <c r="J75" t="s">
        <v>194</v>
      </c>
      <c r="L75" s="163">
        <f>E87</f>
        <v>4655.8512000000001</v>
      </c>
      <c r="M75" s="162">
        <v>0.3</v>
      </c>
      <c r="N75" s="162">
        <f>M75+0.05</f>
        <v>0.35</v>
      </c>
      <c r="O75" s="162">
        <f t="shared" ref="O75:W75" si="11">N75+0.05</f>
        <v>0.39999999999999997</v>
      </c>
      <c r="P75" s="162">
        <f t="shared" si="11"/>
        <v>0.44999999999999996</v>
      </c>
      <c r="Q75" s="162">
        <f t="shared" si="11"/>
        <v>0.49999999999999994</v>
      </c>
      <c r="R75" s="162">
        <f t="shared" si="11"/>
        <v>0.54999999999999993</v>
      </c>
      <c r="S75" s="162">
        <f t="shared" si="11"/>
        <v>0.6</v>
      </c>
      <c r="T75" s="162">
        <f t="shared" si="11"/>
        <v>0.65</v>
      </c>
      <c r="U75" s="162">
        <f t="shared" si="11"/>
        <v>0.70000000000000007</v>
      </c>
      <c r="V75" s="162">
        <f t="shared" si="11"/>
        <v>0.75000000000000011</v>
      </c>
      <c r="W75" s="162">
        <f t="shared" si="11"/>
        <v>0.80000000000000016</v>
      </c>
    </row>
    <row r="76" spans="3:23" ht="15" thickBot="1">
      <c r="C76" t="s">
        <v>383</v>
      </c>
      <c r="D76" s="144">
        <v>-20</v>
      </c>
      <c r="E76" s="144">
        <v>0</v>
      </c>
      <c r="F76" s="144">
        <v>20</v>
      </c>
      <c r="G76" t="s">
        <v>181</v>
      </c>
      <c r="I76" t="s">
        <v>380</v>
      </c>
      <c r="J76" t="s">
        <v>199</v>
      </c>
      <c r="K76" s="674" t="s">
        <v>397</v>
      </c>
      <c r="L76">
        <v>4</v>
      </c>
      <c r="M76" s="15">
        <f t="dataTable" ref="M76:W88" dt2D="1" dtr="1" r1="E85" r2="E82"/>
        <v>823.68000000000006</v>
      </c>
      <c r="N76" s="15">
        <v>960.96</v>
      </c>
      <c r="O76" s="15">
        <v>1098.24</v>
      </c>
      <c r="P76" s="15">
        <v>1235.52</v>
      </c>
      <c r="Q76" s="15">
        <v>1372.8</v>
      </c>
      <c r="R76" s="15">
        <v>1510.08</v>
      </c>
      <c r="S76" s="15">
        <v>1647.3600000000001</v>
      </c>
      <c r="T76" s="15">
        <v>1784.6400000000003</v>
      </c>
      <c r="U76" s="15">
        <v>1921.9200000000005</v>
      </c>
      <c r="V76" s="15">
        <v>2059.2000000000007</v>
      </c>
      <c r="W76" s="15">
        <v>2196.4800000000009</v>
      </c>
    </row>
    <row r="77" spans="3:23">
      <c r="C77" t="s">
        <v>198</v>
      </c>
      <c r="D77">
        <f>D76/100*D75</f>
        <v>-2.4000000000000004</v>
      </c>
      <c r="E77">
        <f>E76/100*E75</f>
        <v>0</v>
      </c>
      <c r="F77">
        <f>F76/100*F75</f>
        <v>2.4000000000000004</v>
      </c>
      <c r="G77" t="s">
        <v>190</v>
      </c>
      <c r="I77" t="s">
        <v>380</v>
      </c>
      <c r="J77" t="s">
        <v>204</v>
      </c>
      <c r="K77" s="674"/>
      <c r="L77">
        <f>L76+2</f>
        <v>6</v>
      </c>
      <c r="M77" s="15">
        <v>1235.5200000000002</v>
      </c>
      <c r="N77" s="15">
        <v>1441.44</v>
      </c>
      <c r="O77" s="15">
        <v>1647.3600000000001</v>
      </c>
      <c r="P77" s="15">
        <v>1853.28</v>
      </c>
      <c r="Q77" s="15">
        <v>2059.1999999999998</v>
      </c>
      <c r="R77" s="15">
        <v>2265.12</v>
      </c>
      <c r="S77" s="15">
        <v>2471.0400000000004</v>
      </c>
      <c r="T77" s="15">
        <v>2676.9600000000005</v>
      </c>
      <c r="U77" s="15">
        <v>2882.8800000000006</v>
      </c>
      <c r="V77" s="15">
        <v>3088.8000000000011</v>
      </c>
      <c r="W77" s="15">
        <v>3294.7200000000012</v>
      </c>
    </row>
    <row r="78" spans="3:23">
      <c r="K78" s="674"/>
      <c r="L78">
        <f t="shared" ref="L78:L88" si="12">L77+2</f>
        <v>8</v>
      </c>
      <c r="M78" s="15">
        <v>1647.3600000000001</v>
      </c>
      <c r="N78" s="15">
        <v>1921.92</v>
      </c>
      <c r="O78" s="15">
        <v>2196.48</v>
      </c>
      <c r="P78" s="15">
        <v>2471.04</v>
      </c>
      <c r="Q78" s="15">
        <v>2745.6</v>
      </c>
      <c r="R78" s="15">
        <v>3020.16</v>
      </c>
      <c r="S78" s="15">
        <v>3294.7200000000003</v>
      </c>
      <c r="T78" s="15">
        <v>3569.2800000000007</v>
      </c>
      <c r="U78" s="15">
        <v>3843.8400000000011</v>
      </c>
      <c r="V78" s="15">
        <v>4118.4000000000015</v>
      </c>
      <c r="W78" s="15">
        <v>4392.9600000000019</v>
      </c>
    </row>
    <row r="79" spans="3:23">
      <c r="C79" t="s">
        <v>203</v>
      </c>
      <c r="D79" s="21">
        <f>D64</f>
        <v>-1.9100000000000001</v>
      </c>
      <c r="E79" s="21">
        <f>E64</f>
        <v>0</v>
      </c>
      <c r="F79" s="21">
        <f>F64</f>
        <v>5.1000000000000005</v>
      </c>
      <c r="G79" t="s">
        <v>190</v>
      </c>
      <c r="J79" t="s">
        <v>200</v>
      </c>
      <c r="K79" s="674"/>
      <c r="L79">
        <f t="shared" si="12"/>
        <v>10</v>
      </c>
      <c r="M79" s="15">
        <v>2059.1999999999998</v>
      </c>
      <c r="N79" s="15">
        <v>2402.3999999999996</v>
      </c>
      <c r="O79" s="15">
        <v>2745.6</v>
      </c>
      <c r="P79" s="15">
        <v>3088.7999999999997</v>
      </c>
      <c r="Q79" s="15">
        <v>3431.9999999999995</v>
      </c>
      <c r="R79" s="15">
        <v>3775.1999999999994</v>
      </c>
      <c r="S79" s="15">
        <v>4118.3999999999996</v>
      </c>
      <c r="T79" s="15">
        <v>4461.6000000000004</v>
      </c>
      <c r="U79" s="15">
        <v>4804.8</v>
      </c>
      <c r="V79" s="15">
        <v>5148.0000000000009</v>
      </c>
      <c r="W79" s="15">
        <v>5491.2000000000007</v>
      </c>
    </row>
    <row r="80" spans="3:23" ht="15" thickBot="1">
      <c r="C80" t="s">
        <v>213</v>
      </c>
      <c r="D80" s="144">
        <v>70</v>
      </c>
      <c r="E80" s="144">
        <v>80</v>
      </c>
      <c r="F80" s="144">
        <v>90</v>
      </c>
      <c r="G80" t="s">
        <v>181</v>
      </c>
      <c r="I80" t="s">
        <v>380</v>
      </c>
      <c r="J80" t="s">
        <v>214</v>
      </c>
      <c r="K80" s="674"/>
      <c r="L80">
        <f t="shared" si="12"/>
        <v>12</v>
      </c>
      <c r="M80" s="15">
        <v>2471.0400000000004</v>
      </c>
      <c r="N80" s="15">
        <v>2882.88</v>
      </c>
      <c r="O80" s="15">
        <v>3294.7200000000003</v>
      </c>
      <c r="P80" s="15">
        <v>3706.56</v>
      </c>
      <c r="Q80" s="15">
        <v>4118.3999999999996</v>
      </c>
      <c r="R80" s="15">
        <v>4530.24</v>
      </c>
      <c r="S80" s="15">
        <v>4942.0800000000008</v>
      </c>
      <c r="T80" s="15">
        <v>5353.920000000001</v>
      </c>
      <c r="U80" s="15">
        <v>5765.7600000000011</v>
      </c>
      <c r="V80" s="15">
        <v>6177.6000000000022</v>
      </c>
      <c r="W80" s="15">
        <v>6589.4400000000023</v>
      </c>
    </row>
    <row r="81" spans="2:23">
      <c r="C81" t="s">
        <v>201</v>
      </c>
      <c r="D81" s="2">
        <f>(D74-D75+D77+D79)*(D80/100)</f>
        <v>20.082999999999998</v>
      </c>
      <c r="E81" s="2">
        <f>(E74-E75+E77+E79)*(E80/100)</f>
        <v>26.400000000000002</v>
      </c>
      <c r="F81" s="2">
        <f>(F74-F75+F77+F79)*(F80/100)</f>
        <v>36.450000000000003</v>
      </c>
      <c r="G81" t="s">
        <v>190</v>
      </c>
      <c r="J81" t="s">
        <v>204</v>
      </c>
      <c r="K81" s="674"/>
      <c r="L81">
        <f t="shared" si="12"/>
        <v>14</v>
      </c>
      <c r="M81" s="15">
        <v>2882.88</v>
      </c>
      <c r="N81" s="15">
        <v>3363.36</v>
      </c>
      <c r="O81" s="15">
        <v>3843.8399999999997</v>
      </c>
      <c r="P81" s="15">
        <v>4324.32</v>
      </c>
      <c r="Q81" s="15">
        <v>4804.7999999999993</v>
      </c>
      <c r="R81" s="15">
        <v>5285.28</v>
      </c>
      <c r="S81" s="15">
        <v>5765.76</v>
      </c>
      <c r="T81" s="15">
        <v>6246.2400000000007</v>
      </c>
      <c r="U81" s="15">
        <v>6726.7200000000012</v>
      </c>
      <c r="V81" s="15">
        <v>7207.2000000000016</v>
      </c>
      <c r="W81" s="15">
        <v>7687.6800000000021</v>
      </c>
    </row>
    <row r="82" spans="2:23" ht="15" thickBot="1">
      <c r="C82" t="s">
        <v>205</v>
      </c>
      <c r="D82" s="144">
        <v>5</v>
      </c>
      <c r="E82" s="146">
        <f>1.7*0.5*7*1.9</f>
        <v>11.305</v>
      </c>
      <c r="F82" s="144">
        <v>15</v>
      </c>
      <c r="G82" t="s">
        <v>212</v>
      </c>
      <c r="I82" s="11" t="s">
        <v>380</v>
      </c>
      <c r="J82" t="s">
        <v>214</v>
      </c>
      <c r="K82" s="674"/>
      <c r="L82">
        <f t="shared" si="12"/>
        <v>16</v>
      </c>
      <c r="M82" s="15">
        <v>3294.7200000000003</v>
      </c>
      <c r="N82" s="15">
        <v>3843.84</v>
      </c>
      <c r="O82" s="15">
        <v>4392.96</v>
      </c>
      <c r="P82" s="15">
        <v>4942.08</v>
      </c>
      <c r="Q82" s="15">
        <v>5491.2</v>
      </c>
      <c r="R82" s="15">
        <v>6040.32</v>
      </c>
      <c r="S82" s="15">
        <v>6589.4400000000005</v>
      </c>
      <c r="T82" s="15">
        <v>7138.5600000000013</v>
      </c>
      <c r="U82" s="15">
        <v>7687.6800000000021</v>
      </c>
      <c r="V82" s="15">
        <v>8236.8000000000029</v>
      </c>
      <c r="W82" s="15">
        <v>8785.9200000000037</v>
      </c>
    </row>
    <row r="83" spans="2:23">
      <c r="C83" t="s">
        <v>206</v>
      </c>
      <c r="D83" s="2">
        <f>D81*D82*52</f>
        <v>5221.58</v>
      </c>
      <c r="E83" s="2">
        <f>E81*E82*52</f>
        <v>15519.504000000001</v>
      </c>
      <c r="F83" s="2">
        <f>F81*F82*52</f>
        <v>28431</v>
      </c>
      <c r="G83" t="s">
        <v>190</v>
      </c>
      <c r="J83" t="s">
        <v>204</v>
      </c>
      <c r="K83" s="674"/>
      <c r="L83">
        <f t="shared" si="12"/>
        <v>18</v>
      </c>
      <c r="M83" s="15">
        <v>3706.56</v>
      </c>
      <c r="N83" s="15">
        <v>4324.32</v>
      </c>
      <c r="O83" s="15">
        <v>4942.08</v>
      </c>
      <c r="P83" s="15">
        <v>5559.84</v>
      </c>
      <c r="Q83" s="15">
        <v>6177.5999999999995</v>
      </c>
      <c r="R83" s="15">
        <v>6795.36</v>
      </c>
      <c r="S83" s="15">
        <v>7413.12</v>
      </c>
      <c r="T83" s="15">
        <v>8030.880000000001</v>
      </c>
      <c r="U83" s="15">
        <v>8648.6400000000012</v>
      </c>
      <c r="V83" s="15">
        <v>9266.4000000000015</v>
      </c>
      <c r="W83" s="15">
        <v>9884.1600000000017</v>
      </c>
    </row>
    <row r="84" spans="2:23">
      <c r="E84" s="2"/>
      <c r="F84" s="2"/>
      <c r="K84" s="674"/>
      <c r="L84">
        <f t="shared" si="12"/>
        <v>20</v>
      </c>
      <c r="M84" s="15">
        <v>4118.3999999999996</v>
      </c>
      <c r="N84" s="15">
        <v>4804.7999999999993</v>
      </c>
      <c r="O84" s="15">
        <v>5491.2</v>
      </c>
      <c r="P84" s="15">
        <v>6177.5999999999995</v>
      </c>
      <c r="Q84" s="15">
        <v>6863.9999999999991</v>
      </c>
      <c r="R84" s="15">
        <v>7550.3999999999987</v>
      </c>
      <c r="S84" s="15">
        <v>8236.7999999999993</v>
      </c>
      <c r="T84" s="15">
        <v>8923.2000000000007</v>
      </c>
      <c r="U84" s="15">
        <v>9609.6</v>
      </c>
      <c r="V84" s="15">
        <v>10296.000000000002</v>
      </c>
      <c r="W84" s="15">
        <v>10982.400000000001</v>
      </c>
    </row>
    <row r="85" spans="2:23">
      <c r="C85" t="s">
        <v>210</v>
      </c>
      <c r="D85" s="22">
        <f>D42</f>
        <v>0.55000000000000004</v>
      </c>
      <c r="E85" s="22">
        <f>E42</f>
        <v>0.6</v>
      </c>
      <c r="F85" s="22">
        <f>F42</f>
        <v>0.65</v>
      </c>
      <c r="G85" t="s">
        <v>189</v>
      </c>
      <c r="I85" s="11" t="s">
        <v>380</v>
      </c>
      <c r="J85" t="str">
        <f>J42</f>
        <v xml:space="preserve">assumption based on prices on amzn and Costco, AMZN prices around 0.20-0.30 for cheaper, 0.80 for higher end, Costco is around 0.55 for higher end in bulk, Bernstein report has last listed price at 0.60, it may have come down since then given the pricing trend, but more information needed to fully justify this </v>
      </c>
      <c r="K85" s="674"/>
      <c r="L85">
        <f t="shared" si="12"/>
        <v>22</v>
      </c>
      <c r="M85" s="15">
        <v>4530.24</v>
      </c>
      <c r="N85" s="15">
        <v>5285.28</v>
      </c>
      <c r="O85" s="15">
        <v>6040.32</v>
      </c>
      <c r="P85" s="15">
        <v>6795.36</v>
      </c>
      <c r="Q85" s="15">
        <v>7550.4</v>
      </c>
      <c r="R85" s="15">
        <v>8305.4399999999987</v>
      </c>
      <c r="S85" s="15">
        <v>9060.48</v>
      </c>
      <c r="T85" s="15">
        <v>9815.52</v>
      </c>
      <c r="U85" s="15">
        <v>10570.560000000001</v>
      </c>
      <c r="V85" s="15">
        <v>11325.600000000002</v>
      </c>
      <c r="W85" s="15">
        <v>12080.640000000003</v>
      </c>
    </row>
    <row r="86" spans="2:23" ht="15" thickBot="1">
      <c r="C86" t="s">
        <v>281</v>
      </c>
      <c r="D86" s="146">
        <f>D45</f>
        <v>55</v>
      </c>
      <c r="E86" s="146">
        <f>E45</f>
        <v>50</v>
      </c>
      <c r="F86" s="146">
        <f>F45</f>
        <v>45</v>
      </c>
      <c r="G86" t="s">
        <v>181</v>
      </c>
      <c r="I86" t="s">
        <v>380</v>
      </c>
      <c r="J86" t="s">
        <v>282</v>
      </c>
      <c r="K86" s="674"/>
      <c r="L86">
        <f t="shared" si="12"/>
        <v>24</v>
      </c>
      <c r="M86" s="15">
        <v>4942.0800000000008</v>
      </c>
      <c r="N86" s="15">
        <v>5765.76</v>
      </c>
      <c r="O86" s="15">
        <v>6589.4400000000005</v>
      </c>
      <c r="P86" s="15">
        <v>7413.12</v>
      </c>
      <c r="Q86" s="15">
        <v>8236.7999999999993</v>
      </c>
      <c r="R86" s="15">
        <v>9060.48</v>
      </c>
      <c r="S86" s="15">
        <v>9884.1600000000017</v>
      </c>
      <c r="T86" s="15">
        <v>10707.840000000002</v>
      </c>
      <c r="U86" s="15">
        <v>11531.520000000002</v>
      </c>
      <c r="V86" s="15">
        <v>12355.200000000004</v>
      </c>
      <c r="W86" s="15">
        <v>13178.880000000005</v>
      </c>
    </row>
    <row r="87" spans="2:23">
      <c r="C87" t="s">
        <v>211</v>
      </c>
      <c r="D87" s="2">
        <f>D83*D85*(1-D86/100)</f>
        <v>1292.34105</v>
      </c>
      <c r="E87" s="2">
        <f>E83*E85*(1-E86/100)</f>
        <v>4655.8512000000001</v>
      </c>
      <c r="F87" s="2">
        <f>F83*F85*(1-F86/100)</f>
        <v>10164.082500000002</v>
      </c>
      <c r="G87" t="s">
        <v>215</v>
      </c>
      <c r="J87" t="s">
        <v>204</v>
      </c>
      <c r="K87" s="674"/>
      <c r="L87">
        <f t="shared" si="12"/>
        <v>26</v>
      </c>
      <c r="M87" s="15">
        <v>5353.92</v>
      </c>
      <c r="N87" s="15">
        <v>6246.24</v>
      </c>
      <c r="O87" s="15">
        <v>7138.56</v>
      </c>
      <c r="P87" s="15">
        <v>8030.88</v>
      </c>
      <c r="Q87" s="15">
        <v>8923.1999999999989</v>
      </c>
      <c r="R87" s="15">
        <v>9815.52</v>
      </c>
      <c r="S87" s="15">
        <v>10707.84</v>
      </c>
      <c r="T87" s="15">
        <v>11600.160000000002</v>
      </c>
      <c r="U87" s="15">
        <v>12492.480000000001</v>
      </c>
      <c r="V87" s="15">
        <v>13384.800000000003</v>
      </c>
      <c r="W87" s="15">
        <v>14277.120000000004</v>
      </c>
    </row>
    <row r="88" spans="2:23">
      <c r="C88" s="11" t="s">
        <v>392</v>
      </c>
      <c r="D88" s="170" t="e">
        <f t="shared" ref="D88" si="13">$I88/D87</f>
        <v>#REF!</v>
      </c>
      <c r="E88" s="170" t="e">
        <f t="shared" ref="E88" si="14">$I88/E87</f>
        <v>#REF!</v>
      </c>
      <c r="F88" s="170" t="e">
        <f t="shared" ref="F88" si="15">$I88/F87</f>
        <v>#REF!</v>
      </c>
      <c r="G88" t="s">
        <v>181</v>
      </c>
      <c r="I88" s="2" t="e">
        <f>Tower!#REF!</f>
        <v>#REF!</v>
      </c>
      <c r="K88" s="674"/>
      <c r="L88">
        <f t="shared" si="12"/>
        <v>28</v>
      </c>
      <c r="M88" s="15">
        <v>5765.76</v>
      </c>
      <c r="N88" s="15">
        <v>6726.72</v>
      </c>
      <c r="O88" s="15">
        <v>7687.6799999999994</v>
      </c>
      <c r="P88" s="15">
        <v>8648.64</v>
      </c>
      <c r="Q88" s="15">
        <v>9609.5999999999985</v>
      </c>
      <c r="R88" s="15">
        <v>10570.56</v>
      </c>
      <c r="S88" s="15">
        <v>11531.52</v>
      </c>
      <c r="T88" s="15">
        <v>12492.480000000001</v>
      </c>
      <c r="U88" s="15">
        <v>13453.440000000002</v>
      </c>
      <c r="V88" s="15">
        <v>14414.400000000003</v>
      </c>
      <c r="W88" s="15">
        <v>15375.360000000004</v>
      </c>
    </row>
    <row r="89" spans="2:23" ht="15" thickBot="1">
      <c r="E89" s="2"/>
    </row>
    <row r="90" spans="2:23">
      <c r="C90" s="149" t="s">
        <v>255</v>
      </c>
      <c r="D90" s="150">
        <f>D87+D69</f>
        <v>1818.1910499999999</v>
      </c>
      <c r="E90" s="150">
        <f>E87+E69</f>
        <v>5600.8512000000001</v>
      </c>
      <c r="F90" s="150">
        <f>F87+F69</f>
        <v>12049.582500000002</v>
      </c>
      <c r="G90" s="151" t="s">
        <v>216</v>
      </c>
      <c r="J90" t="s">
        <v>204</v>
      </c>
    </row>
    <row r="91" spans="2:23" ht="15" thickBot="1">
      <c r="C91" s="152" t="s">
        <v>381</v>
      </c>
      <c r="D91" s="158">
        <f>(1-D90/E90)*100*-1</f>
        <v>-67.537237018544616</v>
      </c>
      <c r="E91" s="146"/>
      <c r="F91" s="154">
        <f>(F90/E90-1)*100</f>
        <v>115.1384150323437</v>
      </c>
      <c r="G91" s="153" t="s">
        <v>181</v>
      </c>
      <c r="J91" t="s">
        <v>204</v>
      </c>
    </row>
    <row r="92" spans="2:23">
      <c r="M92" s="668" t="s">
        <v>398</v>
      </c>
      <c r="N92" s="668"/>
      <c r="O92" s="668"/>
      <c r="P92" s="668"/>
      <c r="Q92" s="668"/>
      <c r="R92" s="668"/>
      <c r="S92" s="668"/>
      <c r="T92" s="668"/>
      <c r="U92" s="668"/>
      <c r="V92" s="668"/>
      <c r="W92" s="668"/>
    </row>
    <row r="94" spans="2:23">
      <c r="M94" s="668" t="s">
        <v>421</v>
      </c>
      <c r="N94" s="668"/>
      <c r="O94" s="668"/>
      <c r="P94" s="668"/>
      <c r="Q94" s="668"/>
      <c r="R94" s="668"/>
      <c r="S94" s="668"/>
      <c r="T94" s="668"/>
      <c r="U94" s="668"/>
      <c r="V94" s="668"/>
      <c r="W94" s="668"/>
    </row>
    <row r="95" spans="2:23">
      <c r="L95" s="163">
        <f>E112</f>
        <v>9462.9219951478244</v>
      </c>
      <c r="M95" s="26">
        <v>0.35</v>
      </c>
      <c r="N95" s="165">
        <f>M95+5%</f>
        <v>0.39999999999999997</v>
      </c>
      <c r="O95" s="165">
        <f t="shared" ref="O95:W95" si="16">N95+5%</f>
        <v>0.44999999999999996</v>
      </c>
      <c r="P95" s="165">
        <f t="shared" si="16"/>
        <v>0.49999999999999994</v>
      </c>
      <c r="Q95" s="165">
        <f t="shared" si="16"/>
        <v>0.54999999999999993</v>
      </c>
      <c r="R95" s="165">
        <f t="shared" si="16"/>
        <v>0.6</v>
      </c>
      <c r="S95" s="165">
        <f t="shared" si="16"/>
        <v>0.65</v>
      </c>
      <c r="T95" s="165">
        <f t="shared" si="16"/>
        <v>0.70000000000000007</v>
      </c>
      <c r="U95" s="165">
        <f t="shared" si="16"/>
        <v>0.75000000000000011</v>
      </c>
      <c r="V95" s="165">
        <f t="shared" si="16"/>
        <v>0.80000000000000016</v>
      </c>
      <c r="W95" s="165">
        <f t="shared" si="16"/>
        <v>0.8500000000000002</v>
      </c>
    </row>
    <row r="96" spans="2:23">
      <c r="B96" s="24" t="s">
        <v>393</v>
      </c>
      <c r="C96" s="24"/>
      <c r="D96" s="24"/>
      <c r="E96" s="24"/>
      <c r="F96" s="24"/>
      <c r="G96" s="24"/>
      <c r="H96" s="24"/>
      <c r="I96" s="24"/>
      <c r="J96" s="24"/>
      <c r="L96">
        <v>20</v>
      </c>
      <c r="M96" s="15">
        <f t="dataTable" ref="M96:W107" dt2D="1" dtr="1" r1="E107" r2="E101"/>
        <v>5961.6408569431287</v>
      </c>
      <c r="N96" s="15">
        <v>6813.3038365064331</v>
      </c>
      <c r="O96" s="15">
        <v>7664.9668160697374</v>
      </c>
      <c r="P96" s="15">
        <v>8516.62979563304</v>
      </c>
      <c r="Q96" s="15">
        <v>9368.2927751963452</v>
      </c>
      <c r="R96" s="15">
        <v>10219.955754759649</v>
      </c>
      <c r="S96" s="15">
        <v>11071.618734322954</v>
      </c>
      <c r="T96" s="15">
        <v>11923.281713886259</v>
      </c>
      <c r="U96" s="15">
        <v>12774.944693449563</v>
      </c>
      <c r="V96" s="15">
        <v>13626.60767301287</v>
      </c>
      <c r="W96" s="15">
        <v>14478.270652576173</v>
      </c>
    </row>
    <row r="97" spans="3:23">
      <c r="C97" t="s">
        <v>394</v>
      </c>
      <c r="D97" s="15">
        <v>174340</v>
      </c>
      <c r="E97" s="15">
        <v>174340</v>
      </c>
      <c r="F97" s="15">
        <v>174340</v>
      </c>
      <c r="G97" t="s">
        <v>395</v>
      </c>
      <c r="J97" s="25" t="s">
        <v>404</v>
      </c>
      <c r="K97" s="674" t="s">
        <v>407</v>
      </c>
      <c r="L97">
        <f>L96-1</f>
        <v>19</v>
      </c>
      <c r="M97" s="15">
        <v>6275.4114283611889</v>
      </c>
      <c r="N97" s="15">
        <v>7171.8987752699286</v>
      </c>
      <c r="O97" s="15">
        <v>8068.386122178671</v>
      </c>
      <c r="P97" s="15">
        <v>8964.8734690874116</v>
      </c>
      <c r="Q97" s="15">
        <v>9861.3608159961532</v>
      </c>
      <c r="R97" s="15">
        <v>10757.848162904895</v>
      </c>
      <c r="S97" s="15">
        <v>11654.335509813636</v>
      </c>
      <c r="T97" s="15">
        <v>12550.82285672238</v>
      </c>
      <c r="U97" s="15">
        <v>13447.310203631121</v>
      </c>
      <c r="V97" s="15">
        <v>14343.797550539864</v>
      </c>
      <c r="W97" s="15">
        <v>15240.284897448602</v>
      </c>
    </row>
    <row r="98" spans="3:23" ht="15" thickBot="1">
      <c r="C98" t="s">
        <v>405</v>
      </c>
      <c r="D98" s="159">
        <f>1/1.3</f>
        <v>0.76923076923076916</v>
      </c>
      <c r="E98" s="159">
        <f>1/1.3</f>
        <v>0.76923076923076916</v>
      </c>
      <c r="F98" s="159">
        <f>1/1.3</f>
        <v>0.76923076923076916</v>
      </c>
      <c r="I98" t="s">
        <v>379</v>
      </c>
      <c r="J98" s="25" t="s">
        <v>429</v>
      </c>
      <c r="K98" s="674"/>
      <c r="L98">
        <f t="shared" ref="L98:L107" si="17">L97-1</f>
        <v>18</v>
      </c>
      <c r="M98" s="15">
        <v>6624.0453966034765</v>
      </c>
      <c r="N98" s="15">
        <v>7570.3375961182592</v>
      </c>
      <c r="O98" s="15">
        <v>8516.62979563304</v>
      </c>
      <c r="P98" s="15">
        <v>9462.9219951478226</v>
      </c>
      <c r="Q98" s="15">
        <v>10409.214194662605</v>
      </c>
      <c r="R98" s="15">
        <v>11355.506394177391</v>
      </c>
      <c r="S98" s="15">
        <v>12301.798593692172</v>
      </c>
      <c r="T98" s="15">
        <v>13248.090793206955</v>
      </c>
      <c r="U98" s="15">
        <v>14194.382992721739</v>
      </c>
      <c r="V98" s="15">
        <v>15140.675192236522</v>
      </c>
      <c r="W98" s="15">
        <v>16086.967391751305</v>
      </c>
    </row>
    <row r="99" spans="3:23">
      <c r="C99" t="s">
        <v>406</v>
      </c>
      <c r="D99" s="15">
        <f>D97*D98</f>
        <v>134107.69230769228</v>
      </c>
      <c r="E99" s="15">
        <f t="shared" ref="E99:F99" si="18">E97*E98</f>
        <v>134107.69230769228</v>
      </c>
      <c r="F99" s="15">
        <f t="shared" si="18"/>
        <v>134107.69230769228</v>
      </c>
      <c r="G99" t="s">
        <v>395</v>
      </c>
      <c r="J99" t="s">
        <v>204</v>
      </c>
      <c r="K99" s="674"/>
      <c r="L99">
        <f t="shared" si="17"/>
        <v>17</v>
      </c>
      <c r="M99" s="15">
        <v>7013.6951258154459</v>
      </c>
      <c r="N99" s="15">
        <v>8015.6515723605089</v>
      </c>
      <c r="O99" s="15">
        <v>9017.6080189055738</v>
      </c>
      <c r="P99" s="15">
        <v>10019.564465450636</v>
      </c>
      <c r="Q99" s="15">
        <v>11021.520911995698</v>
      </c>
      <c r="R99" s="15">
        <v>12023.477358540766</v>
      </c>
      <c r="S99" s="15">
        <v>13025.433805085828</v>
      </c>
      <c r="T99" s="15">
        <v>14027.390251630895</v>
      </c>
      <c r="U99" s="15">
        <v>15029.346698175959</v>
      </c>
      <c r="V99" s="15">
        <v>16031.30314472102</v>
      </c>
      <c r="W99" s="15">
        <v>17033.259591266087</v>
      </c>
    </row>
    <row r="100" spans="3:23">
      <c r="K100" s="674"/>
      <c r="L100">
        <f t="shared" si="17"/>
        <v>16</v>
      </c>
      <c r="M100" s="15">
        <v>7452.0510711789111</v>
      </c>
      <c r="N100" s="15">
        <v>8516.6297956330418</v>
      </c>
      <c r="O100" s="15">
        <v>9581.2085200871716</v>
      </c>
      <c r="P100" s="15">
        <v>10645.7872445413</v>
      </c>
      <c r="Q100" s="15">
        <v>11710.365968995431</v>
      </c>
      <c r="R100" s="15">
        <v>12774.944693449563</v>
      </c>
      <c r="S100" s="15">
        <v>13839.523417903694</v>
      </c>
      <c r="T100" s="15">
        <v>14904.102142357824</v>
      </c>
      <c r="U100" s="15">
        <v>15968.680866811957</v>
      </c>
      <c r="V100" s="15">
        <v>17033.259591266087</v>
      </c>
      <c r="W100" s="15">
        <v>18097.838315720219</v>
      </c>
    </row>
    <row r="101" spans="3:23">
      <c r="C101" t="s">
        <v>407</v>
      </c>
      <c r="D101">
        <v>20</v>
      </c>
      <c r="E101">
        <v>18</v>
      </c>
      <c r="F101">
        <v>16</v>
      </c>
      <c r="G101" t="s">
        <v>408</v>
      </c>
      <c r="I101" s="11" t="s">
        <v>380</v>
      </c>
      <c r="J101" s="25" t="s">
        <v>409</v>
      </c>
      <c r="K101" s="674"/>
      <c r="L101">
        <f t="shared" si="17"/>
        <v>15</v>
      </c>
      <c r="M101" s="15">
        <v>7948.8544759241722</v>
      </c>
      <c r="N101" s="15">
        <v>9084.4051153419114</v>
      </c>
      <c r="O101" s="15">
        <v>10219.955754759651</v>
      </c>
      <c r="P101" s="15">
        <v>11355.506394177388</v>
      </c>
      <c r="Q101" s="15">
        <v>12491.057033595129</v>
      </c>
      <c r="R101" s="15">
        <v>13626.607673012866</v>
      </c>
      <c r="S101" s="15">
        <v>14762.158312430609</v>
      </c>
      <c r="T101" s="15">
        <v>15897.708951848346</v>
      </c>
      <c r="U101" s="15">
        <v>17033.259591266087</v>
      </c>
      <c r="V101" s="15">
        <v>18168.810230683826</v>
      </c>
      <c r="W101" s="15">
        <v>19304.360870101566</v>
      </c>
    </row>
    <row r="102" spans="3:23">
      <c r="C102" t="s">
        <v>410</v>
      </c>
      <c r="D102" s="15">
        <f>D99*60*1000*1000/D101</f>
        <v>402323076923.07684</v>
      </c>
      <c r="E102" s="15">
        <f>E99*60*1000*1000/E101</f>
        <v>447025641025.64093</v>
      </c>
      <c r="F102" s="15">
        <f>F99*60*1000*1000/F101</f>
        <v>502903846153.84607</v>
      </c>
      <c r="G102" t="s">
        <v>411</v>
      </c>
      <c r="J102" t="s">
        <v>204</v>
      </c>
      <c r="K102" s="674"/>
      <c r="L102">
        <f t="shared" si="17"/>
        <v>14</v>
      </c>
      <c r="M102" s="15">
        <v>8516.6297956330436</v>
      </c>
      <c r="N102" s="15">
        <v>9733.2911950091911</v>
      </c>
      <c r="O102" s="15">
        <v>10949.95259438534</v>
      </c>
      <c r="P102" s="15">
        <v>12166.613993761486</v>
      </c>
      <c r="Q102" s="15">
        <v>13383.275393137639</v>
      </c>
      <c r="R102" s="15">
        <v>14599.936792513789</v>
      </c>
      <c r="S102" s="15">
        <v>15816.598191889938</v>
      </c>
      <c r="T102" s="15">
        <v>17033.259591266087</v>
      </c>
      <c r="U102" s="15">
        <v>18249.92099064224</v>
      </c>
      <c r="V102" s="15">
        <v>19466.58239001839</v>
      </c>
      <c r="W102" s="15">
        <v>20683.243789394539</v>
      </c>
    </row>
    <row r="103" spans="3:23">
      <c r="C103" t="s">
        <v>418</v>
      </c>
      <c r="D103" s="65">
        <f>27300/170233</f>
        <v>0.16036843620214647</v>
      </c>
      <c r="E103" s="65">
        <f>27300/170233</f>
        <v>0.16036843620214647</v>
      </c>
      <c r="F103" s="65">
        <f>27300/170233</f>
        <v>0.16036843620214647</v>
      </c>
      <c r="G103" t="s">
        <v>181</v>
      </c>
      <c r="I103" t="s">
        <v>379</v>
      </c>
      <c r="J103" s="25" t="s">
        <v>404</v>
      </c>
      <c r="K103" s="674"/>
      <c r="L103">
        <f t="shared" si="17"/>
        <v>13</v>
      </c>
      <c r="M103" s="15">
        <v>9171.7551645278927</v>
      </c>
      <c r="N103" s="15">
        <v>10482.005902317591</v>
      </c>
      <c r="O103" s="15">
        <v>11792.256640107289</v>
      </c>
      <c r="P103" s="15">
        <v>13102.507377896987</v>
      </c>
      <c r="Q103" s="15">
        <v>14412.758115686684</v>
      </c>
      <c r="R103" s="15">
        <v>15723.008853476387</v>
      </c>
      <c r="S103" s="15">
        <v>17033.259591266087</v>
      </c>
      <c r="T103" s="15">
        <v>18343.510329055785</v>
      </c>
      <c r="U103" s="15">
        <v>19653.761066845491</v>
      </c>
      <c r="V103" s="15">
        <v>20964.011804635189</v>
      </c>
      <c r="W103" s="15">
        <v>22274.262542424887</v>
      </c>
    </row>
    <row r="104" spans="3:23">
      <c r="C104" t="s">
        <v>419</v>
      </c>
      <c r="D104" s="15">
        <f>D102*D103</f>
        <v>64519922694.189713</v>
      </c>
      <c r="E104" s="15">
        <f>E102*E103</f>
        <v>71688802993.544128</v>
      </c>
      <c r="F104" s="15">
        <f>F102*F103</f>
        <v>80649903367.737152</v>
      </c>
      <c r="J104" t="s">
        <v>204</v>
      </c>
      <c r="K104" s="674"/>
      <c r="L104">
        <f t="shared" si="17"/>
        <v>12</v>
      </c>
      <c r="M104" s="15">
        <v>9936.0680949052166</v>
      </c>
      <c r="N104" s="15">
        <v>11355.506394177391</v>
      </c>
      <c r="O104" s="15">
        <v>12774.944693449563</v>
      </c>
      <c r="P104" s="15">
        <v>14194.382992721736</v>
      </c>
      <c r="Q104" s="15">
        <v>15613.821291993909</v>
      </c>
      <c r="R104" s="15">
        <v>17033.259591266087</v>
      </c>
      <c r="S104" s="15">
        <v>18452.69789053826</v>
      </c>
      <c r="T104" s="15">
        <v>19872.136189810433</v>
      </c>
      <c r="U104" s="15">
        <v>21291.57448908261</v>
      </c>
      <c r="V104" s="15">
        <v>22711.012788354787</v>
      </c>
      <c r="W104" s="15">
        <v>24130.451087626956</v>
      </c>
    </row>
    <row r="105" spans="3:23">
      <c r="C105" t="s">
        <v>428</v>
      </c>
      <c r="D105" s="22">
        <f>D104/(330000000*365)</f>
        <v>0.5356573075482749</v>
      </c>
      <c r="E105" s="22">
        <f>E104/(330000000*365)</f>
        <v>0.59517478616474995</v>
      </c>
      <c r="F105" s="22">
        <f>F104/(330000000*365)</f>
        <v>0.66957163443534373</v>
      </c>
      <c r="J105" t="s">
        <v>426</v>
      </c>
      <c r="K105" s="674"/>
      <c r="L105">
        <f t="shared" si="17"/>
        <v>11</v>
      </c>
      <c r="M105" s="15">
        <v>10839.347012623872</v>
      </c>
      <c r="N105" s="15">
        <v>12387.825157284426</v>
      </c>
      <c r="O105" s="15">
        <v>13936.303301944979</v>
      </c>
      <c r="P105" s="15">
        <v>15484.78144660553</v>
      </c>
      <c r="Q105" s="15">
        <v>17033.259591266084</v>
      </c>
      <c r="R105" s="15">
        <v>18581.737735926636</v>
      </c>
      <c r="S105" s="15">
        <v>20130.215880587191</v>
      </c>
      <c r="T105" s="15">
        <v>21678.694025247747</v>
      </c>
      <c r="U105" s="15">
        <v>23227.172169908303</v>
      </c>
      <c r="V105" s="15">
        <v>24775.650314568858</v>
      </c>
      <c r="W105" s="15">
        <v>26324.128459229414</v>
      </c>
    </row>
    <row r="106" spans="3:23">
      <c r="C106" t="s">
        <v>412</v>
      </c>
      <c r="D106" s="26">
        <v>0.88</v>
      </c>
      <c r="E106" s="26">
        <v>0.88</v>
      </c>
      <c r="F106" s="26">
        <v>0.88</v>
      </c>
      <c r="I106" t="s">
        <v>379</v>
      </c>
      <c r="J106" t="s">
        <v>420</v>
      </c>
      <c r="K106" s="674"/>
      <c r="L106">
        <f t="shared" si="17"/>
        <v>10</v>
      </c>
      <c r="M106" s="15">
        <v>11923.281713886257</v>
      </c>
      <c r="N106" s="15">
        <v>13626.607673012866</v>
      </c>
      <c r="O106" s="15">
        <v>15329.933632139475</v>
      </c>
      <c r="P106" s="15">
        <v>17033.25959126608</v>
      </c>
      <c r="Q106" s="15">
        <v>18736.58555039269</v>
      </c>
      <c r="R106" s="15">
        <v>20439.911509519297</v>
      </c>
      <c r="S106" s="15">
        <v>22143.237468645908</v>
      </c>
      <c r="T106" s="15">
        <v>23846.563427772518</v>
      </c>
      <c r="U106" s="15">
        <v>25549.889386899125</v>
      </c>
      <c r="V106" s="15">
        <v>27253.21534602574</v>
      </c>
      <c r="W106" s="15">
        <v>28956.541305152346</v>
      </c>
    </row>
    <row r="107" spans="3:23" ht="15" thickBot="1">
      <c r="C107" t="s">
        <v>413</v>
      </c>
      <c r="D107" s="164">
        <v>0.4</v>
      </c>
      <c r="E107" s="164">
        <v>0.5</v>
      </c>
      <c r="F107" s="164">
        <v>0.6</v>
      </c>
      <c r="I107" s="11" t="s">
        <v>380</v>
      </c>
      <c r="J107" t="s">
        <v>437</v>
      </c>
      <c r="K107" s="674"/>
      <c r="L107">
        <f t="shared" si="17"/>
        <v>9</v>
      </c>
      <c r="M107" s="15">
        <v>13248.090793206953</v>
      </c>
      <c r="N107" s="15">
        <v>15140.675192236518</v>
      </c>
      <c r="O107" s="15">
        <v>17033.25959126608</v>
      </c>
      <c r="P107" s="15">
        <v>18925.843990295645</v>
      </c>
      <c r="Q107" s="15">
        <v>20818.42838932521</v>
      </c>
      <c r="R107" s="15">
        <v>22711.012788354783</v>
      </c>
      <c r="S107" s="15">
        <v>24603.597187384345</v>
      </c>
      <c r="T107" s="15">
        <v>26496.18158641391</v>
      </c>
      <c r="U107" s="15">
        <v>28388.765985443479</v>
      </c>
      <c r="V107" s="15">
        <v>30281.350384473044</v>
      </c>
      <c r="W107" s="15">
        <v>32173.934783502609</v>
      </c>
    </row>
    <row r="108" spans="3:23">
      <c r="C108" t="s">
        <v>417</v>
      </c>
      <c r="D108" s="15">
        <f>D104*D106*D107</f>
        <v>22711012788.354782</v>
      </c>
      <c r="E108" s="15">
        <f>E104*E106*E107</f>
        <v>31543073317.159416</v>
      </c>
      <c r="F108" s="15">
        <f>F104*F106*F107</f>
        <v>42583148978.165215</v>
      </c>
      <c r="J108" t="s">
        <v>204</v>
      </c>
    </row>
    <row r="110" spans="3:23">
      <c r="C110" t="s">
        <v>414</v>
      </c>
      <c r="D110" s="22">
        <f t="shared" ref="D110:F111" si="19">D85</f>
        <v>0.55000000000000004</v>
      </c>
      <c r="E110" s="22">
        <f t="shared" si="19"/>
        <v>0.6</v>
      </c>
      <c r="F110" s="22">
        <f t="shared" si="19"/>
        <v>0.65</v>
      </c>
      <c r="G110" t="s">
        <v>189</v>
      </c>
      <c r="J110" t="s">
        <v>422</v>
      </c>
    </row>
    <row r="111" spans="3:23" ht="15" thickBot="1">
      <c r="C111" t="s">
        <v>415</v>
      </c>
      <c r="D111" s="146">
        <f t="shared" si="19"/>
        <v>55</v>
      </c>
      <c r="E111" s="146">
        <f t="shared" si="19"/>
        <v>50</v>
      </c>
      <c r="F111" s="146">
        <f t="shared" si="19"/>
        <v>45</v>
      </c>
      <c r="G111" t="s">
        <v>181</v>
      </c>
      <c r="J111" t="s">
        <v>423</v>
      </c>
    </row>
    <row r="112" spans="3:23">
      <c r="C112" t="s">
        <v>416</v>
      </c>
      <c r="D112" s="2">
        <f>D108*D110*D111/100/1000000</f>
        <v>6870.081368477322</v>
      </c>
      <c r="E112" s="2">
        <f>E108*E110*E111/100/1000000</f>
        <v>9462.9219951478244</v>
      </c>
      <c r="F112" s="2">
        <f>F108*F110*F111/100/1000000</f>
        <v>12455.571076113327</v>
      </c>
      <c r="G112" t="s">
        <v>215</v>
      </c>
      <c r="J112" t="s">
        <v>424</v>
      </c>
    </row>
    <row r="113" spans="2:13">
      <c r="C113" s="11" t="s">
        <v>392</v>
      </c>
      <c r="D113" s="170" t="e">
        <f t="shared" ref="D113" si="20">$I113/D112</f>
        <v>#REF!</v>
      </c>
      <c r="E113" s="170" t="e">
        <f t="shared" ref="E113" si="21">$I113/E112</f>
        <v>#REF!</v>
      </c>
      <c r="F113" s="170" t="e">
        <f t="shared" ref="F113" si="22">$I113/F112</f>
        <v>#REF!</v>
      </c>
      <c r="G113" t="s">
        <v>181</v>
      </c>
      <c r="I113" s="2" t="e">
        <f>Tower!#REF!</f>
        <v>#REF!</v>
      </c>
      <c r="J113" t="s">
        <v>424</v>
      </c>
    </row>
    <row r="115" spans="2:13">
      <c r="J115" t="s">
        <v>425</v>
      </c>
    </row>
    <row r="117" spans="2:13" ht="24" customHeight="1">
      <c r="K117" s="672" t="s">
        <v>435</v>
      </c>
      <c r="L117" s="672"/>
      <c r="M117" s="672"/>
    </row>
    <row r="118" spans="2:13">
      <c r="K118" s="171"/>
      <c r="L118" s="171" t="s">
        <v>430</v>
      </c>
      <c r="M118" s="171" t="s">
        <v>431</v>
      </c>
    </row>
    <row r="119" spans="2:13">
      <c r="K119" s="172" t="s">
        <v>432</v>
      </c>
      <c r="L119" s="173" t="e">
        <f>E47</f>
        <v>#REF!</v>
      </c>
      <c r="M119" s="173" t="e">
        <f>E24</f>
        <v>#REF!</v>
      </c>
    </row>
    <row r="120" spans="2:13">
      <c r="K120" s="172" t="s">
        <v>433</v>
      </c>
      <c r="L120" s="173" t="e">
        <f>E88</f>
        <v>#REF!</v>
      </c>
      <c r="M120" s="173" t="e">
        <f>E70</f>
        <v>#REF!</v>
      </c>
    </row>
    <row r="121" spans="2:13">
      <c r="K121" s="172" t="s">
        <v>393</v>
      </c>
      <c r="L121" s="173" t="e">
        <f>E113</f>
        <v>#REF!</v>
      </c>
      <c r="M121" s="148"/>
    </row>
    <row r="122" spans="2:13">
      <c r="K122" s="172"/>
      <c r="L122" s="148"/>
      <c r="M122" s="148"/>
    </row>
    <row r="123" spans="2:13">
      <c r="K123" s="172" t="s">
        <v>434</v>
      </c>
      <c r="L123" s="173" t="e">
        <f>AVERAGE(L119:L121)</f>
        <v>#REF!</v>
      </c>
      <c r="M123" s="173" t="e">
        <f>AVERAGE(M119:M121)</f>
        <v>#REF!</v>
      </c>
    </row>
    <row r="128" spans="2:13">
      <c r="B128" t="s">
        <v>386</v>
      </c>
    </row>
    <row r="129" spans="2:2">
      <c r="B129" t="s">
        <v>387</v>
      </c>
    </row>
  </sheetData>
  <mergeCells count="20">
    <mergeCell ref="M3:W3"/>
    <mergeCell ref="M25:W25"/>
    <mergeCell ref="M27:W27"/>
    <mergeCell ref="M5:W5"/>
    <mergeCell ref="K7:K16"/>
    <mergeCell ref="K117:M117"/>
    <mergeCell ref="C26:G26"/>
    <mergeCell ref="C5:G5"/>
    <mergeCell ref="M74:W74"/>
    <mergeCell ref="K29:K42"/>
    <mergeCell ref="M72:W72"/>
    <mergeCell ref="K57:K66"/>
    <mergeCell ref="M55:W55"/>
    <mergeCell ref="M53:W53"/>
    <mergeCell ref="K97:K107"/>
    <mergeCell ref="M94:W94"/>
    <mergeCell ref="M92:W92"/>
    <mergeCell ref="C73:G73"/>
    <mergeCell ref="C54:G54"/>
    <mergeCell ref="K76:K88"/>
  </mergeCells>
  <conditionalFormatting sqref="M7:W16">
    <cfRule type="colorScale" priority="5">
      <colorScale>
        <cfvo type="min"/>
        <cfvo type="percentile" val="50"/>
        <cfvo type="max"/>
        <color rgb="FFF8696B"/>
        <color rgb="FFFFEB84"/>
        <color rgb="FF63BE7B"/>
      </colorScale>
    </cfRule>
  </conditionalFormatting>
  <conditionalFormatting sqref="M29:W42">
    <cfRule type="colorScale" priority="4">
      <colorScale>
        <cfvo type="min"/>
        <cfvo type="percentile" val="50"/>
        <cfvo type="max"/>
        <color rgb="FFF8696B"/>
        <color rgb="FFFFEB84"/>
        <color rgb="FF63BE7B"/>
      </colorScale>
    </cfRule>
  </conditionalFormatting>
  <conditionalFormatting sqref="M57:W66">
    <cfRule type="colorScale" priority="3">
      <colorScale>
        <cfvo type="min"/>
        <cfvo type="percentile" val="50"/>
        <cfvo type="max"/>
        <color rgb="FFF8696B"/>
        <color rgb="FFFFEB84"/>
        <color rgb="FF63BE7B"/>
      </colorScale>
    </cfRule>
  </conditionalFormatting>
  <conditionalFormatting sqref="M76:W88">
    <cfRule type="colorScale" priority="2">
      <colorScale>
        <cfvo type="min"/>
        <cfvo type="percentile" val="50"/>
        <cfvo type="max"/>
        <color rgb="FFF8696B"/>
        <color rgb="FFFFEB84"/>
        <color rgb="FF63BE7B"/>
      </colorScale>
    </cfRule>
  </conditionalFormatting>
  <conditionalFormatting sqref="M96:W107">
    <cfRule type="colorScale" priority="1">
      <colorScale>
        <cfvo type="min"/>
        <cfvo type="percentile" val="50"/>
        <cfvo type="max"/>
        <color rgb="FFF8696B"/>
        <color rgb="FFFFEB84"/>
        <color rgb="FF63BE7B"/>
      </colorScale>
    </cfRule>
  </conditionalFormatting>
  <hyperlinks>
    <hyperlink ref="J30" r:id="rId1" location=":~:text=74%25%20of%20Americans%20drink%20coffee,of%20people%20drink%20coffee%20sometimes." xr:uid="{58E57F3F-F460-4E11-A56C-76E251BD92A8}"/>
    <hyperlink ref="J39" r:id="rId2" display="NIH " xr:uid="{F87BE614-5F6F-430F-BE1C-439829F69F28}"/>
    <hyperlink ref="J14" r:id="rId3" location=":~:text=Households%20can%20family%20members%20and,2%20million%20households%20from%202021.&amp;text=Census%20Bureau." xr:uid="{6ED34D82-3528-497B-867A-11471C98A2AC}"/>
    <hyperlink ref="J97" r:id="rId4" xr:uid="{92F7D1A2-A4C5-4533-BAC1-BE06741C8DAD}"/>
    <hyperlink ref="J98" r:id="rId5" display="Quora" xr:uid="{0321DBDF-CCE8-46B8-AAFE-1734FCDF0B32}"/>
    <hyperlink ref="J101" r:id="rId6" xr:uid="{389FD734-93ED-481E-9CB4-0340119B86C9}"/>
    <hyperlink ref="J103" r:id="rId7" xr:uid="{B8129A22-5A61-47BE-ABD6-06F6204E2F28}"/>
  </hyperlinks>
  <pageMargins left="0.7" right="0.7" top="0.75" bottom="0.75" header="0.3" footer="0.3"/>
  <pageSetup orientation="portrait" verticalDpi="1200" r:id="rId8"/>
  <customProperties>
    <customPr name="UniqueWorksheetId" r:id="rId9"/>
  </customPropertie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00BDA-F02A-4A7A-881E-F2792DC484FC}">
  <dimension ref="B1:AQ85"/>
  <sheetViews>
    <sheetView zoomScale="70" zoomScaleNormal="70" workbookViewId="0">
      <selection activeCell="AH71" sqref="AH71"/>
    </sheetView>
  </sheetViews>
  <sheetFormatPr defaultRowHeight="14.5" outlineLevelCol="1"/>
  <cols>
    <col min="2" max="2" width="3.54296875" customWidth="1"/>
    <col min="3" max="3" width="60.54296875" customWidth="1"/>
    <col min="4" max="7" width="9.453125" hidden="1" customWidth="1" outlineLevel="1"/>
    <col min="8" max="8" width="3.453125" customWidth="1" outlineLevel="1"/>
    <col min="9" max="18" width="9.453125" customWidth="1"/>
    <col min="19" max="19" width="9.1796875" customWidth="1"/>
    <col min="37" max="37" width="33.90625" customWidth="1"/>
  </cols>
  <sheetData>
    <row r="1" spans="2:39">
      <c r="R1" t="s">
        <v>636</v>
      </c>
    </row>
    <row r="2" spans="2:39">
      <c r="B2" s="143" t="s">
        <v>172</v>
      </c>
      <c r="C2" s="143"/>
      <c r="D2" s="143">
        <f t="shared" ref="D2:P2" si="0">E2-1</f>
        <v>2004</v>
      </c>
      <c r="E2" s="143">
        <f t="shared" si="0"/>
        <v>2005</v>
      </c>
      <c r="F2" s="143">
        <f t="shared" si="0"/>
        <v>2006</v>
      </c>
      <c r="G2" s="143">
        <f t="shared" si="0"/>
        <v>2007</v>
      </c>
      <c r="H2" s="143">
        <f t="shared" si="0"/>
        <v>2008</v>
      </c>
      <c r="I2" s="143">
        <f t="shared" si="0"/>
        <v>2009</v>
      </c>
      <c r="J2" s="143">
        <f t="shared" si="0"/>
        <v>2010</v>
      </c>
      <c r="K2" s="143">
        <f t="shared" si="0"/>
        <v>2011</v>
      </c>
      <c r="L2" s="143">
        <f t="shared" si="0"/>
        <v>2012</v>
      </c>
      <c r="M2" s="143">
        <f t="shared" si="0"/>
        <v>2013</v>
      </c>
      <c r="N2" s="143">
        <f t="shared" si="0"/>
        <v>2014</v>
      </c>
      <c r="O2" s="143">
        <f t="shared" si="0"/>
        <v>2015</v>
      </c>
      <c r="P2" s="143">
        <f t="shared" si="0"/>
        <v>2016</v>
      </c>
      <c r="Q2" s="143">
        <f>R2-1</f>
        <v>2017</v>
      </c>
      <c r="R2" s="143">
        <v>2018</v>
      </c>
      <c r="S2" s="143">
        <f>R2+1</f>
        <v>2019</v>
      </c>
      <c r="T2" s="143">
        <f t="shared" ref="T2:W2" si="1">S2+1</f>
        <v>2020</v>
      </c>
      <c r="U2" s="143">
        <f t="shared" si="1"/>
        <v>2021</v>
      </c>
      <c r="V2" s="143">
        <f t="shared" si="1"/>
        <v>2022</v>
      </c>
      <c r="W2" s="224">
        <f t="shared" si="1"/>
        <v>2023</v>
      </c>
      <c r="X2" s="224">
        <f>W2+1</f>
        <v>2024</v>
      </c>
      <c r="Y2" s="224">
        <f>X2+1</f>
        <v>2025</v>
      </c>
      <c r="AA2" s="11" t="s">
        <v>489</v>
      </c>
    </row>
    <row r="3" spans="2:39">
      <c r="C3" s="148" t="s">
        <v>496</v>
      </c>
      <c r="D3" s="321">
        <v>112</v>
      </c>
      <c r="E3" s="321">
        <v>113</v>
      </c>
      <c r="F3" s="321">
        <v>114</v>
      </c>
      <c r="G3" s="321">
        <v>116</v>
      </c>
      <c r="H3" s="321">
        <v>116</v>
      </c>
      <c r="I3" s="321">
        <v>117</v>
      </c>
      <c r="J3" s="321">
        <v>117</v>
      </c>
      <c r="K3" s="321">
        <v>119</v>
      </c>
      <c r="L3" s="321">
        <v>121</v>
      </c>
      <c r="M3" s="321">
        <v>122</v>
      </c>
      <c r="N3" s="321">
        <v>123</v>
      </c>
      <c r="O3" s="321">
        <v>124</v>
      </c>
      <c r="P3" s="321">
        <v>125</v>
      </c>
      <c r="Q3" s="321">
        <v>126</v>
      </c>
      <c r="R3" s="321">
        <v>128</v>
      </c>
      <c r="S3" s="321">
        <v>129</v>
      </c>
      <c r="T3" s="321">
        <v>128</v>
      </c>
      <c r="U3" s="321">
        <v>128</v>
      </c>
      <c r="V3" s="248">
        <v>129</v>
      </c>
      <c r="W3" s="248">
        <v>131</v>
      </c>
      <c r="X3" s="248">
        <v>132</v>
      </c>
      <c r="Y3" s="248">
        <v>133</v>
      </c>
      <c r="AA3" s="25" t="s">
        <v>488</v>
      </c>
    </row>
    <row r="4" spans="2:39">
      <c r="C4" s="225" t="s">
        <v>491</v>
      </c>
      <c r="D4" s="319">
        <v>0.73</v>
      </c>
      <c r="E4" s="319">
        <v>0.73</v>
      </c>
      <c r="F4" s="319">
        <v>0.73</v>
      </c>
      <c r="G4" s="319">
        <v>0.73</v>
      </c>
      <c r="H4" s="319">
        <v>0.73</v>
      </c>
      <c r="I4" s="319">
        <v>0.73</v>
      </c>
      <c r="J4" s="319">
        <v>0.73</v>
      </c>
      <c r="K4" s="319">
        <v>0.73</v>
      </c>
      <c r="L4" s="319">
        <v>0.73</v>
      </c>
      <c r="M4" s="319">
        <v>0.73</v>
      </c>
      <c r="N4" s="319">
        <v>0.73</v>
      </c>
      <c r="O4" s="319">
        <v>0.73</v>
      </c>
      <c r="P4" s="319">
        <v>0.73</v>
      </c>
      <c r="Q4" s="319">
        <v>0.73</v>
      </c>
      <c r="R4" s="314">
        <f>92/126</f>
        <v>0.73015873015873012</v>
      </c>
      <c r="S4" s="319">
        <v>0.72</v>
      </c>
      <c r="T4" s="319">
        <v>0.72</v>
      </c>
      <c r="U4" s="314">
        <f>89/128</f>
        <v>0.6953125</v>
      </c>
      <c r="V4" s="320">
        <v>0.7</v>
      </c>
      <c r="W4" s="320">
        <v>0.7</v>
      </c>
      <c r="X4" s="320">
        <v>0.7</v>
      </c>
      <c r="Y4" s="320">
        <v>0.7</v>
      </c>
      <c r="AA4" s="25"/>
    </row>
    <row r="5" spans="2:39">
      <c r="C5" s="148" t="s">
        <v>497</v>
      </c>
      <c r="D5" s="323">
        <f>D3*D4</f>
        <v>81.759999999999991</v>
      </c>
      <c r="E5" s="323">
        <f t="shared" ref="E5:L5" si="2">E3*E4</f>
        <v>82.49</v>
      </c>
      <c r="F5" s="323">
        <f t="shared" si="2"/>
        <v>83.22</v>
      </c>
      <c r="G5" s="323">
        <f t="shared" si="2"/>
        <v>84.679999999999993</v>
      </c>
      <c r="H5" s="323">
        <f t="shared" si="2"/>
        <v>84.679999999999993</v>
      </c>
      <c r="I5" s="323">
        <f t="shared" si="2"/>
        <v>85.41</v>
      </c>
      <c r="J5" s="323">
        <f t="shared" si="2"/>
        <v>85.41</v>
      </c>
      <c r="K5" s="323">
        <f t="shared" si="2"/>
        <v>86.87</v>
      </c>
      <c r="L5" s="323">
        <f t="shared" si="2"/>
        <v>88.33</v>
      </c>
      <c r="M5" s="321">
        <v>90</v>
      </c>
      <c r="N5" s="323">
        <f t="shared" ref="N5:Q5" si="3">N3*N4</f>
        <v>89.789999999999992</v>
      </c>
      <c r="O5" s="323">
        <f t="shared" si="3"/>
        <v>90.52</v>
      </c>
      <c r="P5" s="323">
        <f t="shared" si="3"/>
        <v>91.25</v>
      </c>
      <c r="Q5" s="323">
        <f t="shared" si="3"/>
        <v>91.98</v>
      </c>
      <c r="R5" s="323">
        <f>R4*R3</f>
        <v>93.460317460317455</v>
      </c>
      <c r="S5" s="323">
        <f t="shared" ref="S5:Y5" si="4">S4*S3</f>
        <v>92.88</v>
      </c>
      <c r="T5" s="323">
        <f t="shared" si="4"/>
        <v>92.16</v>
      </c>
      <c r="U5" s="323">
        <f t="shared" si="4"/>
        <v>89</v>
      </c>
      <c r="V5" s="323">
        <f t="shared" si="4"/>
        <v>90.3</v>
      </c>
      <c r="W5" s="323">
        <f t="shared" si="4"/>
        <v>91.699999999999989</v>
      </c>
      <c r="X5" s="323">
        <f t="shared" si="4"/>
        <v>92.399999999999991</v>
      </c>
      <c r="Y5" s="323">
        <f t="shared" si="4"/>
        <v>93.1</v>
      </c>
      <c r="AA5" s="25"/>
    </row>
    <row r="6" spans="2:39" s="315" customFormat="1">
      <c r="C6" s="318" t="s">
        <v>686</v>
      </c>
      <c r="D6" s="322"/>
      <c r="E6" s="322"/>
      <c r="F6" s="322"/>
      <c r="G6" s="322"/>
      <c r="H6" s="338">
        <v>0.03</v>
      </c>
      <c r="I6" s="417">
        <v>0.08</v>
      </c>
      <c r="J6" s="417">
        <v>0.17</v>
      </c>
      <c r="K6" s="338">
        <v>0.26</v>
      </c>
      <c r="L6" s="338">
        <v>0.3</v>
      </c>
      <c r="M6" s="338">
        <v>0.32</v>
      </c>
      <c r="N6" s="338">
        <v>0.34</v>
      </c>
      <c r="O6" s="338">
        <v>0.36</v>
      </c>
      <c r="P6" s="338">
        <v>0.38</v>
      </c>
      <c r="Q6" s="338">
        <v>0.4</v>
      </c>
      <c r="R6" s="418">
        <f>R8/R5</f>
        <v>0.40658967391304351</v>
      </c>
      <c r="S6" s="314">
        <v>0.44</v>
      </c>
      <c r="T6" s="314">
        <v>0.45</v>
      </c>
      <c r="U6" s="314">
        <v>0.45</v>
      </c>
      <c r="V6" s="314">
        <v>0.5</v>
      </c>
      <c r="W6" s="366">
        <f>V6+W7</f>
        <v>0.5</v>
      </c>
      <c r="X6" s="366">
        <f t="shared" ref="X6:Y6" si="5">W6+X7</f>
        <v>0.5</v>
      </c>
      <c r="Y6" s="366">
        <f t="shared" si="5"/>
        <v>0.5</v>
      </c>
    </row>
    <row r="7" spans="2:39" s="315" customFormat="1">
      <c r="C7" s="318" t="s">
        <v>640</v>
      </c>
      <c r="D7" s="322"/>
      <c r="E7" s="322"/>
      <c r="F7" s="322"/>
      <c r="G7" s="322"/>
      <c r="H7" s="338"/>
      <c r="I7" s="338"/>
      <c r="J7" s="338">
        <f>J6-I6</f>
        <v>9.0000000000000011E-2</v>
      </c>
      <c r="K7" s="338">
        <f t="shared" ref="K7:V7" si="6">K6-J6</f>
        <v>0.09</v>
      </c>
      <c r="L7" s="338">
        <f t="shared" si="6"/>
        <v>3.999999999999998E-2</v>
      </c>
      <c r="M7" s="338">
        <f t="shared" si="6"/>
        <v>2.0000000000000018E-2</v>
      </c>
      <c r="N7" s="338">
        <f t="shared" si="6"/>
        <v>2.0000000000000018E-2</v>
      </c>
      <c r="O7" s="338">
        <f t="shared" si="6"/>
        <v>1.9999999999999962E-2</v>
      </c>
      <c r="P7" s="338">
        <f t="shared" si="6"/>
        <v>2.0000000000000018E-2</v>
      </c>
      <c r="Q7" s="338">
        <f t="shared" si="6"/>
        <v>2.0000000000000018E-2</v>
      </c>
      <c r="R7" s="338">
        <f t="shared" si="6"/>
        <v>6.5896739130434923E-3</v>
      </c>
      <c r="S7" s="338">
        <f t="shared" si="6"/>
        <v>3.3410326086956488E-2</v>
      </c>
      <c r="T7" s="338">
        <f>T6-S6</f>
        <v>1.0000000000000009E-2</v>
      </c>
      <c r="U7" s="338">
        <f>U6-T6</f>
        <v>0</v>
      </c>
      <c r="V7" s="338">
        <f t="shared" si="6"/>
        <v>4.9999999999999989E-2</v>
      </c>
      <c r="W7" s="365">
        <v>0</v>
      </c>
      <c r="X7" s="365">
        <v>0</v>
      </c>
      <c r="Y7" s="365">
        <v>0</v>
      </c>
      <c r="AA7" s="367" t="s">
        <v>641</v>
      </c>
    </row>
    <row r="8" spans="2:39">
      <c r="C8" s="222" t="s">
        <v>499</v>
      </c>
      <c r="D8" s="423"/>
      <c r="E8" s="423"/>
      <c r="F8" s="423"/>
      <c r="G8" s="423"/>
      <c r="H8" s="423">
        <f>G17</f>
        <v>0</v>
      </c>
      <c r="I8" s="339">
        <f>I39</f>
        <v>1.9</v>
      </c>
      <c r="J8" s="323">
        <f t="shared" ref="J8:Q8" si="7">I17</f>
        <v>5.2403999999999993</v>
      </c>
      <c r="K8" s="323">
        <f t="shared" si="7"/>
        <v>7.6454879999999994</v>
      </c>
      <c r="L8" s="339">
        <f>L39</f>
        <v>11</v>
      </c>
      <c r="M8" s="339">
        <f>M39</f>
        <v>16</v>
      </c>
      <c r="N8" s="339">
        <f>N39</f>
        <v>20</v>
      </c>
      <c r="O8" s="323">
        <f t="shared" si="7"/>
        <v>23.791599999999999</v>
      </c>
      <c r="P8" s="323">
        <f t="shared" si="7"/>
        <v>27.460735999999997</v>
      </c>
      <c r="Q8" s="323">
        <f t="shared" si="7"/>
        <v>32.28809184</v>
      </c>
      <c r="R8" s="339">
        <v>38</v>
      </c>
      <c r="S8" s="323">
        <f>R17</f>
        <v>41.773015873015872</v>
      </c>
      <c r="T8" s="323">
        <f>S17</f>
        <v>44.903441183505045</v>
      </c>
      <c r="U8" s="339">
        <v>45</v>
      </c>
      <c r="V8" s="323">
        <f>U17</f>
        <v>47.2</v>
      </c>
      <c r="W8" s="323">
        <f>V17</f>
        <v>49.274000000000001</v>
      </c>
      <c r="X8" s="323">
        <f>W17</f>
        <v>51.246780000000001</v>
      </c>
      <c r="Y8" s="323">
        <f>X17</f>
        <v>52.831376599999999</v>
      </c>
      <c r="AA8" s="25" t="s">
        <v>490</v>
      </c>
      <c r="AB8" s="25" t="s">
        <v>492</v>
      </c>
      <c r="AC8" t="s">
        <v>506</v>
      </c>
    </row>
    <row r="9" spans="2:39">
      <c r="C9" s="228" t="s">
        <v>504</v>
      </c>
      <c r="D9" s="322"/>
      <c r="E9" s="322"/>
      <c r="F9" s="322"/>
      <c r="G9" s="322"/>
      <c r="H9" s="340">
        <v>3.5</v>
      </c>
      <c r="I9" s="419">
        <v>4</v>
      </c>
      <c r="J9" s="419">
        <v>3.5</v>
      </c>
      <c r="K9" s="419">
        <v>3.1683956226724028</v>
      </c>
      <c r="L9" s="419">
        <v>3.303364248475166</v>
      </c>
      <c r="M9" s="419">
        <v>2.6108761992674858</v>
      </c>
      <c r="N9" s="419">
        <v>2.98</v>
      </c>
      <c r="O9" s="419">
        <v>4.6928643582620406</v>
      </c>
      <c r="P9" s="419">
        <f t="shared" ref="P9:Q9" si="8">O9</f>
        <v>4.6928643582620406</v>
      </c>
      <c r="Q9" s="419">
        <f t="shared" si="8"/>
        <v>4.6928643582620406</v>
      </c>
      <c r="R9" s="419">
        <v>4.9988211543770102</v>
      </c>
      <c r="S9" s="361">
        <v>4.5</v>
      </c>
      <c r="T9" s="361">
        <v>2.9345248460490407</v>
      </c>
      <c r="U9" s="361">
        <v>3.0885692254108532</v>
      </c>
      <c r="V9" s="361">
        <v>3.4141554403885963</v>
      </c>
      <c r="W9" s="361">
        <v>4</v>
      </c>
      <c r="X9" s="361">
        <v>4.5</v>
      </c>
      <c r="Y9" s="361">
        <v>5</v>
      </c>
      <c r="AA9" s="368" t="s">
        <v>922</v>
      </c>
      <c r="AB9" s="25"/>
    </row>
    <row r="10" spans="2:39">
      <c r="C10" s="228" t="s">
        <v>565</v>
      </c>
      <c r="D10" s="322"/>
      <c r="E10" s="322"/>
      <c r="F10" s="322"/>
      <c r="G10" s="322"/>
      <c r="H10" s="341">
        <f t="shared" ref="H10:Q10" si="9">H8/H9</f>
        <v>0</v>
      </c>
      <c r="I10" s="341">
        <f>I8/I9</f>
        <v>0.47499999999999998</v>
      </c>
      <c r="J10" s="341">
        <f t="shared" si="9"/>
        <v>1.4972571428571426</v>
      </c>
      <c r="K10" s="341">
        <f t="shared" si="9"/>
        <v>2.4130471413640464</v>
      </c>
      <c r="L10" s="341">
        <f t="shared" si="9"/>
        <v>3.3299385634138301</v>
      </c>
      <c r="M10" s="341">
        <f t="shared" si="9"/>
        <v>6.1282109065489205</v>
      </c>
      <c r="N10" s="341">
        <f t="shared" si="9"/>
        <v>6.7114093959731544</v>
      </c>
      <c r="O10" s="341">
        <f t="shared" si="9"/>
        <v>5.069739541504882</v>
      </c>
      <c r="P10" s="341">
        <f t="shared" si="9"/>
        <v>5.8515938036124764</v>
      </c>
      <c r="Q10" s="341">
        <f t="shared" si="9"/>
        <v>6.8802525227806921</v>
      </c>
      <c r="R10" s="341">
        <f>R8/R9</f>
        <v>7.6017922679083805</v>
      </c>
      <c r="S10" s="341">
        <f t="shared" ref="S10:Y10" si="10">S8/S9</f>
        <v>9.2828924162257493</v>
      </c>
      <c r="T10" s="341">
        <f>T8/T9</f>
        <v>15.30177576923969</v>
      </c>
      <c r="U10" s="341">
        <f t="shared" si="10"/>
        <v>14.56985313127114</v>
      </c>
      <c r="V10" s="341">
        <f t="shared" si="10"/>
        <v>13.824795274882897</v>
      </c>
      <c r="W10" s="341">
        <f t="shared" si="10"/>
        <v>12.3185</v>
      </c>
      <c r="X10" s="341">
        <f t="shared" si="10"/>
        <v>11.388173333333334</v>
      </c>
      <c r="Y10" s="341">
        <f t="shared" si="10"/>
        <v>10.566275319999999</v>
      </c>
      <c r="AA10" s="368"/>
      <c r="AB10" s="25"/>
    </row>
    <row r="11" spans="2:39">
      <c r="C11" s="231" t="s">
        <v>505</v>
      </c>
      <c r="D11" s="358"/>
      <c r="E11" s="358"/>
      <c r="F11" s="358"/>
      <c r="G11" s="358"/>
      <c r="H11" s="342">
        <v>0.9</v>
      </c>
      <c r="I11" s="342">
        <v>0.9</v>
      </c>
      <c r="J11" s="342">
        <v>0.9</v>
      </c>
      <c r="K11" s="342">
        <v>0.9</v>
      </c>
      <c r="L11" s="342">
        <v>0.9</v>
      </c>
      <c r="M11" s="342">
        <v>0.9</v>
      </c>
      <c r="N11" s="342">
        <v>0.9</v>
      </c>
      <c r="O11" s="342">
        <v>0.9</v>
      </c>
      <c r="P11" s="342">
        <v>0.9</v>
      </c>
      <c r="Q11" s="342">
        <v>0.9</v>
      </c>
      <c r="R11" s="342">
        <v>0.9</v>
      </c>
      <c r="S11" s="342">
        <v>0.9</v>
      </c>
      <c r="T11" s="342">
        <v>0.9</v>
      </c>
      <c r="U11" s="342">
        <v>0.9</v>
      </c>
      <c r="V11" s="342">
        <v>0.9</v>
      </c>
      <c r="W11" s="342">
        <v>0.9</v>
      </c>
      <c r="X11" s="342">
        <v>0.9</v>
      </c>
      <c r="Y11" s="342">
        <v>0.9</v>
      </c>
      <c r="AA11" s="368" t="s">
        <v>700</v>
      </c>
      <c r="AB11" s="25"/>
    </row>
    <row r="12" spans="2:39">
      <c r="C12" s="232" t="s">
        <v>502</v>
      </c>
      <c r="D12" s="343"/>
      <c r="E12" s="343"/>
      <c r="F12" s="343"/>
      <c r="G12" s="343"/>
      <c r="H12" s="344">
        <f t="shared" ref="H12:Q12" si="11">H10*H11</f>
        <v>0</v>
      </c>
      <c r="I12" s="344">
        <f t="shared" si="11"/>
        <v>0.42749999999999999</v>
      </c>
      <c r="J12" s="344">
        <f t="shared" si="11"/>
        <v>1.3475314285714284</v>
      </c>
      <c r="K12" s="344">
        <f t="shared" si="11"/>
        <v>2.1717424272276418</v>
      </c>
      <c r="L12" s="344">
        <f t="shared" si="11"/>
        <v>2.9969447070724473</v>
      </c>
      <c r="M12" s="344">
        <f t="shared" si="11"/>
        <v>5.5153898158940287</v>
      </c>
      <c r="N12" s="344">
        <f t="shared" si="11"/>
        <v>6.0402684563758395</v>
      </c>
      <c r="O12" s="344">
        <f t="shared" si="11"/>
        <v>4.5627655873543942</v>
      </c>
      <c r="P12" s="344">
        <f t="shared" si="11"/>
        <v>5.266434423251229</v>
      </c>
      <c r="Q12" s="344">
        <f t="shared" si="11"/>
        <v>6.1922272705026229</v>
      </c>
      <c r="R12" s="344">
        <f>R10*R11</f>
        <v>6.8416130411175429</v>
      </c>
      <c r="S12" s="344">
        <f t="shared" ref="S12:Y12" si="12">S10*S11</f>
        <v>8.3546031746031755</v>
      </c>
      <c r="T12" s="344">
        <f>T10*T11</f>
        <v>13.771598192315722</v>
      </c>
      <c r="U12" s="344">
        <f t="shared" si="12"/>
        <v>13.112867818144027</v>
      </c>
      <c r="V12" s="344">
        <f t="shared" si="12"/>
        <v>12.442315747394607</v>
      </c>
      <c r="W12" s="344">
        <f t="shared" si="12"/>
        <v>11.086650000000001</v>
      </c>
      <c r="X12" s="344">
        <f t="shared" si="12"/>
        <v>10.249356000000001</v>
      </c>
      <c r="Y12" s="344">
        <f t="shared" si="12"/>
        <v>9.5096477879999988</v>
      </c>
      <c r="AA12" s="368"/>
      <c r="AB12" s="25"/>
    </row>
    <row r="13" spans="2:39">
      <c r="C13" s="232" t="s">
        <v>498</v>
      </c>
      <c r="D13" s="343"/>
      <c r="E13" s="343"/>
      <c r="F13" s="343"/>
      <c r="G13" s="343"/>
      <c r="H13" s="344">
        <v>1</v>
      </c>
      <c r="I13" s="344">
        <v>0</v>
      </c>
      <c r="J13" s="344">
        <v>0</v>
      </c>
      <c r="K13" s="344">
        <v>0</v>
      </c>
      <c r="L13" s="344">
        <v>1</v>
      </c>
      <c r="M13" s="344">
        <v>1</v>
      </c>
      <c r="N13" s="344">
        <v>1</v>
      </c>
      <c r="O13" s="344">
        <v>1</v>
      </c>
      <c r="P13" s="344">
        <v>1</v>
      </c>
      <c r="Q13" s="344">
        <v>1</v>
      </c>
      <c r="R13" s="344">
        <v>1</v>
      </c>
      <c r="S13" s="345">
        <f>(S3-R3)*S4*S6</f>
        <v>0.31679999999999997</v>
      </c>
      <c r="T13" s="345">
        <f>(T3-S3)*T4*T6</f>
        <v>-0.32400000000000001</v>
      </c>
      <c r="U13" s="345">
        <f t="shared" ref="U13:Y13" si="13">(U3-T3)*U4*U6</f>
        <v>0</v>
      </c>
      <c r="V13" s="345">
        <f t="shared" si="13"/>
        <v>0.35</v>
      </c>
      <c r="W13" s="345">
        <f t="shared" si="13"/>
        <v>0.7</v>
      </c>
      <c r="X13" s="345">
        <f t="shared" si="13"/>
        <v>0.35</v>
      </c>
      <c r="Y13" s="345">
        <f t="shared" si="13"/>
        <v>0.35</v>
      </c>
      <c r="AA13" s="368"/>
      <c r="AB13" s="25"/>
    </row>
    <row r="14" spans="2:39">
      <c r="C14" s="233" t="s">
        <v>501</v>
      </c>
      <c r="D14" s="346"/>
      <c r="E14" s="346"/>
      <c r="F14" s="346"/>
      <c r="G14" s="346"/>
      <c r="H14" s="347">
        <f t="shared" ref="H14:Q14" si="14">H5-H8</f>
        <v>84.679999999999993</v>
      </c>
      <c r="I14" s="347">
        <f t="shared" si="14"/>
        <v>83.509999999999991</v>
      </c>
      <c r="J14" s="347">
        <f t="shared" si="14"/>
        <v>80.169600000000003</v>
      </c>
      <c r="K14" s="347">
        <f t="shared" si="14"/>
        <v>79.224512000000004</v>
      </c>
      <c r="L14" s="347">
        <f t="shared" si="14"/>
        <v>77.33</v>
      </c>
      <c r="M14" s="347">
        <f t="shared" si="14"/>
        <v>74</v>
      </c>
      <c r="N14" s="347">
        <f t="shared" si="14"/>
        <v>69.789999999999992</v>
      </c>
      <c r="O14" s="347">
        <f t="shared" si="14"/>
        <v>66.728399999999993</v>
      </c>
      <c r="P14" s="347">
        <f t="shared" si="14"/>
        <v>63.789264000000003</v>
      </c>
      <c r="Q14" s="347">
        <f t="shared" si="14"/>
        <v>59.691908160000004</v>
      </c>
      <c r="R14" s="347">
        <f t="shared" ref="R14:Y14" si="15">R5-R8</f>
        <v>55.460317460317455</v>
      </c>
      <c r="S14" s="347">
        <f t="shared" si="15"/>
        <v>51.106984126984123</v>
      </c>
      <c r="T14" s="347">
        <f t="shared" si="15"/>
        <v>47.256558816494952</v>
      </c>
      <c r="U14" s="347">
        <f t="shared" si="15"/>
        <v>44</v>
      </c>
      <c r="V14" s="347">
        <f t="shared" si="15"/>
        <v>43.099999999999994</v>
      </c>
      <c r="W14" s="347">
        <f t="shared" si="15"/>
        <v>42.425999999999988</v>
      </c>
      <c r="X14" s="347">
        <f t="shared" si="15"/>
        <v>41.15321999999999</v>
      </c>
      <c r="Y14" s="347">
        <f t="shared" si="15"/>
        <v>40.268623399999996</v>
      </c>
      <c r="AA14" s="368"/>
    </row>
    <row r="15" spans="2:39">
      <c r="C15" s="231" t="s">
        <v>487</v>
      </c>
      <c r="D15" s="358"/>
      <c r="E15" s="358"/>
      <c r="F15" s="358"/>
      <c r="G15" s="358"/>
      <c r="H15" s="348">
        <v>0.04</v>
      </c>
      <c r="I15" s="348">
        <v>0.04</v>
      </c>
      <c r="J15" s="348">
        <v>0.03</v>
      </c>
      <c r="K15" s="348">
        <v>3.7999999999999999E-2</v>
      </c>
      <c r="L15" s="348">
        <v>0.05</v>
      </c>
      <c r="M15" s="348">
        <v>0.04</v>
      </c>
      <c r="N15" s="348">
        <v>0.04</v>
      </c>
      <c r="O15" s="348">
        <v>0.04</v>
      </c>
      <c r="P15" s="348">
        <v>0.06</v>
      </c>
      <c r="Q15" s="348">
        <v>0.06</v>
      </c>
      <c r="R15" s="348">
        <v>0.05</v>
      </c>
      <c r="S15" s="348">
        <v>5.5053636182057483E-2</v>
      </c>
      <c r="T15" s="348">
        <v>0.01</v>
      </c>
      <c r="U15" s="348">
        <v>0.05</v>
      </c>
      <c r="V15" s="348">
        <v>0.04</v>
      </c>
      <c r="W15" s="363">
        <v>0.03</v>
      </c>
      <c r="X15" s="363">
        <v>0.03</v>
      </c>
      <c r="Y15" s="363">
        <v>0.03</v>
      </c>
      <c r="Z15" s="148"/>
      <c r="AA15" s="368" t="s">
        <v>701</v>
      </c>
      <c r="AB15" s="148"/>
      <c r="AC15" s="148"/>
      <c r="AD15" s="148"/>
      <c r="AE15" s="148"/>
      <c r="AF15" s="148"/>
      <c r="AG15" s="148"/>
      <c r="AH15" s="148"/>
      <c r="AI15" s="148"/>
      <c r="AJ15" s="148"/>
      <c r="AK15" s="148"/>
      <c r="AL15" s="148"/>
      <c r="AM15" s="148"/>
    </row>
    <row r="16" spans="2:39" ht="15" thickBot="1">
      <c r="C16" s="234" t="s">
        <v>500</v>
      </c>
      <c r="D16" s="349"/>
      <c r="E16" s="349"/>
      <c r="F16" s="349"/>
      <c r="G16" s="349"/>
      <c r="H16" s="350">
        <f t="shared" ref="H16:Q16" si="16">H14*H15</f>
        <v>3.3872</v>
      </c>
      <c r="I16" s="350">
        <f t="shared" si="16"/>
        <v>3.3403999999999998</v>
      </c>
      <c r="J16" s="350">
        <f t="shared" si="16"/>
        <v>2.4050880000000001</v>
      </c>
      <c r="K16" s="350">
        <f t="shared" si="16"/>
        <v>3.0105314560000003</v>
      </c>
      <c r="L16" s="350">
        <f t="shared" si="16"/>
        <v>3.8665000000000003</v>
      </c>
      <c r="M16" s="350">
        <f t="shared" si="16"/>
        <v>2.96</v>
      </c>
      <c r="N16" s="350">
        <f t="shared" si="16"/>
        <v>2.7915999999999999</v>
      </c>
      <c r="O16" s="350">
        <f t="shared" si="16"/>
        <v>2.669136</v>
      </c>
      <c r="P16" s="350">
        <f t="shared" si="16"/>
        <v>3.8273558400000001</v>
      </c>
      <c r="Q16" s="350">
        <f t="shared" si="16"/>
        <v>3.5815144896</v>
      </c>
      <c r="R16" s="350">
        <f>R14*R15</f>
        <v>2.7730158730158729</v>
      </c>
      <c r="S16" s="350">
        <f t="shared" ref="S16:Y16" si="17">S14*S15</f>
        <v>2.8136253104891704</v>
      </c>
      <c r="T16" s="350">
        <f t="shared" si="17"/>
        <v>0.47256558816494953</v>
      </c>
      <c r="U16" s="350">
        <f t="shared" si="17"/>
        <v>2.2000000000000002</v>
      </c>
      <c r="V16" s="350">
        <f t="shared" si="17"/>
        <v>1.7239999999999998</v>
      </c>
      <c r="W16" s="350">
        <f t="shared" si="17"/>
        <v>1.2727799999999996</v>
      </c>
      <c r="X16" s="350">
        <f t="shared" si="17"/>
        <v>1.2345965999999997</v>
      </c>
      <c r="Y16" s="350">
        <f t="shared" si="17"/>
        <v>1.2080587019999998</v>
      </c>
      <c r="Z16" s="148"/>
      <c r="AA16" s="368"/>
      <c r="AB16" s="148"/>
      <c r="AC16" s="148"/>
      <c r="AD16" s="148"/>
      <c r="AE16" s="148"/>
      <c r="AF16" s="148"/>
      <c r="AG16" s="148"/>
      <c r="AH16" s="148"/>
      <c r="AI16" s="148"/>
      <c r="AJ16" s="148"/>
      <c r="AK16" s="148"/>
      <c r="AL16" s="148"/>
      <c r="AM16" s="148"/>
    </row>
    <row r="17" spans="3:39" ht="15.5" thickTop="1" thickBot="1">
      <c r="C17" s="235" t="s">
        <v>503</v>
      </c>
      <c r="D17" s="351"/>
      <c r="E17" s="351"/>
      <c r="F17" s="351"/>
      <c r="G17" s="351"/>
      <c r="H17" s="352">
        <f t="shared" ref="H17:Q17" si="18">H8+H13+H16</f>
        <v>4.3872</v>
      </c>
      <c r="I17" s="352">
        <f t="shared" si="18"/>
        <v>5.2403999999999993</v>
      </c>
      <c r="J17" s="352">
        <f t="shared" si="18"/>
        <v>7.6454879999999994</v>
      </c>
      <c r="K17" s="352">
        <f t="shared" si="18"/>
        <v>10.656019455999999</v>
      </c>
      <c r="L17" s="352">
        <f t="shared" si="18"/>
        <v>15.8665</v>
      </c>
      <c r="M17" s="352">
        <f t="shared" si="18"/>
        <v>19.96</v>
      </c>
      <c r="N17" s="352">
        <f t="shared" si="18"/>
        <v>23.791599999999999</v>
      </c>
      <c r="O17" s="352">
        <f t="shared" si="18"/>
        <v>27.460735999999997</v>
      </c>
      <c r="P17" s="352">
        <f t="shared" si="18"/>
        <v>32.28809184</v>
      </c>
      <c r="Q17" s="352">
        <f t="shared" si="18"/>
        <v>36.869606329600003</v>
      </c>
      <c r="R17" s="352">
        <f>R8+R13+R16</f>
        <v>41.773015873015872</v>
      </c>
      <c r="S17" s="352">
        <f t="shared" ref="S17:Y17" si="19">S8+S13+S16</f>
        <v>44.903441183505045</v>
      </c>
      <c r="T17" s="352">
        <f t="shared" si="19"/>
        <v>45.052006771669994</v>
      </c>
      <c r="U17" s="352">
        <f t="shared" si="19"/>
        <v>47.2</v>
      </c>
      <c r="V17" s="352">
        <f t="shared" si="19"/>
        <v>49.274000000000001</v>
      </c>
      <c r="W17" s="352">
        <f t="shared" si="19"/>
        <v>51.246780000000001</v>
      </c>
      <c r="X17" s="352">
        <f t="shared" si="19"/>
        <v>52.831376599999999</v>
      </c>
      <c r="Y17" s="352">
        <f t="shared" si="19"/>
        <v>54.389435302000003</v>
      </c>
      <c r="Z17" s="148"/>
      <c r="AA17" s="368" t="s">
        <v>769</v>
      </c>
      <c r="AB17" s="148"/>
      <c r="AC17" s="148"/>
      <c r="AD17" s="148"/>
      <c r="AE17" s="148"/>
      <c r="AF17" s="148"/>
      <c r="AG17" s="148"/>
      <c r="AH17" s="148"/>
      <c r="AI17" s="148"/>
      <c r="AJ17" s="148"/>
      <c r="AK17" s="148"/>
      <c r="AL17" s="148"/>
      <c r="AM17" s="148"/>
    </row>
    <row r="18" spans="3:39" ht="15" thickTop="1">
      <c r="C18" s="232" t="s">
        <v>703</v>
      </c>
      <c r="D18" s="343"/>
      <c r="E18" s="343"/>
      <c r="F18" s="343"/>
      <c r="G18" s="343"/>
      <c r="H18" s="353">
        <f t="shared" ref="H18:Q18" si="20">H12+H16+H13</f>
        <v>4.3872</v>
      </c>
      <c r="I18" s="353">
        <f t="shared" si="20"/>
        <v>3.7679</v>
      </c>
      <c r="J18" s="353">
        <f t="shared" si="20"/>
        <v>3.7526194285714283</v>
      </c>
      <c r="K18" s="353">
        <f t="shared" si="20"/>
        <v>5.1822738832276425</v>
      </c>
      <c r="L18" s="353">
        <f t="shared" si="20"/>
        <v>7.863444707072448</v>
      </c>
      <c r="M18" s="353">
        <f t="shared" si="20"/>
        <v>9.4753898158940295</v>
      </c>
      <c r="N18" s="353">
        <f t="shared" si="20"/>
        <v>9.8318684563758403</v>
      </c>
      <c r="O18" s="353">
        <f t="shared" si="20"/>
        <v>8.2319015873543933</v>
      </c>
      <c r="P18" s="353">
        <f t="shared" si="20"/>
        <v>10.093790263251229</v>
      </c>
      <c r="Q18" s="353">
        <f t="shared" si="20"/>
        <v>10.773741760102624</v>
      </c>
      <c r="R18" s="353">
        <f>R12+R16+R13</f>
        <v>10.614628914133416</v>
      </c>
      <c r="S18" s="353">
        <f t="shared" ref="S18:Y18" si="21">S12+S16+S13</f>
        <v>11.485028485092347</v>
      </c>
      <c r="T18" s="353">
        <f>T12+T16+T13</f>
        <v>13.920163780480671</v>
      </c>
      <c r="U18" s="353">
        <f t="shared" si="21"/>
        <v>15.312867818144028</v>
      </c>
      <c r="V18" s="353">
        <f t="shared" si="21"/>
        <v>14.516315747394607</v>
      </c>
      <c r="W18" s="353">
        <f t="shared" si="21"/>
        <v>13.059429999999999</v>
      </c>
      <c r="X18" s="353">
        <f t="shared" si="21"/>
        <v>11.8339526</v>
      </c>
      <c r="Y18" s="353">
        <f t="shared" si="21"/>
        <v>11.067706489999997</v>
      </c>
      <c r="Z18" s="148"/>
      <c r="AA18" s="368"/>
      <c r="AB18" s="148"/>
      <c r="AC18" s="148"/>
      <c r="AD18" s="148"/>
      <c r="AE18" s="148"/>
      <c r="AF18" s="148"/>
      <c r="AG18" s="148"/>
      <c r="AH18" s="148"/>
      <c r="AI18" s="148"/>
      <c r="AJ18" s="148"/>
      <c r="AK18" s="148"/>
      <c r="AL18" s="148"/>
      <c r="AM18" s="148"/>
    </row>
    <row r="19" spans="3:39" s="83" customFormat="1">
      <c r="C19" s="424" t="s">
        <v>702</v>
      </c>
      <c r="D19" s="358"/>
      <c r="E19" s="358"/>
      <c r="F19" s="358"/>
      <c r="G19" s="358"/>
      <c r="H19" s="425"/>
      <c r="I19" s="425"/>
      <c r="J19" s="425">
        <v>4.2</v>
      </c>
      <c r="K19" s="425">
        <v>5.8</v>
      </c>
      <c r="L19" s="425">
        <v>8.8000000000000007</v>
      </c>
      <c r="M19" s="425">
        <v>10.6</v>
      </c>
      <c r="N19" s="425">
        <v>11</v>
      </c>
      <c r="O19" s="425">
        <v>9.1999999999999993</v>
      </c>
      <c r="P19" s="425"/>
      <c r="Q19" s="425"/>
      <c r="R19" s="425"/>
      <c r="S19" s="425"/>
      <c r="T19" s="425"/>
      <c r="U19" s="425"/>
      <c r="V19" s="425"/>
      <c r="W19" s="425"/>
      <c r="X19" s="425"/>
      <c r="Y19" s="425"/>
      <c r="Z19" s="220"/>
      <c r="AA19" s="426"/>
      <c r="AB19" s="220"/>
      <c r="AC19" s="220"/>
      <c r="AD19" s="220"/>
      <c r="AE19" s="220"/>
      <c r="AF19" s="220"/>
      <c r="AG19" s="220"/>
      <c r="AH19" s="220"/>
      <c r="AI19" s="220"/>
      <c r="AJ19" s="220"/>
      <c r="AK19" s="220"/>
      <c r="AL19" s="220"/>
      <c r="AM19" s="220"/>
    </row>
    <row r="20" spans="3:39">
      <c r="C20" s="228"/>
      <c r="D20" s="322"/>
      <c r="E20" s="322"/>
      <c r="F20" s="322"/>
      <c r="G20" s="322"/>
      <c r="H20" s="322"/>
      <c r="I20" s="322"/>
      <c r="J20" s="322"/>
      <c r="K20" s="322"/>
      <c r="L20" s="322"/>
      <c r="M20" s="322"/>
      <c r="N20" s="322"/>
      <c r="O20" s="322"/>
      <c r="P20" s="322"/>
      <c r="Q20" s="322"/>
      <c r="R20" s="354"/>
      <c r="S20" s="354"/>
      <c r="T20" s="354"/>
      <c r="U20" s="354"/>
      <c r="V20" s="354"/>
      <c r="W20" s="354"/>
      <c r="X20" s="354"/>
      <c r="Y20" s="354"/>
      <c r="Z20" s="148"/>
      <c r="AA20" s="368"/>
      <c r="AB20" s="148"/>
      <c r="AC20" s="148"/>
      <c r="AD20" s="148"/>
      <c r="AE20" s="148"/>
      <c r="AF20" s="148"/>
      <c r="AG20" s="148"/>
      <c r="AH20" s="148"/>
      <c r="AI20" s="148"/>
      <c r="AJ20" s="148"/>
      <c r="AK20" s="148"/>
      <c r="AL20" s="148"/>
      <c r="AM20" s="148"/>
    </row>
    <row r="21" spans="3:39">
      <c r="C21" s="220" t="s">
        <v>684</v>
      </c>
      <c r="D21" s="322"/>
      <c r="E21" s="322"/>
      <c r="F21" s="322"/>
      <c r="G21" s="322"/>
      <c r="H21" s="322"/>
      <c r="I21" s="322"/>
      <c r="J21" s="410">
        <f t="shared" ref="J21:Y21" si="22">J18/I18-1</f>
        <v>-4.055460980538661E-3</v>
      </c>
      <c r="K21" s="410">
        <f t="shared" si="22"/>
        <v>0.38097507137846498</v>
      </c>
      <c r="L21" s="410">
        <f t="shared" si="22"/>
        <v>0.51737343186788665</v>
      </c>
      <c r="M21" s="410">
        <f t="shared" si="22"/>
        <v>0.20499223544762568</v>
      </c>
      <c r="N21" s="410">
        <f t="shared" si="22"/>
        <v>3.7621527705789193E-2</v>
      </c>
      <c r="O21" s="410">
        <f t="shared" si="22"/>
        <v>-0.16273273753819284</v>
      </c>
      <c r="P21" s="410">
        <f t="shared" si="22"/>
        <v>0.22617965680700247</v>
      </c>
      <c r="Q21" s="410">
        <f t="shared" si="22"/>
        <v>6.7363347079532065E-2</v>
      </c>
      <c r="R21" s="410">
        <f t="shared" si="22"/>
        <v>-1.4768578040215807E-2</v>
      </c>
      <c r="S21" s="410">
        <f t="shared" si="22"/>
        <v>8.1999999999999185E-2</v>
      </c>
      <c r="T21" s="410">
        <f t="shared" si="22"/>
        <v>0.21202692692918856</v>
      </c>
      <c r="U21" s="410">
        <f t="shared" si="22"/>
        <v>0.10004940025319642</v>
      </c>
      <c r="V21" s="410">
        <f t="shared" si="22"/>
        <v>-5.2018477545113795E-2</v>
      </c>
      <c r="W21" s="616">
        <f t="shared" si="22"/>
        <v>-0.10036194946063293</v>
      </c>
      <c r="X21" s="616">
        <f t="shared" si="22"/>
        <v>-9.3838505968483976E-2</v>
      </c>
      <c r="Y21" s="616">
        <f t="shared" si="22"/>
        <v>-6.4749803882094503E-2</v>
      </c>
      <c r="Z21" s="148"/>
      <c r="AA21" s="368"/>
      <c r="AB21" s="148"/>
      <c r="AC21" s="148"/>
      <c r="AD21" s="148"/>
      <c r="AE21" s="148"/>
      <c r="AF21" s="148"/>
      <c r="AG21" s="148"/>
      <c r="AH21" s="148"/>
      <c r="AI21" s="148"/>
      <c r="AJ21" s="148"/>
      <c r="AK21" s="148"/>
      <c r="AL21" s="148"/>
      <c r="AM21" s="148"/>
    </row>
    <row r="22" spans="3:39">
      <c r="C22" s="220" t="s">
        <v>687</v>
      </c>
      <c r="D22" s="322"/>
      <c r="E22" s="322"/>
      <c r="F22" s="322"/>
      <c r="G22" s="322"/>
      <c r="H22" s="322"/>
      <c r="I22" s="322"/>
      <c r="J22" s="410"/>
      <c r="K22" s="410">
        <f t="shared" ref="K22:N22" si="23">K19/J19-1</f>
        <v>0.38095238095238093</v>
      </c>
      <c r="L22" s="410">
        <f t="shared" si="23"/>
        <v>0.51724137931034497</v>
      </c>
      <c r="M22" s="410">
        <f>M19/L19-1</f>
        <v>0.20454545454545436</v>
      </c>
      <c r="N22" s="410">
        <f t="shared" si="23"/>
        <v>3.7735849056603765E-2</v>
      </c>
      <c r="O22" s="410">
        <f>O19/N19-1</f>
        <v>-0.16363636363636369</v>
      </c>
      <c r="P22" s="319"/>
      <c r="Q22" s="319"/>
      <c r="R22" s="410">
        <f>Tower!Q91</f>
        <v>-1.4999999999999999E-2</v>
      </c>
      <c r="S22" s="410">
        <f>Tower!V91</f>
        <v>8.2000000000000003E-2</v>
      </c>
      <c r="T22" s="410">
        <f>Tower!AA91</f>
        <v>0.21199999999999999</v>
      </c>
      <c r="U22" s="410">
        <f>Tower!AF91</f>
        <v>0.1</v>
      </c>
      <c r="V22" s="410">
        <f>Tower!AK91</f>
        <v>-5.1999999999999998E-2</v>
      </c>
      <c r="W22" s="319"/>
      <c r="X22" s="319"/>
      <c r="Y22" s="319"/>
      <c r="Z22" s="148"/>
      <c r="AA22" s="368"/>
      <c r="AB22" s="148"/>
      <c r="AC22" s="148"/>
      <c r="AD22" s="148"/>
      <c r="AE22" s="148"/>
      <c r="AF22" s="148"/>
      <c r="AG22" s="148"/>
      <c r="AH22" s="148"/>
      <c r="AI22" s="148"/>
      <c r="AJ22" s="148"/>
      <c r="AK22" s="148"/>
      <c r="AL22" s="148"/>
      <c r="AM22" s="148"/>
    </row>
    <row r="23" spans="3:39">
      <c r="C23" s="220"/>
      <c r="D23" s="322"/>
      <c r="E23" s="322"/>
      <c r="F23" s="322"/>
      <c r="G23" s="322"/>
      <c r="H23" s="322"/>
      <c r="I23" s="322"/>
      <c r="J23" s="319"/>
      <c r="K23" s="319"/>
      <c r="L23" s="319"/>
      <c r="M23" s="319"/>
      <c r="N23" s="319"/>
      <c r="O23" s="319"/>
      <c r="P23" s="319"/>
      <c r="Q23" s="319"/>
      <c r="R23" s="319"/>
      <c r="S23" s="319"/>
      <c r="T23" s="319"/>
      <c r="U23" s="319"/>
      <c r="V23" s="319"/>
      <c r="W23" s="319"/>
      <c r="X23" s="319"/>
      <c r="Y23" s="319"/>
      <c r="Z23" s="148"/>
      <c r="AA23" s="368"/>
      <c r="AB23" s="148"/>
      <c r="AC23" s="148"/>
      <c r="AD23" s="148"/>
      <c r="AE23" s="148"/>
      <c r="AF23" s="148"/>
      <c r="AG23" s="148"/>
      <c r="AH23" s="148"/>
      <c r="AI23" s="148"/>
      <c r="AJ23" s="148"/>
      <c r="AK23" s="148"/>
      <c r="AL23" s="148"/>
      <c r="AM23" s="148"/>
    </row>
    <row r="24" spans="3:39">
      <c r="C24" s="411" t="s">
        <v>685</v>
      </c>
      <c r="D24" s="322"/>
      <c r="E24" s="322"/>
      <c r="F24" s="322"/>
      <c r="G24" s="322"/>
      <c r="H24" s="322"/>
      <c r="I24" s="322"/>
      <c r="J24" s="319"/>
      <c r="K24" s="325">
        <f t="shared" ref="K24:O24" si="24">K21-K22</f>
        <v>2.2690426084048809E-5</v>
      </c>
      <c r="L24" s="325">
        <f t="shared" si="24"/>
        <v>1.3205255754167311E-4</v>
      </c>
      <c r="M24" s="325">
        <f t="shared" si="24"/>
        <v>4.4678090217131761E-4</v>
      </c>
      <c r="N24" s="325">
        <f t="shared" si="24"/>
        <v>-1.143213508145724E-4</v>
      </c>
      <c r="O24" s="325">
        <f t="shared" si="24"/>
        <v>9.0362609817085104E-4</v>
      </c>
      <c r="P24" s="319"/>
      <c r="Q24" s="319"/>
      <c r="R24" s="325">
        <f>R21-R22</f>
        <v>2.3142195978419211E-4</v>
      </c>
      <c r="S24" s="325">
        <f t="shared" ref="S24:V24" si="25">S21-S22</f>
        <v>-8.1878948066105295E-16</v>
      </c>
      <c r="T24" s="325">
        <f t="shared" si="25"/>
        <v>2.692692918856987E-5</v>
      </c>
      <c r="U24" s="325">
        <f t="shared" si="25"/>
        <v>4.940025319641328E-5</v>
      </c>
      <c r="V24" s="325">
        <f t="shared" si="25"/>
        <v>-1.8477545113797234E-5</v>
      </c>
      <c r="W24" s="319"/>
      <c r="X24" s="319"/>
      <c r="Y24" s="319"/>
      <c r="Z24" s="148"/>
      <c r="AA24" s="368"/>
      <c r="AB24" s="148"/>
      <c r="AC24" s="148"/>
      <c r="AD24" s="148"/>
      <c r="AE24" s="148"/>
      <c r="AF24" s="148"/>
      <c r="AG24" s="148"/>
      <c r="AH24" s="148"/>
      <c r="AI24" s="148"/>
      <c r="AJ24" s="148"/>
      <c r="AK24" s="148"/>
      <c r="AL24" s="148"/>
      <c r="AM24" s="148"/>
    </row>
    <row r="25" spans="3:39">
      <c r="C25" s="411"/>
      <c r="D25" s="322"/>
      <c r="E25" s="322"/>
      <c r="F25" s="322"/>
      <c r="G25" s="322"/>
      <c r="H25" s="322"/>
      <c r="I25" s="322"/>
      <c r="J25" s="319"/>
      <c r="K25" s="319"/>
      <c r="L25" s="319"/>
      <c r="M25" s="319"/>
      <c r="N25" s="319"/>
      <c r="O25" s="319"/>
      <c r="P25" s="319"/>
      <c r="Q25" s="319"/>
      <c r="R25" s="325"/>
      <c r="S25" s="325"/>
      <c r="T25" s="325"/>
      <c r="U25" s="325"/>
      <c r="V25" s="325"/>
      <c r="W25" s="319"/>
      <c r="X25" s="319"/>
      <c r="Y25" s="319"/>
      <c r="Z25" s="148"/>
      <c r="AA25" s="368"/>
      <c r="AB25" s="148"/>
      <c r="AC25" s="148"/>
      <c r="AD25" s="148"/>
      <c r="AE25" s="148"/>
      <c r="AF25" s="148"/>
      <c r="AG25" s="148"/>
      <c r="AH25" s="148"/>
      <c r="AI25" s="148"/>
      <c r="AJ25" s="148"/>
      <c r="AK25" s="148"/>
      <c r="AL25" s="148"/>
      <c r="AM25" s="148"/>
    </row>
    <row r="26" spans="3:39">
      <c r="C26" s="220" t="s">
        <v>493</v>
      </c>
      <c r="D26" s="322"/>
      <c r="E26" s="322"/>
      <c r="F26" s="322"/>
      <c r="G26" s="322"/>
      <c r="H26" s="322"/>
      <c r="I26" s="322"/>
      <c r="J26" s="420">
        <v>187.06932940099432</v>
      </c>
      <c r="K26" s="420">
        <v>202.22782963900028</v>
      </c>
      <c r="L26" s="420">
        <v>193.04516742321567</v>
      </c>
      <c r="M26" s="420">
        <v>174.55746224029522</v>
      </c>
      <c r="N26" s="420">
        <v>167.21135024277993</v>
      </c>
      <c r="O26" s="420">
        <v>153.54896879983599</v>
      </c>
      <c r="P26" s="420">
        <v>125.81993154976952</v>
      </c>
      <c r="Q26" s="420">
        <v>118.43610404003645</v>
      </c>
      <c r="R26" s="362">
        <v>125.85762033496992</v>
      </c>
      <c r="S26" s="362">
        <v>122.43741988162213</v>
      </c>
      <c r="T26" s="362">
        <v>103.7897533023225</v>
      </c>
      <c r="U26" s="362">
        <v>120.88245687841818</v>
      </c>
      <c r="V26" s="362">
        <v>115.4</v>
      </c>
      <c r="W26" s="362">
        <v>110</v>
      </c>
      <c r="X26" s="362">
        <v>110</v>
      </c>
      <c r="Y26" s="362">
        <v>115</v>
      </c>
      <c r="Z26" s="148"/>
      <c r="AA26" s="368"/>
      <c r="AB26" s="148"/>
      <c r="AC26" s="148"/>
      <c r="AD26" s="148"/>
      <c r="AE26" s="148"/>
      <c r="AF26" s="148"/>
      <c r="AG26" s="148"/>
      <c r="AH26" s="148"/>
      <c r="AI26" s="148"/>
      <c r="AJ26" s="148"/>
      <c r="AK26" s="148"/>
      <c r="AL26" s="148"/>
      <c r="AM26" s="148"/>
    </row>
    <row r="27" spans="3:39">
      <c r="C27" s="220" t="s">
        <v>415</v>
      </c>
      <c r="D27" s="322"/>
      <c r="E27" s="322"/>
      <c r="F27" s="322"/>
      <c r="G27" s="322"/>
      <c r="H27" s="322"/>
      <c r="I27" s="322"/>
      <c r="J27" s="319">
        <v>0.5</v>
      </c>
      <c r="K27" s="319">
        <v>0.5</v>
      </c>
      <c r="L27" s="319">
        <v>0.5</v>
      </c>
      <c r="M27" s="319">
        <v>0.5</v>
      </c>
      <c r="N27" s="319">
        <v>0.5</v>
      </c>
      <c r="O27" s="319">
        <v>0.5</v>
      </c>
      <c r="P27" s="319">
        <v>0.5</v>
      </c>
      <c r="Q27" s="319">
        <v>0.5</v>
      </c>
      <c r="R27" s="319">
        <v>0.5</v>
      </c>
      <c r="S27" s="319">
        <v>0.5</v>
      </c>
      <c r="T27" s="319">
        <v>0.5</v>
      </c>
      <c r="U27" s="319">
        <v>0.5</v>
      </c>
      <c r="V27" s="319">
        <v>0.5</v>
      </c>
      <c r="W27" s="319">
        <v>0.5</v>
      </c>
      <c r="X27" s="319">
        <v>0.5</v>
      </c>
      <c r="Y27" s="319">
        <v>0.5</v>
      </c>
      <c r="Z27" s="148"/>
      <c r="AA27" s="368"/>
      <c r="AB27" s="148"/>
      <c r="AC27" s="148"/>
      <c r="AD27" s="148"/>
      <c r="AE27" s="148"/>
      <c r="AF27" s="148"/>
      <c r="AG27" s="148"/>
      <c r="AH27" s="148"/>
      <c r="AI27" s="148"/>
      <c r="AJ27" s="148"/>
      <c r="AK27" s="148"/>
      <c r="AL27" s="148"/>
      <c r="AM27" s="148"/>
    </row>
    <row r="28" spans="3:39">
      <c r="C28" s="220"/>
      <c r="D28" s="322"/>
      <c r="E28" s="322"/>
      <c r="F28" s="322"/>
      <c r="G28" s="322"/>
      <c r="H28" s="322"/>
      <c r="I28" s="322"/>
      <c r="J28" s="319"/>
      <c r="K28" s="319"/>
      <c r="L28" s="319"/>
      <c r="M28" s="319"/>
      <c r="N28" s="319"/>
      <c r="O28" s="319"/>
      <c r="P28" s="319"/>
      <c r="Q28" s="319"/>
      <c r="R28" s="319"/>
      <c r="S28" s="319"/>
      <c r="T28" s="319"/>
      <c r="U28" s="319"/>
      <c r="V28" s="319"/>
      <c r="W28" s="319"/>
      <c r="X28" s="319"/>
      <c r="Y28" s="319"/>
      <c r="Z28" s="148"/>
      <c r="AA28" s="368"/>
      <c r="AB28" s="148"/>
      <c r="AC28" s="148"/>
      <c r="AD28" s="148"/>
      <c r="AE28" s="148"/>
      <c r="AF28" s="148"/>
      <c r="AG28" s="148"/>
      <c r="AH28" s="148"/>
      <c r="AI28" s="148"/>
      <c r="AJ28" s="148"/>
      <c r="AK28" s="148"/>
      <c r="AL28" s="148"/>
      <c r="AM28" s="148"/>
    </row>
    <row r="29" spans="3:39">
      <c r="C29" s="220" t="s">
        <v>691</v>
      </c>
      <c r="D29" s="322"/>
      <c r="E29" s="322"/>
      <c r="F29" s="322"/>
      <c r="G29" s="322"/>
      <c r="H29" s="322"/>
      <c r="I29" s="322"/>
      <c r="J29" s="317"/>
      <c r="K29" s="317">
        <f t="shared" ref="K29:Y29" si="26">(K26*K27)/(J26*J27)-1</f>
        <v>8.1031456554338854E-2</v>
      </c>
      <c r="L29" s="317">
        <f t="shared" si="26"/>
        <v>-4.5407510094810921E-2</v>
      </c>
      <c r="M29" s="317">
        <f t="shared" si="26"/>
        <v>-9.5768805972695437E-2</v>
      </c>
      <c r="N29" s="317">
        <f t="shared" si="26"/>
        <v>-4.2084204841398631E-2</v>
      </c>
      <c r="O29" s="317">
        <f t="shared" si="26"/>
        <v>-8.1707261038841295E-2</v>
      </c>
      <c r="P29" s="317">
        <f t="shared" si="26"/>
        <v>-0.18058758366663863</v>
      </c>
      <c r="Q29" s="317">
        <f t="shared" si="26"/>
        <v>-5.8685674191551351E-2</v>
      </c>
      <c r="R29" s="317">
        <f t="shared" si="26"/>
        <v>6.2662617578375324E-2</v>
      </c>
      <c r="S29" s="317">
        <f t="shared" si="26"/>
        <v>-2.717515589636077E-2</v>
      </c>
      <c r="T29" s="317">
        <f t="shared" si="26"/>
        <v>-0.1523036551842486</v>
      </c>
      <c r="U29" s="317">
        <f t="shared" si="26"/>
        <v>0.16468584838338951</v>
      </c>
      <c r="V29" s="317">
        <f t="shared" si="26"/>
        <v>-4.5353618878977264E-2</v>
      </c>
      <c r="W29" s="615">
        <f t="shared" si="26"/>
        <v>-4.6793760831889131E-2</v>
      </c>
      <c r="X29" s="615">
        <f t="shared" si="26"/>
        <v>0</v>
      </c>
      <c r="Y29" s="615">
        <f t="shared" si="26"/>
        <v>4.5454545454545414E-2</v>
      </c>
      <c r="Z29" s="148"/>
      <c r="AA29" s="368"/>
      <c r="AB29" s="148"/>
      <c r="AC29" s="148"/>
      <c r="AD29" s="148"/>
      <c r="AE29" s="148"/>
      <c r="AF29" s="148"/>
      <c r="AG29" s="148"/>
      <c r="AH29" s="148"/>
      <c r="AI29" s="148"/>
      <c r="AJ29" s="148"/>
      <c r="AK29" s="148"/>
      <c r="AL29" s="148"/>
      <c r="AM29" s="148"/>
    </row>
    <row r="30" spans="3:39">
      <c r="D30" s="248"/>
      <c r="E30" s="248"/>
      <c r="F30" s="248"/>
      <c r="G30" s="248"/>
      <c r="H30" s="248"/>
      <c r="I30" s="248"/>
      <c r="J30" s="248"/>
      <c r="K30" s="248"/>
      <c r="L30" s="248"/>
      <c r="M30" s="248"/>
      <c r="N30" s="248"/>
      <c r="O30" s="248"/>
      <c r="P30" s="248"/>
      <c r="Q30" s="248"/>
      <c r="R30" s="321"/>
      <c r="S30" s="321"/>
      <c r="T30" s="321"/>
      <c r="U30" s="321"/>
      <c r="V30" s="248"/>
      <c r="W30" s="248"/>
      <c r="X30" s="248"/>
      <c r="Y30" s="248"/>
      <c r="Z30" s="148"/>
      <c r="AA30" s="368"/>
      <c r="AB30" s="148"/>
      <c r="AC30" s="148"/>
      <c r="AD30" s="148"/>
      <c r="AE30" s="148"/>
      <c r="AF30" s="148"/>
      <c r="AG30" s="148"/>
      <c r="AH30" s="148"/>
      <c r="AI30" s="148"/>
      <c r="AJ30" s="148"/>
      <c r="AK30" s="148"/>
      <c r="AL30" s="148"/>
      <c r="AM30" s="148"/>
    </row>
    <row r="31" spans="3:39">
      <c r="C31" t="s">
        <v>494</v>
      </c>
      <c r="D31" s="248"/>
      <c r="E31" s="248"/>
      <c r="F31" s="248"/>
      <c r="G31" s="248"/>
      <c r="H31" s="248"/>
      <c r="I31" s="248"/>
      <c r="J31" s="355">
        <f t="shared" ref="J31:Y31" si="27">J18*J26*(1-J27)</f>
        <v>350.99999999999977</v>
      </c>
      <c r="K31" s="355">
        <f t="shared" si="27"/>
        <v>524</v>
      </c>
      <c r="L31" s="355">
        <f t="shared" si="27"/>
        <v>758.99999999999989</v>
      </c>
      <c r="M31" s="355">
        <f t="shared" si="27"/>
        <v>827</v>
      </c>
      <c r="N31" s="355">
        <f t="shared" si="27"/>
        <v>822.00000000000034</v>
      </c>
      <c r="O31" s="355">
        <f t="shared" si="27"/>
        <v>632</v>
      </c>
      <c r="P31" s="355">
        <f t="shared" si="27"/>
        <v>634.99999999999989</v>
      </c>
      <c r="Q31" s="355">
        <f t="shared" si="27"/>
        <v>637.99999999999989</v>
      </c>
      <c r="R31" s="355">
        <f t="shared" si="27"/>
        <v>667.96596793579874</v>
      </c>
      <c r="S31" s="355">
        <f t="shared" si="27"/>
        <v>703.09862749082106</v>
      </c>
      <c r="T31" s="355">
        <f t="shared" si="27"/>
        <v>722.38518235200684</v>
      </c>
      <c r="U31" s="355">
        <f t="shared" si="27"/>
        <v>925.52854185585647</v>
      </c>
      <c r="V31" s="355">
        <f>V18*V26*(1-V27)</f>
        <v>837.5914186246689</v>
      </c>
      <c r="W31" s="355">
        <f t="shared" si="27"/>
        <v>718.26864999999998</v>
      </c>
      <c r="X31" s="355">
        <f t="shared" si="27"/>
        <v>650.86739299999999</v>
      </c>
      <c r="Y31" s="355">
        <f t="shared" si="27"/>
        <v>636.3931231749998</v>
      </c>
      <c r="Z31" s="148"/>
      <c r="AA31" s="368"/>
      <c r="AB31" s="148"/>
      <c r="AC31" s="148"/>
      <c r="AD31" s="148"/>
      <c r="AE31" s="148"/>
      <c r="AF31" s="148"/>
      <c r="AG31" s="148"/>
      <c r="AH31" s="148"/>
      <c r="AI31" s="148"/>
      <c r="AJ31" s="148"/>
      <c r="AK31" s="148"/>
      <c r="AL31" s="148"/>
      <c r="AM31" s="148"/>
    </row>
    <row r="32" spans="3:39">
      <c r="C32" s="148" t="s">
        <v>495</v>
      </c>
      <c r="D32" s="321"/>
      <c r="E32" s="321"/>
      <c r="F32" s="321"/>
      <c r="G32" s="321"/>
      <c r="H32" s="321"/>
      <c r="I32" s="321"/>
      <c r="J32" s="356">
        <v>351</v>
      </c>
      <c r="K32" s="356">
        <v>524</v>
      </c>
      <c r="L32" s="356">
        <v>759</v>
      </c>
      <c r="M32" s="356">
        <v>827</v>
      </c>
      <c r="N32" s="356">
        <v>822</v>
      </c>
      <c r="O32" s="356">
        <v>632</v>
      </c>
      <c r="P32" s="356">
        <f>O32+3</f>
        <v>635</v>
      </c>
      <c r="Q32" s="356">
        <f>P32+3</f>
        <v>638</v>
      </c>
      <c r="R32" s="356">
        <f>Tower!Q36</f>
        <v>667.96596793579874</v>
      </c>
      <c r="S32" s="356">
        <f>Tower!V36</f>
        <v>687.28729758683426</v>
      </c>
      <c r="T32" s="356">
        <f>Tower!AA36</f>
        <v>719.76012052975102</v>
      </c>
      <c r="U32" s="356">
        <f>Tower!AF36</f>
        <v>785.99307205684795</v>
      </c>
      <c r="V32" s="357">
        <f>Tower!AK36</f>
        <v>818.67082738050476</v>
      </c>
      <c r="W32" s="248"/>
      <c r="X32" s="248"/>
      <c r="Y32" s="248"/>
      <c r="Z32" s="148"/>
      <c r="AA32" s="368"/>
      <c r="AB32" s="148"/>
      <c r="AC32" s="148"/>
      <c r="AD32" s="148"/>
      <c r="AE32" s="148"/>
      <c r="AF32" s="148"/>
      <c r="AG32" s="148"/>
      <c r="AH32" s="148"/>
      <c r="AI32" s="148"/>
      <c r="AJ32" s="148"/>
      <c r="AK32" s="148"/>
      <c r="AL32" s="148"/>
      <c r="AM32" s="148"/>
    </row>
    <row r="33" spans="2:43">
      <c r="D33" s="248"/>
      <c r="E33" s="248"/>
      <c r="F33" s="248"/>
      <c r="G33" s="248"/>
      <c r="H33" s="248"/>
      <c r="I33" s="248"/>
      <c r="J33" s="248"/>
      <c r="K33" s="248"/>
      <c r="L33" s="248"/>
      <c r="M33" s="248"/>
      <c r="N33" s="248"/>
      <c r="O33" s="248"/>
      <c r="P33" s="248"/>
      <c r="Q33" s="248"/>
      <c r="R33" s="248"/>
      <c r="S33" s="248"/>
      <c r="T33" s="248"/>
      <c r="U33" s="248"/>
      <c r="V33" s="248"/>
      <c r="W33" s="248"/>
      <c r="X33" s="248"/>
      <c r="Y33" s="248"/>
      <c r="Z33" s="148"/>
      <c r="AA33" s="368"/>
      <c r="AB33" s="148"/>
      <c r="AC33" s="148"/>
      <c r="AD33" s="148"/>
      <c r="AE33" s="148"/>
      <c r="AF33" s="148"/>
      <c r="AG33" s="148"/>
      <c r="AH33" s="148"/>
      <c r="AI33" s="148"/>
      <c r="AJ33" s="148"/>
      <c r="AK33" s="148"/>
      <c r="AL33" s="148"/>
      <c r="AM33" s="148"/>
    </row>
    <row r="34" spans="2:43">
      <c r="C34" s="236" t="s">
        <v>507</v>
      </c>
      <c r="D34" s="324"/>
      <c r="E34" s="324"/>
      <c r="F34" s="324"/>
      <c r="G34" s="324"/>
      <c r="H34" s="324"/>
      <c r="I34" s="324"/>
      <c r="J34" s="325">
        <f>(J31-J32)/J32</f>
        <v>-6.477882491260173E-16</v>
      </c>
      <c r="K34" s="325">
        <f t="shared" ref="K34:Q34" si="28">(K31-K32)/K32</f>
        <v>0</v>
      </c>
      <c r="L34" s="325">
        <f t="shared" si="28"/>
        <v>-1.4978502993625301E-16</v>
      </c>
      <c r="M34" s="325">
        <f t="shared" si="28"/>
        <v>0</v>
      </c>
      <c r="N34" s="325">
        <f t="shared" si="28"/>
        <v>4.1491546613728477E-16</v>
      </c>
      <c r="O34" s="325">
        <f t="shared" si="28"/>
        <v>0</v>
      </c>
      <c r="P34" s="325">
        <f t="shared" si="28"/>
        <v>-1.7903439011278115E-16</v>
      </c>
      <c r="Q34" s="325">
        <f t="shared" si="28"/>
        <v>-1.7819253561381822E-16</v>
      </c>
      <c r="R34" s="325">
        <f>(R31-R32)/R32</f>
        <v>0</v>
      </c>
      <c r="S34" s="325">
        <f t="shared" ref="S34:V34" si="29">(S31-S32)/S32</f>
        <v>2.3005415580213229E-2</v>
      </c>
      <c r="T34" s="325">
        <f t="shared" si="29"/>
        <v>3.6471342984711946E-3</v>
      </c>
      <c r="U34" s="325">
        <v>0</v>
      </c>
      <c r="V34" s="325">
        <f t="shared" si="29"/>
        <v>2.311135393049759E-2</v>
      </c>
      <c r="W34" s="248"/>
      <c r="X34" s="248"/>
      <c r="Y34" s="248"/>
      <c r="Z34" s="148"/>
      <c r="AA34" s="368"/>
      <c r="AB34" s="148"/>
      <c r="AC34" s="148"/>
      <c r="AD34" s="148"/>
      <c r="AE34" s="148"/>
      <c r="AF34" s="148"/>
      <c r="AG34" s="148"/>
      <c r="AH34" s="148"/>
      <c r="AI34" s="148"/>
      <c r="AJ34" s="148"/>
      <c r="AK34" s="148"/>
      <c r="AL34" s="148"/>
      <c r="AM34" s="148"/>
    </row>
    <row r="35" spans="2:43">
      <c r="C35" s="148"/>
      <c r="D35" s="148"/>
      <c r="E35" s="148"/>
      <c r="F35" s="148"/>
      <c r="G35" s="148"/>
      <c r="H35" s="148"/>
      <c r="I35" s="148"/>
      <c r="J35" s="148"/>
      <c r="K35" s="148"/>
      <c r="L35" s="148"/>
      <c r="M35" s="148"/>
      <c r="N35" s="148"/>
      <c r="O35" s="148"/>
      <c r="P35" s="148"/>
      <c r="Q35" s="148"/>
      <c r="R35" s="148"/>
      <c r="S35" s="148"/>
      <c r="T35" s="148"/>
      <c r="U35" s="148"/>
      <c r="Z35" s="148"/>
      <c r="AA35" s="368"/>
      <c r="AB35" s="148"/>
      <c r="AC35" s="148"/>
      <c r="AD35" s="148"/>
      <c r="AE35" s="148"/>
      <c r="AF35" s="148"/>
      <c r="AG35" s="148"/>
      <c r="AH35" s="148"/>
      <c r="AI35" s="148"/>
      <c r="AJ35" s="148"/>
      <c r="AK35" s="148"/>
      <c r="AL35" s="148"/>
      <c r="AM35" s="148"/>
    </row>
    <row r="36" spans="2:43">
      <c r="C36" s="148"/>
      <c r="D36" s="148"/>
      <c r="E36" s="148"/>
      <c r="F36" s="148"/>
      <c r="G36" s="148"/>
      <c r="H36" s="148"/>
      <c r="I36" s="148"/>
      <c r="J36" s="148"/>
      <c r="K36" s="148"/>
      <c r="L36" s="148"/>
      <c r="M36" s="148"/>
      <c r="N36" s="148"/>
      <c r="O36" s="148"/>
      <c r="P36" s="148"/>
      <c r="Q36" s="148"/>
      <c r="R36" s="148"/>
      <c r="S36" s="148"/>
      <c r="T36" s="148"/>
      <c r="U36" s="148"/>
      <c r="Z36" s="148"/>
      <c r="AA36" s="368"/>
      <c r="AB36" s="148"/>
      <c r="AC36" s="148"/>
      <c r="AD36" s="148"/>
      <c r="AE36" s="148"/>
      <c r="AF36" s="148"/>
      <c r="AG36" s="148"/>
      <c r="AH36" s="148"/>
      <c r="AI36" s="148"/>
      <c r="AJ36" s="148"/>
      <c r="AK36" s="148"/>
      <c r="AL36" s="148"/>
      <c r="AM36" s="148"/>
      <c r="AN36" s="148"/>
      <c r="AO36" s="148"/>
      <c r="AP36" s="148"/>
      <c r="AQ36" s="148"/>
    </row>
    <row r="37" spans="2:43">
      <c r="C37" s="148"/>
      <c r="D37" s="148"/>
      <c r="E37" s="148"/>
      <c r="F37" s="148"/>
      <c r="G37" s="148"/>
      <c r="H37" s="148"/>
      <c r="I37" s="148"/>
      <c r="J37" s="148"/>
      <c r="K37" s="148"/>
      <c r="L37" s="148"/>
      <c r="M37" s="148"/>
      <c r="N37" s="148"/>
      <c r="O37" s="148"/>
      <c r="P37" s="148"/>
      <c r="Q37" s="148"/>
      <c r="R37" s="148"/>
      <c r="S37" s="148"/>
      <c r="T37" s="148"/>
      <c r="U37" s="148"/>
      <c r="Z37" s="148"/>
      <c r="AA37" s="368"/>
      <c r="AB37" s="148"/>
      <c r="AC37" s="148"/>
      <c r="AD37" s="148"/>
      <c r="AE37" s="148"/>
      <c r="AF37" s="148"/>
      <c r="AG37" s="148"/>
      <c r="AH37" s="148"/>
      <c r="AI37" s="148"/>
      <c r="AJ37" s="148"/>
      <c r="AK37" s="148"/>
      <c r="AL37" s="148"/>
      <c r="AM37" s="148"/>
      <c r="AN37" s="148"/>
      <c r="AO37" s="148"/>
      <c r="AP37" s="148"/>
      <c r="AQ37" s="148"/>
    </row>
    <row r="38" spans="2:43">
      <c r="B38" s="167" t="s">
        <v>173</v>
      </c>
      <c r="C38" s="167"/>
      <c r="D38" s="143">
        <f t="shared" ref="D38:P38" si="30">E38-1</f>
        <v>2004</v>
      </c>
      <c r="E38" s="143">
        <f t="shared" si="30"/>
        <v>2005</v>
      </c>
      <c r="F38" s="143">
        <f t="shared" si="30"/>
        <v>2006</v>
      </c>
      <c r="G38" s="143">
        <f t="shared" si="30"/>
        <v>2007</v>
      </c>
      <c r="H38" s="143">
        <f t="shared" si="30"/>
        <v>2008</v>
      </c>
      <c r="I38" s="143">
        <f t="shared" si="30"/>
        <v>2009</v>
      </c>
      <c r="J38" s="143">
        <f t="shared" si="30"/>
        <v>2010</v>
      </c>
      <c r="K38" s="143">
        <f t="shared" si="30"/>
        <v>2011</v>
      </c>
      <c r="L38" s="143">
        <f t="shared" si="30"/>
        <v>2012</v>
      </c>
      <c r="M38" s="143">
        <f t="shared" si="30"/>
        <v>2013</v>
      </c>
      <c r="N38" s="143">
        <f t="shared" si="30"/>
        <v>2014</v>
      </c>
      <c r="O38" s="143">
        <f t="shared" si="30"/>
        <v>2015</v>
      </c>
      <c r="P38" s="143">
        <f t="shared" si="30"/>
        <v>2016</v>
      </c>
      <c r="Q38" s="143">
        <f>R38-1</f>
        <v>2017</v>
      </c>
      <c r="R38" s="143">
        <v>2018</v>
      </c>
      <c r="S38" s="143">
        <f>R38+1</f>
        <v>2019</v>
      </c>
      <c r="T38" s="143">
        <f t="shared" ref="T38:W38" si="31">S38+1</f>
        <v>2020</v>
      </c>
      <c r="U38" s="143">
        <f t="shared" si="31"/>
        <v>2021</v>
      </c>
      <c r="V38" s="143">
        <f t="shared" si="31"/>
        <v>2022</v>
      </c>
      <c r="W38" s="224">
        <f t="shared" si="31"/>
        <v>2023</v>
      </c>
      <c r="X38" s="224">
        <f>W38+1</f>
        <v>2024</v>
      </c>
      <c r="Y38" s="224">
        <f>X38+1</f>
        <v>2025</v>
      </c>
      <c r="Z38" s="148"/>
      <c r="AA38" s="368"/>
      <c r="AB38" s="148"/>
      <c r="AC38" s="148"/>
      <c r="AD38" s="148"/>
      <c r="AE38" s="148"/>
      <c r="AF38" s="148"/>
      <c r="AG38" s="148"/>
      <c r="AH38" s="148"/>
      <c r="AI38" s="148"/>
      <c r="AJ38" s="148"/>
      <c r="AK38" s="148"/>
      <c r="AL38" s="148"/>
      <c r="AM38" s="148"/>
      <c r="AN38" s="148"/>
      <c r="AO38" s="148"/>
      <c r="AP38" s="148"/>
      <c r="AQ38" s="148"/>
    </row>
    <row r="39" spans="2:43">
      <c r="C39" t="s">
        <v>508</v>
      </c>
      <c r="D39" s="315">
        <v>2.1000000000000001E-2</v>
      </c>
      <c r="E39" s="315"/>
      <c r="F39" s="315"/>
      <c r="G39" s="315"/>
      <c r="H39" s="315"/>
      <c r="I39" s="330">
        <v>1.9</v>
      </c>
      <c r="J39" s="331">
        <f>J8</f>
        <v>5.2403999999999993</v>
      </c>
      <c r="K39" s="331">
        <f>K8</f>
        <v>7.6454879999999994</v>
      </c>
      <c r="L39" s="330">
        <v>11</v>
      </c>
      <c r="M39" s="330">
        <v>16</v>
      </c>
      <c r="N39" s="330">
        <v>20</v>
      </c>
      <c r="O39" s="331">
        <f t="shared" ref="O39:Y39" si="32">O8</f>
        <v>23.791599999999999</v>
      </c>
      <c r="P39" s="331">
        <f t="shared" si="32"/>
        <v>27.460735999999997</v>
      </c>
      <c r="Q39" s="331">
        <f t="shared" si="32"/>
        <v>32.28809184</v>
      </c>
      <c r="R39" s="326">
        <f t="shared" si="32"/>
        <v>38</v>
      </c>
      <c r="S39" s="327">
        <f t="shared" si="32"/>
        <v>41.773015873015872</v>
      </c>
      <c r="T39" s="327">
        <f t="shared" si="32"/>
        <v>44.903441183505045</v>
      </c>
      <c r="U39" s="326">
        <f t="shared" si="32"/>
        <v>45</v>
      </c>
      <c r="V39" s="327">
        <f t="shared" si="32"/>
        <v>47.2</v>
      </c>
      <c r="W39" s="327">
        <f t="shared" si="32"/>
        <v>49.274000000000001</v>
      </c>
      <c r="X39" s="327">
        <f t="shared" si="32"/>
        <v>51.246780000000001</v>
      </c>
      <c r="Y39" s="327">
        <f t="shared" si="32"/>
        <v>52.831376599999999</v>
      </c>
      <c r="Z39" s="148"/>
      <c r="AA39" s="368"/>
      <c r="AB39" s="148"/>
      <c r="AC39" s="148"/>
      <c r="AD39" s="148"/>
      <c r="AE39" s="148"/>
      <c r="AF39" s="148"/>
      <c r="AG39" s="148"/>
      <c r="AH39" s="148"/>
      <c r="AI39" s="148"/>
      <c r="AJ39" s="148"/>
      <c r="AK39" s="148"/>
      <c r="AL39" s="148"/>
      <c r="AM39" s="148"/>
      <c r="AN39" s="148"/>
      <c r="AO39" s="148"/>
      <c r="AP39" s="148"/>
      <c r="AQ39" s="148"/>
    </row>
    <row r="40" spans="2:43">
      <c r="C40" s="4" t="s">
        <v>509</v>
      </c>
      <c r="D40" s="315"/>
      <c r="E40" s="315"/>
      <c r="F40" s="315"/>
      <c r="G40" s="315"/>
      <c r="H40" s="315"/>
      <c r="I40" s="328">
        <v>0.2</v>
      </c>
      <c r="J40" s="328">
        <v>0.21</v>
      </c>
      <c r="K40" s="328">
        <v>0.22</v>
      </c>
      <c r="L40" s="328">
        <v>0.23</v>
      </c>
      <c r="M40" s="328">
        <v>0.24</v>
      </c>
      <c r="N40" s="328">
        <v>0.25</v>
      </c>
      <c r="O40" s="328">
        <v>0.26</v>
      </c>
      <c r="P40" s="328">
        <v>0.28000000000000003</v>
      </c>
      <c r="Q40" s="328">
        <v>0.31</v>
      </c>
      <c r="R40" s="329">
        <f>13/38</f>
        <v>0.34210526315789475</v>
      </c>
      <c r="S40" s="328">
        <v>0.32</v>
      </c>
      <c r="T40" s="328">
        <v>0.3</v>
      </c>
      <c r="U40" s="329">
        <f>12/45</f>
        <v>0.26666666666666666</v>
      </c>
      <c r="V40" s="328">
        <v>0.27</v>
      </c>
      <c r="W40" s="364">
        <v>0.3</v>
      </c>
      <c r="X40" s="364">
        <v>0.31</v>
      </c>
      <c r="Y40" s="364">
        <v>0.32</v>
      </c>
      <c r="Z40" s="148"/>
      <c r="AA40" s="368" t="s">
        <v>689</v>
      </c>
      <c r="AB40" s="148"/>
      <c r="AC40" s="148"/>
      <c r="AD40" s="148"/>
      <c r="AE40" s="148"/>
      <c r="AF40" s="148"/>
      <c r="AG40" s="148"/>
      <c r="AH40" s="148"/>
      <c r="AI40" s="148"/>
      <c r="AJ40" s="148"/>
      <c r="AK40" s="148"/>
      <c r="AL40" s="148"/>
      <c r="AM40" s="148"/>
      <c r="AN40" s="148"/>
      <c r="AO40" s="148"/>
      <c r="AP40" s="148"/>
      <c r="AQ40" s="148"/>
    </row>
    <row r="41" spans="2:43">
      <c r="C41" t="s">
        <v>197</v>
      </c>
      <c r="D41" s="315"/>
      <c r="E41" s="315"/>
      <c r="F41" s="315"/>
      <c r="G41" s="315"/>
      <c r="H41" s="315"/>
      <c r="I41" s="331">
        <f>I39*I40</f>
        <v>0.38</v>
      </c>
      <c r="J41" s="331">
        <f t="shared" ref="J41:Q41" si="33">J39*J40</f>
        <v>1.1004839999999998</v>
      </c>
      <c r="K41" s="331">
        <f t="shared" si="33"/>
        <v>1.6820073599999998</v>
      </c>
      <c r="L41" s="331">
        <f t="shared" si="33"/>
        <v>2.5300000000000002</v>
      </c>
      <c r="M41" s="331">
        <f t="shared" si="33"/>
        <v>3.84</v>
      </c>
      <c r="N41" s="331">
        <f t="shared" si="33"/>
        <v>5</v>
      </c>
      <c r="O41" s="331">
        <f t="shared" si="33"/>
        <v>6.185816</v>
      </c>
      <c r="P41" s="331">
        <f t="shared" si="33"/>
        <v>7.6890060799999995</v>
      </c>
      <c r="Q41" s="331">
        <f t="shared" si="33"/>
        <v>10.009308470400001</v>
      </c>
      <c r="R41" s="330">
        <v>13</v>
      </c>
      <c r="S41" s="331">
        <f>S39*S40</f>
        <v>13.367365079365079</v>
      </c>
      <c r="T41" s="331">
        <f>T39*T40</f>
        <v>13.471032355051513</v>
      </c>
      <c r="U41" s="330">
        <v>12</v>
      </c>
      <c r="V41" s="331">
        <f t="shared" ref="V41:Y41" si="34">V39*V40</f>
        <v>12.744000000000002</v>
      </c>
      <c r="W41" s="331">
        <f t="shared" si="34"/>
        <v>14.7822</v>
      </c>
      <c r="X41" s="331">
        <f t="shared" si="34"/>
        <v>15.8865018</v>
      </c>
      <c r="Y41" s="331">
        <f t="shared" si="34"/>
        <v>16.906040512000001</v>
      </c>
      <c r="Z41" s="148"/>
      <c r="AA41" s="368"/>
      <c r="AB41" s="148"/>
      <c r="AC41" s="148"/>
      <c r="AD41" s="148"/>
      <c r="AE41" s="148"/>
      <c r="AF41" s="148"/>
      <c r="AG41" s="148"/>
      <c r="AH41" s="148"/>
      <c r="AI41" s="148"/>
      <c r="AJ41" s="148"/>
      <c r="AK41" s="148"/>
      <c r="AL41" s="148"/>
      <c r="AM41" s="148"/>
      <c r="AN41" s="148"/>
      <c r="AO41" s="148"/>
      <c r="AP41" s="148"/>
      <c r="AQ41" s="148"/>
    </row>
    <row r="42" spans="2:43">
      <c r="C42" s="148" t="s">
        <v>510</v>
      </c>
      <c r="D42" s="332"/>
      <c r="E42" s="332"/>
      <c r="F42" s="332"/>
      <c r="G42" s="332"/>
      <c r="H42" s="332"/>
      <c r="I42" s="334">
        <f>I39-I41</f>
        <v>1.52</v>
      </c>
      <c r="J42" s="334">
        <f t="shared" ref="J42:Q42" si="35">J39-J41</f>
        <v>4.1399159999999995</v>
      </c>
      <c r="K42" s="334">
        <f t="shared" si="35"/>
        <v>5.9634806399999993</v>
      </c>
      <c r="L42" s="334">
        <f t="shared" si="35"/>
        <v>8.4699999999999989</v>
      </c>
      <c r="M42" s="334">
        <f t="shared" si="35"/>
        <v>12.16</v>
      </c>
      <c r="N42" s="334">
        <f t="shared" si="35"/>
        <v>15</v>
      </c>
      <c r="O42" s="334">
        <f t="shared" si="35"/>
        <v>17.605784</v>
      </c>
      <c r="P42" s="334">
        <f t="shared" si="35"/>
        <v>19.771729919999999</v>
      </c>
      <c r="Q42" s="334">
        <f t="shared" si="35"/>
        <v>22.278783369599999</v>
      </c>
      <c r="R42" s="331">
        <f>R39-R41</f>
        <v>25</v>
      </c>
      <c r="S42" s="331">
        <f t="shared" ref="S42:X42" si="36">S39-S41</f>
        <v>28.405650793650793</v>
      </c>
      <c r="T42" s="331">
        <f t="shared" si="36"/>
        <v>31.432408828453532</v>
      </c>
      <c r="U42" s="422">
        <f t="shared" si="36"/>
        <v>33</v>
      </c>
      <c r="V42" s="331">
        <f t="shared" si="36"/>
        <v>34.456000000000003</v>
      </c>
      <c r="W42" s="331">
        <f t="shared" si="36"/>
        <v>34.491799999999998</v>
      </c>
      <c r="X42" s="331">
        <f t="shared" si="36"/>
        <v>35.360278200000003</v>
      </c>
      <c r="Y42" s="331">
        <f>Y39-Y41</f>
        <v>35.925336087999995</v>
      </c>
      <c r="AA42" s="368"/>
      <c r="AK42" s="148"/>
      <c r="AL42" s="148"/>
      <c r="AM42" s="148"/>
      <c r="AN42" s="148"/>
      <c r="AO42" s="148"/>
      <c r="AP42" s="148"/>
      <c r="AQ42" s="148"/>
    </row>
    <row r="43" spans="2:43">
      <c r="C43" s="148"/>
      <c r="D43" s="332"/>
      <c r="E43" s="332"/>
      <c r="F43" s="332"/>
      <c r="G43" s="332"/>
      <c r="H43" s="332"/>
      <c r="I43" s="332"/>
      <c r="J43" s="332"/>
      <c r="K43" s="332"/>
      <c r="L43" s="332"/>
      <c r="M43" s="332"/>
      <c r="N43" s="332"/>
      <c r="O43" s="332"/>
      <c r="P43" s="332"/>
      <c r="Q43" s="332"/>
      <c r="R43" s="332"/>
      <c r="S43" s="332"/>
      <c r="T43" s="332"/>
      <c r="U43" s="332"/>
      <c r="V43" s="332"/>
      <c r="W43" s="332"/>
      <c r="X43" s="332"/>
      <c r="Y43" s="332"/>
      <c r="AA43" s="368"/>
      <c r="AK43" s="148"/>
      <c r="AL43" s="148"/>
      <c r="AM43" s="148"/>
      <c r="AN43" s="148"/>
      <c r="AO43" s="148"/>
      <c r="AP43" s="148"/>
      <c r="AQ43" s="148"/>
    </row>
    <row r="44" spans="2:43">
      <c r="C44" s="220" t="s">
        <v>515</v>
      </c>
      <c r="D44" s="316"/>
      <c r="E44" s="316"/>
      <c r="F44" s="316"/>
      <c r="G44" s="316"/>
      <c r="H44" s="316"/>
      <c r="I44" s="316">
        <v>304</v>
      </c>
      <c r="J44" s="316">
        <v>308</v>
      </c>
      <c r="K44" s="316">
        <f>J44+3</f>
        <v>311</v>
      </c>
      <c r="L44" s="316">
        <f t="shared" ref="L44:Q44" si="37">K44+3</f>
        <v>314</v>
      </c>
      <c r="M44" s="316">
        <f t="shared" si="37"/>
        <v>317</v>
      </c>
      <c r="N44" s="316">
        <f t="shared" si="37"/>
        <v>320</v>
      </c>
      <c r="O44" s="316">
        <f t="shared" si="37"/>
        <v>323</v>
      </c>
      <c r="P44" s="316">
        <f t="shared" si="37"/>
        <v>326</v>
      </c>
      <c r="Q44" s="316">
        <f t="shared" si="37"/>
        <v>329</v>
      </c>
      <c r="R44" s="332">
        <v>333</v>
      </c>
      <c r="S44" s="332">
        <v>334</v>
      </c>
      <c r="T44" s="332">
        <v>335</v>
      </c>
      <c r="U44" s="332">
        <v>336</v>
      </c>
      <c r="V44" s="332">
        <v>338</v>
      </c>
      <c r="W44" s="332">
        <v>339</v>
      </c>
      <c r="X44" s="316">
        <v>340</v>
      </c>
      <c r="Y44" s="316">
        <v>341</v>
      </c>
      <c r="AA44" s="368"/>
      <c r="AK44" s="148"/>
      <c r="AL44" s="148"/>
      <c r="AM44" s="148"/>
      <c r="AN44" s="148"/>
      <c r="AO44" s="148"/>
      <c r="AP44" s="148"/>
      <c r="AQ44" s="148"/>
    </row>
    <row r="45" spans="2:43">
      <c r="C45" s="220" t="s">
        <v>511</v>
      </c>
      <c r="D45" s="316"/>
      <c r="E45" s="316"/>
      <c r="F45" s="316"/>
      <c r="G45" s="316"/>
      <c r="H45" s="316"/>
      <c r="I45" s="333">
        <f t="shared" ref="I45:Y45" si="38">I44/I3</f>
        <v>2.5982905982905984</v>
      </c>
      <c r="J45" s="333">
        <f t="shared" si="38"/>
        <v>2.6324786324786325</v>
      </c>
      <c r="K45" s="333">
        <f t="shared" si="38"/>
        <v>2.6134453781512605</v>
      </c>
      <c r="L45" s="333">
        <f t="shared" si="38"/>
        <v>2.5950413223140494</v>
      </c>
      <c r="M45" s="333">
        <f t="shared" si="38"/>
        <v>2.598360655737705</v>
      </c>
      <c r="N45" s="333">
        <f t="shared" si="38"/>
        <v>2.6016260162601625</v>
      </c>
      <c r="O45" s="333">
        <f t="shared" si="38"/>
        <v>2.6048387096774195</v>
      </c>
      <c r="P45" s="333">
        <f t="shared" si="38"/>
        <v>2.6080000000000001</v>
      </c>
      <c r="Q45" s="333">
        <f t="shared" si="38"/>
        <v>2.6111111111111112</v>
      </c>
      <c r="R45" s="333">
        <f t="shared" si="38"/>
        <v>2.6015625</v>
      </c>
      <c r="S45" s="333">
        <f t="shared" si="38"/>
        <v>2.5891472868217056</v>
      </c>
      <c r="T45" s="333">
        <f t="shared" si="38"/>
        <v>2.6171875</v>
      </c>
      <c r="U45" s="333">
        <f t="shared" si="38"/>
        <v>2.625</v>
      </c>
      <c r="V45" s="333">
        <f t="shared" si="38"/>
        <v>2.6201550387596901</v>
      </c>
      <c r="W45" s="333">
        <f t="shared" si="38"/>
        <v>2.5877862595419847</v>
      </c>
      <c r="X45" s="333">
        <f t="shared" si="38"/>
        <v>2.5757575757575757</v>
      </c>
      <c r="Y45" s="333">
        <f t="shared" si="38"/>
        <v>2.5639097744360901</v>
      </c>
      <c r="AA45" s="368"/>
      <c r="AK45" s="148"/>
      <c r="AL45" s="148"/>
      <c r="AM45" s="148"/>
      <c r="AN45" s="148"/>
      <c r="AO45" s="148"/>
      <c r="AP45" s="148"/>
      <c r="AQ45" s="148"/>
    </row>
    <row r="46" spans="2:43">
      <c r="C46" s="227" t="s">
        <v>516</v>
      </c>
      <c r="D46" s="316"/>
      <c r="E46" s="316"/>
      <c r="F46" s="316"/>
      <c r="G46" s="316"/>
      <c r="H46" s="316"/>
      <c r="I46" s="317">
        <v>0.78</v>
      </c>
      <c r="J46" s="317">
        <v>0.78</v>
      </c>
      <c r="K46" s="317">
        <v>0.78</v>
      </c>
      <c r="L46" s="317">
        <v>0.78</v>
      </c>
      <c r="M46" s="317">
        <v>0.78</v>
      </c>
      <c r="N46" s="317">
        <v>0.78</v>
      </c>
      <c r="O46" s="317">
        <v>0.78</v>
      </c>
      <c r="P46" s="317">
        <v>0.78</v>
      </c>
      <c r="Q46" s="317">
        <v>0.78</v>
      </c>
      <c r="R46" s="317">
        <v>0.78</v>
      </c>
      <c r="S46" s="317">
        <v>0.78</v>
      </c>
      <c r="T46" s="317">
        <v>0.78</v>
      </c>
      <c r="U46" s="317">
        <v>0.78</v>
      </c>
      <c r="V46" s="317">
        <v>0.78</v>
      </c>
      <c r="W46" s="317">
        <v>0.78</v>
      </c>
      <c r="X46" s="317">
        <v>0.78</v>
      </c>
      <c r="Y46" s="317">
        <v>0.78</v>
      </c>
      <c r="AA46" s="368" t="s">
        <v>517</v>
      </c>
      <c r="AK46" s="148"/>
      <c r="AL46" s="148"/>
      <c r="AM46" s="148"/>
      <c r="AN46" s="148"/>
      <c r="AO46" s="148"/>
      <c r="AP46" s="148"/>
      <c r="AQ46" s="148"/>
    </row>
    <row r="47" spans="2:43">
      <c r="C47" s="220" t="s">
        <v>512</v>
      </c>
      <c r="D47" s="316"/>
      <c r="E47" s="316"/>
      <c r="F47" s="316"/>
      <c r="G47" s="316"/>
      <c r="H47" s="316"/>
      <c r="I47" s="333">
        <f t="shared" ref="I47:Q47" si="39">14.1/8</f>
        <v>1.7625</v>
      </c>
      <c r="J47" s="333">
        <f t="shared" si="39"/>
        <v>1.7625</v>
      </c>
      <c r="K47" s="333">
        <f t="shared" si="39"/>
        <v>1.7625</v>
      </c>
      <c r="L47" s="333">
        <f t="shared" si="39"/>
        <v>1.7625</v>
      </c>
      <c r="M47" s="333">
        <f t="shared" si="39"/>
        <v>1.7625</v>
      </c>
      <c r="N47" s="333">
        <f t="shared" si="39"/>
        <v>1.7625</v>
      </c>
      <c r="O47" s="333">
        <f t="shared" si="39"/>
        <v>1.7625</v>
      </c>
      <c r="P47" s="333">
        <f t="shared" si="39"/>
        <v>1.7625</v>
      </c>
      <c r="Q47" s="333">
        <f t="shared" si="39"/>
        <v>1.7625</v>
      </c>
      <c r="R47" s="333">
        <f>14.1/8</f>
        <v>1.7625</v>
      </c>
      <c r="S47" s="333">
        <f t="shared" ref="S47:Y47" si="40">14.1/8</f>
        <v>1.7625</v>
      </c>
      <c r="T47" s="333">
        <f t="shared" si="40"/>
        <v>1.7625</v>
      </c>
      <c r="U47" s="333">
        <f t="shared" si="40"/>
        <v>1.7625</v>
      </c>
      <c r="V47" s="333">
        <f t="shared" si="40"/>
        <v>1.7625</v>
      </c>
      <c r="W47" s="333">
        <f t="shared" si="40"/>
        <v>1.7625</v>
      </c>
      <c r="X47" s="333">
        <f t="shared" si="40"/>
        <v>1.7625</v>
      </c>
      <c r="Y47" s="333">
        <f t="shared" si="40"/>
        <v>1.7625</v>
      </c>
      <c r="AA47" s="25" t="s">
        <v>391</v>
      </c>
      <c r="AK47" s="148"/>
      <c r="AL47" s="222"/>
      <c r="AM47" s="222"/>
      <c r="AN47" s="222"/>
      <c r="AO47" s="148"/>
      <c r="AP47" s="148"/>
      <c r="AQ47" s="148"/>
    </row>
    <row r="48" spans="2:43">
      <c r="C48" s="220" t="s">
        <v>709</v>
      </c>
      <c r="D48" s="316"/>
      <c r="E48" s="316"/>
      <c r="F48" s="316"/>
      <c r="G48" s="316"/>
      <c r="H48" s="316"/>
      <c r="I48" s="460">
        <v>0.99</v>
      </c>
      <c r="J48" s="460">
        <v>0.99</v>
      </c>
      <c r="K48" s="460">
        <v>0.99</v>
      </c>
      <c r="L48" s="460">
        <v>0.9</v>
      </c>
      <c r="M48" s="460">
        <v>0.82</v>
      </c>
      <c r="N48" s="460">
        <v>0.82</v>
      </c>
      <c r="O48" s="460">
        <v>0.82</v>
      </c>
      <c r="P48" s="460">
        <v>0.82</v>
      </c>
      <c r="Q48" s="460">
        <v>0.82</v>
      </c>
      <c r="R48" s="460">
        <v>0.82</v>
      </c>
      <c r="S48" s="460">
        <v>0.82</v>
      </c>
      <c r="T48" s="460">
        <v>0.82</v>
      </c>
      <c r="U48" s="460">
        <v>0.82</v>
      </c>
      <c r="V48" s="460">
        <v>0.82</v>
      </c>
      <c r="W48" s="460">
        <v>0.82</v>
      </c>
      <c r="X48" s="460">
        <v>0.82</v>
      </c>
      <c r="Y48" s="460">
        <v>0.82</v>
      </c>
      <c r="AA48" s="368" t="s">
        <v>711</v>
      </c>
      <c r="AK48" s="148"/>
      <c r="AL48" s="222"/>
      <c r="AM48" s="222"/>
      <c r="AN48" s="222"/>
      <c r="AO48" s="148"/>
      <c r="AP48" s="148"/>
      <c r="AQ48" s="148"/>
    </row>
    <row r="49" spans="3:43">
      <c r="C49" s="220" t="s">
        <v>710</v>
      </c>
      <c r="D49" s="316"/>
      <c r="E49" s="316"/>
      <c r="F49" s="316"/>
      <c r="G49" s="316"/>
      <c r="H49" s="316"/>
      <c r="I49" s="462">
        <v>0.99</v>
      </c>
      <c r="J49" s="462">
        <v>0.93</v>
      </c>
      <c r="K49" s="462">
        <v>0.9</v>
      </c>
      <c r="L49" s="462">
        <v>0.85</v>
      </c>
      <c r="M49" s="462">
        <v>0.75</v>
      </c>
      <c r="N49" s="462">
        <v>0.65</v>
      </c>
      <c r="O49" s="462">
        <v>0.56000000000000005</v>
      </c>
      <c r="P49" s="462">
        <v>0.52</v>
      </c>
      <c r="Q49" s="462">
        <v>0.5</v>
      </c>
      <c r="R49" s="462">
        <v>0.5</v>
      </c>
      <c r="S49" s="462">
        <v>0.48</v>
      </c>
      <c r="T49" s="462">
        <v>0.46</v>
      </c>
      <c r="U49" s="462">
        <v>0.46</v>
      </c>
      <c r="V49" s="462">
        <v>0.45</v>
      </c>
      <c r="W49" s="462">
        <v>0.44</v>
      </c>
      <c r="X49" s="462">
        <v>0.43</v>
      </c>
      <c r="Y49" s="462">
        <v>0.42</v>
      </c>
      <c r="AA49" s="368"/>
      <c r="AK49" s="148"/>
      <c r="AL49" s="222"/>
      <c r="AM49" s="222"/>
      <c r="AN49" s="222"/>
      <c r="AO49" s="148"/>
      <c r="AP49" s="148"/>
      <c r="AQ49" s="148"/>
    </row>
    <row r="50" spans="3:43">
      <c r="C50" s="220" t="s">
        <v>883</v>
      </c>
      <c r="D50" s="316"/>
      <c r="E50" s="316"/>
      <c r="F50" s="316"/>
      <c r="G50" s="316"/>
      <c r="H50" s="316"/>
      <c r="I50" s="461">
        <f>I48*I49</f>
        <v>0.98009999999999997</v>
      </c>
      <c r="J50" s="461">
        <f t="shared" ref="J50:Y50" si="41">J48*J49</f>
        <v>0.92070000000000007</v>
      </c>
      <c r="K50" s="461">
        <f t="shared" si="41"/>
        <v>0.89100000000000001</v>
      </c>
      <c r="L50" s="461">
        <f t="shared" si="41"/>
        <v>0.76500000000000001</v>
      </c>
      <c r="M50" s="461">
        <f t="shared" si="41"/>
        <v>0.61499999999999999</v>
      </c>
      <c r="N50" s="461">
        <f t="shared" si="41"/>
        <v>0.53300000000000003</v>
      </c>
      <c r="O50" s="461">
        <f t="shared" si="41"/>
        <v>0.4592</v>
      </c>
      <c r="P50" s="461">
        <f t="shared" si="41"/>
        <v>0.4264</v>
      </c>
      <c r="Q50" s="461">
        <f t="shared" si="41"/>
        <v>0.41</v>
      </c>
      <c r="R50" s="461">
        <f t="shared" si="41"/>
        <v>0.41</v>
      </c>
      <c r="S50" s="461">
        <f t="shared" si="41"/>
        <v>0.39359999999999995</v>
      </c>
      <c r="T50" s="461">
        <f t="shared" si="41"/>
        <v>0.37719999999999998</v>
      </c>
      <c r="U50" s="461">
        <f t="shared" si="41"/>
        <v>0.37719999999999998</v>
      </c>
      <c r="V50" s="461">
        <f t="shared" si="41"/>
        <v>0.36899999999999999</v>
      </c>
      <c r="W50" s="461">
        <f t="shared" si="41"/>
        <v>0.36079999999999995</v>
      </c>
      <c r="X50" s="461">
        <f t="shared" si="41"/>
        <v>0.35259999999999997</v>
      </c>
      <c r="Y50" s="461">
        <f t="shared" si="41"/>
        <v>0.34439999999999998</v>
      </c>
      <c r="AA50" s="368" t="s">
        <v>690</v>
      </c>
      <c r="AK50" s="148"/>
      <c r="AL50" s="148"/>
      <c r="AM50" s="148"/>
      <c r="AN50" s="148"/>
      <c r="AO50" s="148"/>
      <c r="AP50" s="148"/>
      <c r="AQ50" s="148"/>
    </row>
    <row r="51" spans="3:43">
      <c r="C51" s="148"/>
      <c r="D51" s="332"/>
      <c r="E51" s="332"/>
      <c r="F51" s="332"/>
      <c r="G51" s="332"/>
      <c r="H51" s="332"/>
      <c r="I51" s="332"/>
      <c r="J51" s="332"/>
      <c r="K51" s="332"/>
      <c r="L51" s="332"/>
      <c r="M51" s="332"/>
      <c r="N51" s="332"/>
      <c r="O51" s="332"/>
      <c r="P51" s="332"/>
      <c r="Q51" s="332"/>
      <c r="R51" s="332"/>
      <c r="S51" s="332"/>
      <c r="T51" s="332"/>
      <c r="U51" s="332"/>
      <c r="V51" s="332"/>
      <c r="W51" s="332"/>
      <c r="X51" s="332"/>
      <c r="Y51" s="332"/>
      <c r="AA51" s="368"/>
      <c r="AK51" s="148"/>
      <c r="AL51" s="147"/>
      <c r="AM51" s="147"/>
      <c r="AN51" s="147"/>
      <c r="AO51" s="148"/>
      <c r="AP51" s="148"/>
      <c r="AQ51" s="148"/>
    </row>
    <row r="52" spans="3:43">
      <c r="C52" s="220" t="s">
        <v>513</v>
      </c>
      <c r="D52" s="316"/>
      <c r="E52" s="316"/>
      <c r="F52" s="316"/>
      <c r="G52" s="316"/>
      <c r="H52" s="316"/>
      <c r="I52" s="334">
        <f t="shared" ref="I52:Q52" si="42">I45*I42*I47*I50*I46</f>
        <v>5.3213941440000001</v>
      </c>
      <c r="J52" s="334">
        <f t="shared" si="42"/>
        <v>13.794255172882799</v>
      </c>
      <c r="K52" s="334">
        <f t="shared" si="42"/>
        <v>19.09038441614852</v>
      </c>
      <c r="L52" s="334">
        <f>L45*L42*L47*L50*L46</f>
        <v>23.116008824999998</v>
      </c>
      <c r="M52" s="334">
        <f t="shared" si="42"/>
        <v>26.713565055737707</v>
      </c>
      <c r="N52" s="334">
        <f t="shared" si="42"/>
        <v>28.594800000000003</v>
      </c>
      <c r="O52" s="334">
        <f t="shared" si="42"/>
        <v>28.950883001385211</v>
      </c>
      <c r="P52" s="334">
        <f t="shared" si="42"/>
        <v>30.226870183470464</v>
      </c>
      <c r="Q52" s="334">
        <f t="shared" si="42"/>
        <v>32.788715878771157</v>
      </c>
      <c r="R52" s="334">
        <f>R45*R42*R47*R50*R46</f>
        <v>36.659104980468747</v>
      </c>
      <c r="S52" s="334">
        <f t="shared" ref="S52:X52" si="43">S45*S42*S47*S50*S46</f>
        <v>39.796082118017274</v>
      </c>
      <c r="T52" s="334">
        <f t="shared" si="43"/>
        <v>42.658729261819076</v>
      </c>
      <c r="U52" s="334">
        <f t="shared" si="43"/>
        <v>44.919887512499997</v>
      </c>
      <c r="V52" s="334">
        <f t="shared" si="43"/>
        <v>45.797518129395357</v>
      </c>
      <c r="W52" s="334">
        <f t="shared" si="43"/>
        <v>44.272548151587465</v>
      </c>
      <c r="X52" s="334">
        <f t="shared" si="43"/>
        <v>44.149592088857332</v>
      </c>
      <c r="Y52" s="334">
        <f>Y45*Y42*Y47*Y50*Y46</f>
        <v>43.610438037330908</v>
      </c>
      <c r="AA52" s="368" t="s">
        <v>519</v>
      </c>
      <c r="AK52" s="148"/>
      <c r="AL52" s="148"/>
      <c r="AM52" s="147"/>
      <c r="AN52" s="148"/>
      <c r="AO52" s="148"/>
      <c r="AP52" s="148"/>
      <c r="AQ52" s="148"/>
    </row>
    <row r="53" spans="3:43">
      <c r="C53" s="220" t="s">
        <v>676</v>
      </c>
      <c r="D53" s="316"/>
      <c r="E53" s="316"/>
      <c r="F53" s="316"/>
      <c r="G53" s="316"/>
      <c r="H53" s="316"/>
      <c r="I53" s="413">
        <f>I52*365</f>
        <v>1942.3088625600001</v>
      </c>
      <c r="J53" s="413">
        <f t="shared" ref="J53:Y53" si="44">J52*365</f>
        <v>5034.9031381022214</v>
      </c>
      <c r="K53" s="413">
        <f t="shared" si="44"/>
        <v>6967.9903118942102</v>
      </c>
      <c r="L53" s="413">
        <f t="shared" si="44"/>
        <v>8437.3432211250001</v>
      </c>
      <c r="M53" s="413">
        <f t="shared" si="44"/>
        <v>9750.4512453442621</v>
      </c>
      <c r="N53" s="413">
        <f t="shared" si="44"/>
        <v>10437.102000000001</v>
      </c>
      <c r="O53" s="413">
        <f t="shared" si="44"/>
        <v>10567.072295505603</v>
      </c>
      <c r="P53" s="413">
        <f t="shared" si="44"/>
        <v>11032.807616966718</v>
      </c>
      <c r="Q53" s="413">
        <f t="shared" si="44"/>
        <v>11967.881295751473</v>
      </c>
      <c r="R53" s="413">
        <f t="shared" si="44"/>
        <v>13380.573317871093</v>
      </c>
      <c r="S53" s="413">
        <f t="shared" si="44"/>
        <v>14525.569973076304</v>
      </c>
      <c r="T53" s="413">
        <f t="shared" si="44"/>
        <v>15570.436180563962</v>
      </c>
      <c r="U53" s="413">
        <f t="shared" si="44"/>
        <v>16395.758942062497</v>
      </c>
      <c r="V53" s="413">
        <f t="shared" si="44"/>
        <v>16716.094117229306</v>
      </c>
      <c r="W53" s="413">
        <f t="shared" si="44"/>
        <v>16159.480075329424</v>
      </c>
      <c r="X53" s="413">
        <f t="shared" si="44"/>
        <v>16114.601112432927</v>
      </c>
      <c r="Y53" s="413">
        <f t="shared" si="44"/>
        <v>15917.809883625781</v>
      </c>
      <c r="AA53" s="368"/>
      <c r="AK53" s="148"/>
      <c r="AL53" s="148"/>
      <c r="AM53" s="147"/>
      <c r="AN53" s="148"/>
      <c r="AO53" s="148"/>
      <c r="AP53" s="148"/>
      <c r="AQ53" s="148"/>
    </row>
    <row r="54" spans="3:43">
      <c r="C54" s="220"/>
      <c r="D54" s="316"/>
      <c r="E54" s="316"/>
      <c r="F54" s="316"/>
      <c r="G54" s="316"/>
      <c r="H54" s="316"/>
      <c r="I54" s="413"/>
      <c r="J54" s="413"/>
      <c r="K54" s="413"/>
      <c r="L54" s="413"/>
      <c r="M54" s="413"/>
      <c r="N54" s="413"/>
      <c r="O54" s="414">
        <v>10500</v>
      </c>
      <c r="P54" s="413"/>
      <c r="Q54" s="413"/>
      <c r="R54" s="413"/>
      <c r="S54" s="413"/>
      <c r="T54" s="413"/>
      <c r="U54" s="413"/>
      <c r="V54" s="413"/>
      <c r="W54" s="413"/>
      <c r="X54" s="413"/>
      <c r="Y54" s="413"/>
      <c r="AA54" s="368"/>
      <c r="AK54" s="148"/>
      <c r="AL54" s="148"/>
      <c r="AM54" s="147"/>
      <c r="AN54" s="148"/>
      <c r="AO54" s="148"/>
      <c r="AP54" s="148"/>
      <c r="AQ54" s="148"/>
    </row>
    <row r="55" spans="3:43">
      <c r="C55" s="389" t="s">
        <v>699</v>
      </c>
      <c r="D55" s="421"/>
      <c r="E55" s="421"/>
      <c r="F55" s="421"/>
      <c r="G55" s="421"/>
      <c r="H55" s="421"/>
      <c r="I55" s="431">
        <f>I52/I42</f>
        <v>3.5009172</v>
      </c>
      <c r="J55" s="431">
        <f t="shared" ref="J55:Y55" si="45">J52/J42</f>
        <v>3.3320133000000003</v>
      </c>
      <c r="K55" s="431">
        <f t="shared" si="45"/>
        <v>3.2012151239495803</v>
      </c>
      <c r="L55" s="431">
        <f t="shared" si="45"/>
        <v>2.7291627892561983</v>
      </c>
      <c r="M55" s="431">
        <f t="shared" si="45"/>
        <v>2.196839231557377</v>
      </c>
      <c r="N55" s="431">
        <f t="shared" si="45"/>
        <v>1.9063200000000002</v>
      </c>
      <c r="O55" s="431">
        <f t="shared" si="45"/>
        <v>1.6443961258064514</v>
      </c>
      <c r="P55" s="431">
        <f t="shared" si="45"/>
        <v>1.5287923872</v>
      </c>
      <c r="Q55" s="431">
        <f t="shared" si="45"/>
        <v>1.4717462499999998</v>
      </c>
      <c r="R55" s="431">
        <f t="shared" si="45"/>
        <v>1.4663641992187499</v>
      </c>
      <c r="S55" s="431">
        <f t="shared" si="45"/>
        <v>1.4009917395348837</v>
      </c>
      <c r="T55" s="431">
        <f t="shared" si="45"/>
        <v>1.35715749609375</v>
      </c>
      <c r="U55" s="431">
        <f t="shared" si="45"/>
        <v>1.3612087124999999</v>
      </c>
      <c r="V55" s="431">
        <f t="shared" si="45"/>
        <v>1.3291594534883722</v>
      </c>
      <c r="W55" s="431">
        <f t="shared" si="45"/>
        <v>1.2835673450381675</v>
      </c>
      <c r="X55" s="431">
        <f t="shared" si="45"/>
        <v>1.2485646136363635</v>
      </c>
      <c r="Y55" s="431">
        <f t="shared" si="45"/>
        <v>1.2139187210526317</v>
      </c>
      <c r="AA55" s="368"/>
      <c r="AK55" s="148"/>
      <c r="AL55" s="148"/>
      <c r="AM55" s="147"/>
      <c r="AN55" s="148"/>
      <c r="AO55" s="148"/>
      <c r="AP55" s="148"/>
      <c r="AQ55" s="148"/>
    </row>
    <row r="56" spans="3:43">
      <c r="C56" s="220"/>
      <c r="D56" s="316"/>
      <c r="E56" s="316"/>
      <c r="F56" s="316"/>
      <c r="G56" s="316"/>
      <c r="H56" s="316"/>
      <c r="I56" s="334"/>
      <c r="J56" s="334"/>
      <c r="K56" s="334"/>
      <c r="L56" s="334"/>
      <c r="M56" s="334"/>
      <c r="N56" s="334"/>
      <c r="O56" s="376"/>
      <c r="P56" s="334"/>
      <c r="Q56" s="334"/>
      <c r="R56" s="334"/>
      <c r="S56" s="334"/>
      <c r="T56" s="334"/>
      <c r="U56" s="334"/>
      <c r="V56" s="334"/>
      <c r="W56" s="334"/>
      <c r="X56" s="334"/>
      <c r="Y56" s="334"/>
      <c r="AA56" s="368"/>
      <c r="AK56" s="148"/>
      <c r="AL56" s="148"/>
      <c r="AM56" s="147"/>
      <c r="AN56" s="148"/>
      <c r="AO56" s="148"/>
      <c r="AP56" s="148"/>
      <c r="AQ56" s="148"/>
    </row>
    <row r="57" spans="3:43">
      <c r="C57" s="220" t="s">
        <v>706</v>
      </c>
      <c r="D57" s="316"/>
      <c r="E57" s="316"/>
      <c r="F57" s="316"/>
      <c r="G57" s="316"/>
      <c r="H57" s="316"/>
      <c r="I57" s="334"/>
      <c r="J57" s="410">
        <f t="shared" ref="J57:Y57" si="46">J53/I53-1</f>
        <v>1.5922257963988917</v>
      </c>
      <c r="K57" s="410">
        <f t="shared" si="46"/>
        <v>0.38393731135821141</v>
      </c>
      <c r="L57" s="410">
        <f t="shared" si="46"/>
        <v>0.21087183584664815</v>
      </c>
      <c r="M57" s="410">
        <f t="shared" si="46"/>
        <v>0.15563050948686885</v>
      </c>
      <c r="N57" s="410">
        <f t="shared" si="46"/>
        <v>7.0422459163990814E-2</v>
      </c>
      <c r="O57" s="410">
        <f t="shared" si="46"/>
        <v>1.245271872456577E-2</v>
      </c>
      <c r="P57" s="410">
        <f t="shared" si="46"/>
        <v>4.4074206027643337E-2</v>
      </c>
      <c r="Q57" s="410">
        <f t="shared" si="46"/>
        <v>8.4753918607876289E-2</v>
      </c>
      <c r="R57" s="410">
        <f t="shared" si="46"/>
        <v>0.11804027690524621</v>
      </c>
      <c r="S57" s="410">
        <f t="shared" si="46"/>
        <v>8.5571569170056039E-2</v>
      </c>
      <c r="T57" s="410">
        <f t="shared" si="46"/>
        <v>7.1932888652518123E-2</v>
      </c>
      <c r="U57" s="410">
        <f t="shared" si="46"/>
        <v>5.3005757316468616E-2</v>
      </c>
      <c r="V57" s="410">
        <f t="shared" si="46"/>
        <v>1.9537685098858448E-2</v>
      </c>
      <c r="W57" s="616">
        <f t="shared" si="46"/>
        <v>-3.3298092125850109E-2</v>
      </c>
      <c r="X57" s="616">
        <f t="shared" si="46"/>
        <v>-2.7772528996780066E-3</v>
      </c>
      <c r="Y57" s="616">
        <f t="shared" si="46"/>
        <v>-1.2211982625825901E-2</v>
      </c>
      <c r="AA57" s="368"/>
      <c r="AK57" s="148"/>
      <c r="AL57" s="148"/>
      <c r="AM57" s="147"/>
      <c r="AN57" s="148"/>
      <c r="AO57" s="148"/>
      <c r="AP57" s="148"/>
      <c r="AQ57" s="148"/>
    </row>
    <row r="58" spans="3:43" s="19" customFormat="1">
      <c r="C58" s="427" t="s">
        <v>705</v>
      </c>
      <c r="D58" s="428"/>
      <c r="E58" s="428"/>
      <c r="F58" s="428"/>
      <c r="G58" s="428"/>
      <c r="H58" s="428"/>
      <c r="I58" s="412"/>
      <c r="J58" s="412"/>
      <c r="K58" s="412">
        <v>0.76</v>
      </c>
      <c r="L58" s="412">
        <v>0.49099999999999999</v>
      </c>
      <c r="M58" s="412">
        <v>0.25600000000000001</v>
      </c>
      <c r="N58" s="412">
        <v>0.17399999999999999</v>
      </c>
      <c r="O58" s="430">
        <v>6.9000000000000006E-2</v>
      </c>
      <c r="P58" s="412"/>
      <c r="Q58" s="412"/>
      <c r="R58" s="412">
        <f>Tower!Q90</f>
        <v>7.3999999999999996E-2</v>
      </c>
      <c r="S58" s="412">
        <f>Tower!V90</f>
        <v>0.09</v>
      </c>
      <c r="T58" s="412">
        <f>Tower!AA90</f>
        <v>6.3E-2</v>
      </c>
      <c r="U58" s="412">
        <f>Tower!AF90</f>
        <v>5.6000000000000001E-2</v>
      </c>
      <c r="V58" s="412">
        <f>Tower!AK90</f>
        <v>1.4E-2</v>
      </c>
      <c r="W58" s="412"/>
      <c r="X58" s="412"/>
      <c r="Y58" s="412"/>
      <c r="AA58" s="429"/>
      <c r="AK58" s="359"/>
      <c r="AL58" s="359"/>
      <c r="AM58" s="359"/>
      <c r="AN58" s="359"/>
      <c r="AO58" s="359"/>
      <c r="AP58" s="359"/>
      <c r="AQ58" s="359"/>
    </row>
    <row r="59" spans="3:43">
      <c r="C59" s="220"/>
      <c r="D59" s="316"/>
      <c r="E59" s="316"/>
      <c r="F59" s="316"/>
      <c r="G59" s="316"/>
      <c r="H59" s="316"/>
      <c r="I59" s="334"/>
      <c r="J59" s="334"/>
      <c r="K59" s="334"/>
      <c r="L59" s="334"/>
      <c r="M59" s="334"/>
      <c r="N59" s="334"/>
      <c r="O59" s="376"/>
      <c r="P59" s="334"/>
      <c r="Q59" s="334"/>
      <c r="S59" s="334"/>
      <c r="T59" s="334"/>
      <c r="U59" s="334"/>
      <c r="V59" s="334"/>
      <c r="W59" s="334"/>
      <c r="X59" s="334"/>
      <c r="Y59" s="334"/>
      <c r="AA59" s="368"/>
      <c r="AK59" s="148"/>
      <c r="AL59" s="148"/>
      <c r="AM59" s="147"/>
      <c r="AN59" s="148"/>
      <c r="AO59" s="148"/>
      <c r="AP59" s="148"/>
      <c r="AQ59" s="148"/>
    </row>
    <row r="60" spans="3:43">
      <c r="C60" s="411" t="s">
        <v>507</v>
      </c>
      <c r="D60" s="316"/>
      <c r="E60" s="316"/>
      <c r="F60" s="316"/>
      <c r="G60" s="316"/>
      <c r="H60" s="316"/>
      <c r="I60" s="334"/>
      <c r="J60" s="334"/>
      <c r="K60" s="325">
        <f t="shared" ref="K60:O60" si="47">K57-K58</f>
        <v>-0.3760626886417886</v>
      </c>
      <c r="L60" s="325">
        <f t="shared" si="47"/>
        <v>-0.28012816415335184</v>
      </c>
      <c r="M60" s="325">
        <f t="shared" si="47"/>
        <v>-0.10036949051313115</v>
      </c>
      <c r="N60" s="325">
        <f t="shared" si="47"/>
        <v>-0.10357754083600917</v>
      </c>
      <c r="O60" s="325">
        <f t="shared" si="47"/>
        <v>-5.6547281275434236E-2</v>
      </c>
      <c r="P60" s="334"/>
      <c r="Q60" s="334"/>
      <c r="R60" s="325">
        <f>R57-R58</f>
        <v>4.4040276905246215E-2</v>
      </c>
      <c r="S60" s="325">
        <f t="shared" ref="S60:V60" si="48">S57-S58</f>
        <v>-4.4284308299439579E-3</v>
      </c>
      <c r="T60" s="325">
        <f t="shared" si="48"/>
        <v>8.9328886525181228E-3</v>
      </c>
      <c r="U60" s="325">
        <f t="shared" si="48"/>
        <v>-2.9942426835313854E-3</v>
      </c>
      <c r="V60" s="325">
        <f t="shared" si="48"/>
        <v>5.537685098858448E-3</v>
      </c>
      <c r="W60" s="334"/>
      <c r="X60" s="334"/>
      <c r="Y60" s="334"/>
      <c r="AA60" s="368"/>
      <c r="AK60" s="148"/>
      <c r="AL60" s="148"/>
      <c r="AM60" s="147"/>
      <c r="AN60" s="148"/>
      <c r="AO60" s="148"/>
      <c r="AP60" s="148"/>
      <c r="AQ60" s="148"/>
    </row>
    <row r="61" spans="3:43" s="148" customFormat="1">
      <c r="D61" s="332"/>
      <c r="E61" s="332"/>
      <c r="F61" s="332"/>
      <c r="G61" s="332"/>
      <c r="H61" s="332"/>
      <c r="I61" s="332"/>
      <c r="J61" s="332"/>
      <c r="K61" s="332"/>
      <c r="L61" s="332"/>
      <c r="M61" s="332"/>
      <c r="N61" s="332"/>
      <c r="O61" s="332"/>
      <c r="P61" s="332"/>
      <c r="Q61" s="332"/>
      <c r="R61" s="332"/>
      <c r="S61" s="332"/>
      <c r="T61" s="332"/>
      <c r="U61" s="332"/>
      <c r="V61" s="332"/>
      <c r="W61" s="332"/>
      <c r="X61" s="332"/>
      <c r="Y61" s="332"/>
      <c r="AA61" s="368"/>
      <c r="AL61" s="147"/>
      <c r="AM61" s="147"/>
      <c r="AN61" s="147"/>
    </row>
    <row r="62" spans="3:43">
      <c r="C62" s="220" t="s">
        <v>518</v>
      </c>
      <c r="D62" s="316"/>
      <c r="E62" s="316"/>
      <c r="F62" s="316"/>
      <c r="G62" s="316"/>
      <c r="H62" s="316"/>
      <c r="I62" s="360">
        <f t="shared" ref="I62:M62" si="49">J62+0.01</f>
        <v>0.73265999999999998</v>
      </c>
      <c r="J62" s="360">
        <f t="shared" si="49"/>
        <v>0.72265999999999997</v>
      </c>
      <c r="K62" s="360">
        <f t="shared" si="49"/>
        <v>0.71265999999999996</v>
      </c>
      <c r="L62" s="360">
        <f t="shared" si="49"/>
        <v>0.70265999999999995</v>
      </c>
      <c r="M62" s="360">
        <f t="shared" si="49"/>
        <v>0.69265999999999994</v>
      </c>
      <c r="N62" s="360">
        <f>O62+0.01</f>
        <v>0.68265999999999993</v>
      </c>
      <c r="O62" s="360">
        <v>0.67265999999999992</v>
      </c>
      <c r="P62" s="360">
        <v>0.61</v>
      </c>
      <c r="Q62" s="360">
        <v>0.53</v>
      </c>
      <c r="R62" s="360">
        <v>0.48</v>
      </c>
      <c r="S62" s="360">
        <v>0.45</v>
      </c>
      <c r="T62" s="360">
        <f t="shared" ref="T62" si="50">S62-0.015</f>
        <v>0.435</v>
      </c>
      <c r="U62" s="360">
        <v>0.43</v>
      </c>
      <c r="V62" s="360">
        <v>0.43</v>
      </c>
      <c r="W62" s="360">
        <v>0.43</v>
      </c>
      <c r="X62" s="360">
        <v>0.42499999999999999</v>
      </c>
      <c r="Y62" s="360">
        <v>0.42</v>
      </c>
      <c r="AA62" s="368" t="s">
        <v>688</v>
      </c>
      <c r="AK62" s="148"/>
      <c r="AL62" s="148"/>
      <c r="AM62" s="147"/>
      <c r="AN62" s="147"/>
      <c r="AO62" s="148"/>
      <c r="AP62" s="148"/>
      <c r="AQ62" s="148"/>
    </row>
    <row r="63" spans="3:43">
      <c r="C63" s="220" t="s">
        <v>415</v>
      </c>
      <c r="D63" s="316"/>
      <c r="E63" s="316"/>
      <c r="F63" s="316"/>
      <c r="G63" s="316"/>
      <c r="H63" s="316"/>
      <c r="I63" s="317">
        <v>0.65</v>
      </c>
      <c r="J63" s="317">
        <v>0.65</v>
      </c>
      <c r="K63" s="317">
        <v>0.55000000000000004</v>
      </c>
      <c r="L63" s="317">
        <v>0.55000000000000004</v>
      </c>
      <c r="M63" s="317">
        <v>0.5</v>
      </c>
      <c r="N63" s="317">
        <v>0.5</v>
      </c>
      <c r="O63" s="317">
        <v>0.5</v>
      </c>
      <c r="P63" s="317">
        <v>0.5</v>
      </c>
      <c r="Q63" s="317">
        <v>0.5</v>
      </c>
      <c r="R63" s="317">
        <v>0.5</v>
      </c>
      <c r="S63" s="317">
        <v>0.5</v>
      </c>
      <c r="T63" s="317">
        <v>0.5</v>
      </c>
      <c r="U63" s="317">
        <v>0.5</v>
      </c>
      <c r="V63" s="317">
        <v>0.5</v>
      </c>
      <c r="W63" s="317">
        <v>0.5</v>
      </c>
      <c r="X63" s="317">
        <v>0.5</v>
      </c>
      <c r="Y63" s="317">
        <v>0.5</v>
      </c>
      <c r="AA63" s="368"/>
      <c r="AK63" s="148"/>
      <c r="AL63" s="226"/>
      <c r="AM63" s="226"/>
      <c r="AN63" s="226"/>
      <c r="AO63" s="148"/>
      <c r="AP63" s="148"/>
      <c r="AQ63" s="148"/>
    </row>
    <row r="64" spans="3:43">
      <c r="C64" s="220"/>
      <c r="D64" s="316"/>
      <c r="E64" s="316"/>
      <c r="F64" s="316"/>
      <c r="G64" s="316"/>
      <c r="H64" s="316"/>
      <c r="I64" s="317"/>
      <c r="J64" s="317"/>
      <c r="K64" s="317"/>
      <c r="L64" s="317"/>
      <c r="M64" s="317"/>
      <c r="N64" s="317"/>
      <c r="O64" s="317"/>
      <c r="P64" s="317"/>
      <c r="Q64" s="317"/>
      <c r="R64" s="317"/>
      <c r="S64" s="317"/>
      <c r="T64" s="317"/>
      <c r="U64" s="317"/>
      <c r="V64" s="317"/>
      <c r="W64" s="317"/>
      <c r="X64" s="317"/>
      <c r="Y64" s="317"/>
      <c r="AA64" s="368">
        <f>0.82*0.6</f>
        <v>0.49199999999999994</v>
      </c>
      <c r="AK64" s="148"/>
      <c r="AL64" s="226"/>
      <c r="AM64" s="226"/>
      <c r="AN64" s="226"/>
      <c r="AO64" s="148"/>
      <c r="AP64" s="148"/>
      <c r="AQ64" s="148"/>
    </row>
    <row r="65" spans="2:43">
      <c r="C65" s="220" t="s">
        <v>692</v>
      </c>
      <c r="D65" s="316"/>
      <c r="E65" s="316"/>
      <c r="F65" s="316"/>
      <c r="G65" s="316"/>
      <c r="H65" s="316"/>
      <c r="I65" s="317"/>
      <c r="J65" s="317">
        <f t="shared" ref="J65:Y65" si="51">(J62*J63)/(I62*I63)-1</f>
        <v>-1.3648895804329486E-2</v>
      </c>
      <c r="K65" s="317">
        <f t="shared" si="51"/>
        <v>-0.16555503279550554</v>
      </c>
      <c r="L65" s="317">
        <f t="shared" si="51"/>
        <v>-1.4031936687901703E-2</v>
      </c>
      <c r="M65" s="317">
        <f t="shared" si="51"/>
        <v>-0.10384694006929518</v>
      </c>
      <c r="N65" s="317">
        <f t="shared" si="51"/>
        <v>-1.4437097565905388E-2</v>
      </c>
      <c r="O65" s="317">
        <f t="shared" si="51"/>
        <v>-1.4648580552544477E-2</v>
      </c>
      <c r="P65" s="317">
        <f t="shared" si="51"/>
        <v>-9.3152558499093097E-2</v>
      </c>
      <c r="Q65" s="317">
        <f t="shared" si="51"/>
        <v>-0.13114754098360648</v>
      </c>
      <c r="R65" s="317">
        <f t="shared" si="51"/>
        <v>-9.4339622641509524E-2</v>
      </c>
      <c r="S65" s="317">
        <f t="shared" si="51"/>
        <v>-6.2499999999999889E-2</v>
      </c>
      <c r="T65" s="317">
        <f t="shared" si="51"/>
        <v>-3.3333333333333326E-2</v>
      </c>
      <c r="U65" s="317">
        <f t="shared" si="51"/>
        <v>-1.1494252873563204E-2</v>
      </c>
      <c r="V65" s="317">
        <f t="shared" si="51"/>
        <v>0</v>
      </c>
      <c r="W65" s="615">
        <f t="shared" si="51"/>
        <v>0</v>
      </c>
      <c r="X65" s="615">
        <f t="shared" si="51"/>
        <v>-1.1627906976744207E-2</v>
      </c>
      <c r="Y65" s="615">
        <f t="shared" si="51"/>
        <v>-1.1764705882352899E-2</v>
      </c>
      <c r="AA65" s="368"/>
      <c r="AK65" s="148"/>
      <c r="AL65" s="226"/>
      <c r="AM65" s="226"/>
      <c r="AN65" s="226"/>
      <c r="AO65" s="148"/>
      <c r="AP65" s="148"/>
      <c r="AQ65" s="148"/>
    </row>
    <row r="66" spans="2:43">
      <c r="C66" s="148"/>
      <c r="D66" s="332"/>
      <c r="E66" s="332"/>
      <c r="F66" s="332"/>
      <c r="G66" s="332"/>
      <c r="H66" s="332"/>
      <c r="I66" s="334"/>
      <c r="J66" s="334"/>
      <c r="K66" s="334"/>
      <c r="L66" s="334"/>
      <c r="M66" s="334"/>
      <c r="N66" s="334"/>
      <c r="O66" s="334"/>
      <c r="P66" s="334"/>
      <c r="Q66" s="334"/>
      <c r="R66" s="334"/>
      <c r="S66" s="334"/>
      <c r="T66" s="334"/>
      <c r="U66" s="332"/>
      <c r="V66" s="332"/>
      <c r="W66" s="332"/>
      <c r="X66" s="332"/>
      <c r="Y66" s="332"/>
      <c r="AA66" s="368"/>
      <c r="AK66" s="148"/>
      <c r="AL66" s="147"/>
      <c r="AM66" s="147"/>
      <c r="AN66" s="147"/>
      <c r="AO66" s="148"/>
      <c r="AP66" s="148"/>
      <c r="AQ66" s="148"/>
    </row>
    <row r="67" spans="2:43">
      <c r="C67" s="220" t="s">
        <v>514</v>
      </c>
      <c r="D67" s="316"/>
      <c r="E67" s="316"/>
      <c r="F67" s="316"/>
      <c r="G67" s="316"/>
      <c r="H67" s="316"/>
      <c r="I67" s="335">
        <f t="shared" ref="I67:Y67" si="52">I53*I62*(1-I63)</f>
        <v>498.06820393512334</v>
      </c>
      <c r="J67" s="335">
        <f t="shared" si="52"/>
        <v>1273.4830856233327</v>
      </c>
      <c r="K67" s="335">
        <f t="shared" si="52"/>
        <v>2234.613589053537</v>
      </c>
      <c r="L67" s="335">
        <f t="shared" si="52"/>
        <v>2667.8626144900613</v>
      </c>
      <c r="M67" s="335">
        <f t="shared" si="52"/>
        <v>3376.873779800078</v>
      </c>
      <c r="N67" s="335">
        <f t="shared" si="52"/>
        <v>3562.4960256599998</v>
      </c>
      <c r="O67" s="335">
        <f t="shared" si="52"/>
        <v>3554.0234251473989</v>
      </c>
      <c r="P67" s="335">
        <f t="shared" si="52"/>
        <v>3365.0063231748491</v>
      </c>
      <c r="Q67" s="335">
        <f t="shared" si="52"/>
        <v>3171.4885433741406</v>
      </c>
      <c r="R67" s="335">
        <f t="shared" si="52"/>
        <v>3211.3375962890623</v>
      </c>
      <c r="S67" s="335">
        <f t="shared" si="52"/>
        <v>3268.2532439421684</v>
      </c>
      <c r="T67" s="335">
        <f t="shared" si="52"/>
        <v>3386.5698692726619</v>
      </c>
      <c r="U67" s="335">
        <f t="shared" si="52"/>
        <v>3525.0881725434369</v>
      </c>
      <c r="V67" s="335">
        <f t="shared" si="52"/>
        <v>3593.9602352043007</v>
      </c>
      <c r="W67" s="335">
        <f t="shared" si="52"/>
        <v>3474.288216195826</v>
      </c>
      <c r="X67" s="335">
        <f t="shared" si="52"/>
        <v>3424.352736391997</v>
      </c>
      <c r="Y67" s="335">
        <f t="shared" si="52"/>
        <v>3342.740075561414</v>
      </c>
      <c r="AA67" s="368"/>
      <c r="AK67" s="148"/>
      <c r="AL67" s="147"/>
      <c r="AM67" s="147"/>
      <c r="AN67" s="147"/>
      <c r="AO67" s="148"/>
      <c r="AP67" s="148"/>
      <c r="AQ67" s="148"/>
    </row>
    <row r="68" spans="2:43">
      <c r="C68" s="220" t="s">
        <v>566</v>
      </c>
      <c r="D68" s="316"/>
      <c r="E68" s="316"/>
      <c r="F68" s="316"/>
      <c r="G68" s="316"/>
      <c r="H68" s="316"/>
      <c r="I68" s="316"/>
      <c r="J68" s="335">
        <v>844</v>
      </c>
      <c r="K68" s="335">
        <v>1705</v>
      </c>
      <c r="L68" s="335">
        <v>2709</v>
      </c>
      <c r="M68" s="335">
        <v>3187</v>
      </c>
      <c r="N68" s="335">
        <v>3604</v>
      </c>
      <c r="O68" s="335">
        <v>3645</v>
      </c>
      <c r="P68" s="415">
        <f>($R$68-$O$68)/2+O68</f>
        <v>3374.5415196999274</v>
      </c>
      <c r="Q68" s="415">
        <f>($R$68-$O$68)/2+P68</f>
        <v>3104.0830393998549</v>
      </c>
      <c r="R68" s="335">
        <f>Tower!Q65*Tower!Q79</f>
        <v>3104.0830393998549</v>
      </c>
      <c r="S68" s="335">
        <f>Tower!V65*Tower!V79</f>
        <v>3193.8705653329084</v>
      </c>
      <c r="T68" s="335">
        <f>Tower!AA65*Tower!AA79</f>
        <v>3344.7739702624103</v>
      </c>
      <c r="U68" s="335">
        <f>Tower!AF65*Tower!AF79</f>
        <v>3546</v>
      </c>
      <c r="V68" s="335">
        <f>Tower!AK79*Tower!AK65</f>
        <v>3772</v>
      </c>
      <c r="W68" s="332"/>
      <c r="X68" s="332"/>
      <c r="Y68" s="332"/>
      <c r="AA68" s="368"/>
      <c r="AK68" s="171"/>
      <c r="AL68" s="223"/>
      <c r="AM68" s="223"/>
      <c r="AN68" s="223"/>
      <c r="AO68" s="148"/>
      <c r="AP68" s="148"/>
      <c r="AQ68" s="148"/>
    </row>
    <row r="69" spans="2:43">
      <c r="C69" s="148"/>
      <c r="D69" s="332"/>
      <c r="E69" s="332"/>
      <c r="F69" s="332"/>
      <c r="G69" s="332"/>
      <c r="H69" s="332"/>
      <c r="I69" s="332"/>
      <c r="J69" s="332"/>
      <c r="K69" s="332"/>
      <c r="L69" s="332"/>
      <c r="M69" s="332"/>
      <c r="N69" s="332"/>
      <c r="O69" s="332"/>
      <c r="P69" s="332"/>
      <c r="Q69" s="332"/>
      <c r="R69" s="334"/>
      <c r="S69" s="334"/>
      <c r="T69" s="334"/>
      <c r="U69" s="332"/>
      <c r="V69" s="332"/>
      <c r="W69" s="332"/>
      <c r="X69" s="332"/>
      <c r="Y69" s="332"/>
      <c r="AA69" s="368"/>
      <c r="AK69" s="148"/>
      <c r="AL69" s="148"/>
      <c r="AM69" s="148"/>
      <c r="AN69" s="148"/>
      <c r="AO69" s="148"/>
      <c r="AP69" s="148"/>
      <c r="AQ69" s="148"/>
    </row>
    <row r="70" spans="2:43">
      <c r="C70" s="236" t="s">
        <v>507</v>
      </c>
      <c r="D70" s="336"/>
      <c r="E70" s="336"/>
      <c r="F70" s="336"/>
      <c r="G70" s="336"/>
      <c r="H70" s="336"/>
      <c r="I70" s="337"/>
      <c r="J70" s="337">
        <f t="shared" ref="J70" si="53">(J67-J68)/J68</f>
        <v>0.50886621519352215</v>
      </c>
      <c r="K70" s="337">
        <f t="shared" ref="K70:Q70" si="54">(K67-K68)/K68</f>
        <v>0.31062380589650262</v>
      </c>
      <c r="L70" s="337">
        <f t="shared" si="54"/>
        <v>-1.5185450538921619E-2</v>
      </c>
      <c r="M70" s="337">
        <f t="shared" si="54"/>
        <v>5.9577590147498576E-2</v>
      </c>
      <c r="N70" s="337">
        <f t="shared" si="54"/>
        <v>-1.151608610987798E-2</v>
      </c>
      <c r="O70" s="337">
        <f t="shared" si="54"/>
        <v>-2.4959279794952278E-2</v>
      </c>
      <c r="P70" s="337">
        <f t="shared" si="54"/>
        <v>-2.8256272650414105E-3</v>
      </c>
      <c r="Q70" s="337">
        <f t="shared" si="54"/>
        <v>2.1715109782410303E-2</v>
      </c>
      <c r="R70" s="337">
        <f>(R67-R68)/R68</f>
        <v>3.4552734423607442E-2</v>
      </c>
      <c r="S70" s="337">
        <f t="shared" ref="S70:V70" si="55">(S67-S68)/S68</f>
        <v>2.3289196317668188E-2</v>
      </c>
      <c r="T70" s="337">
        <f t="shared" si="55"/>
        <v>1.2495881450241169E-2</v>
      </c>
      <c r="U70" s="337">
        <f t="shared" si="55"/>
        <v>-5.8973004671638634E-3</v>
      </c>
      <c r="V70" s="337">
        <f t="shared" si="55"/>
        <v>-4.7200361822825894E-2</v>
      </c>
      <c r="W70" s="332"/>
      <c r="X70" s="332"/>
      <c r="Y70" s="332"/>
      <c r="AA70" s="368"/>
      <c r="AK70" s="148"/>
      <c r="AL70" s="148"/>
      <c r="AM70" s="148"/>
      <c r="AN70" s="148"/>
      <c r="AO70" s="148"/>
      <c r="AP70" s="148"/>
      <c r="AQ70" s="148"/>
    </row>
    <row r="71" spans="2:43">
      <c r="C71" s="236"/>
      <c r="D71" s="336"/>
      <c r="E71" s="336"/>
      <c r="F71" s="336"/>
      <c r="G71" s="336"/>
      <c r="H71" s="336"/>
      <c r="I71" s="337"/>
      <c r="J71" s="337"/>
      <c r="K71" s="337"/>
      <c r="L71" s="337"/>
      <c r="M71" s="337"/>
      <c r="N71" s="337"/>
      <c r="O71" s="337"/>
      <c r="P71" s="337"/>
      <c r="Q71" s="337"/>
      <c r="R71" s="337"/>
      <c r="S71" s="337"/>
      <c r="T71" s="337"/>
      <c r="U71" s="337"/>
      <c r="V71" s="337"/>
      <c r="W71" s="332"/>
      <c r="X71" s="332"/>
      <c r="Y71" s="332"/>
      <c r="AA71" s="368"/>
      <c r="AK71" s="148"/>
      <c r="AL71" s="148"/>
      <c r="AM71" s="148"/>
      <c r="AN71" s="148"/>
      <c r="AO71" s="148"/>
      <c r="AP71" s="148"/>
      <c r="AQ71" s="148"/>
    </row>
    <row r="72" spans="2:43">
      <c r="B72" s="309" t="s">
        <v>704</v>
      </c>
      <c r="C72" s="309"/>
      <c r="D72" s="143">
        <f t="shared" ref="D72" si="56">E72-1</f>
        <v>-5</v>
      </c>
      <c r="E72" s="143">
        <f t="shared" ref="E72" si="57">F72-1</f>
        <v>-4</v>
      </c>
      <c r="F72" s="143">
        <f t="shared" ref="F72" si="58">G72-1</f>
        <v>-3</v>
      </c>
      <c r="G72" s="143">
        <f t="shared" ref="G72" si="59">H72-1</f>
        <v>-2</v>
      </c>
      <c r="H72" s="143">
        <f t="shared" ref="H72" si="60">I72-1</f>
        <v>-1</v>
      </c>
      <c r="I72" s="143"/>
      <c r="J72" s="143"/>
      <c r="K72" s="143"/>
      <c r="L72" s="143"/>
      <c r="M72" s="143"/>
      <c r="N72" s="143"/>
      <c r="O72" s="143"/>
      <c r="P72" s="143"/>
      <c r="Q72" s="143"/>
      <c r="R72" s="143"/>
      <c r="S72" s="143"/>
      <c r="T72" s="143"/>
      <c r="U72" s="143"/>
      <c r="V72" s="143"/>
      <c r="W72" s="224"/>
      <c r="X72" s="224"/>
      <c r="Y72" s="224"/>
      <c r="AA72" s="368"/>
      <c r="AK72" s="148"/>
      <c r="AL72" s="148"/>
      <c r="AM72" s="148"/>
      <c r="AN72" s="148"/>
      <c r="AO72" s="148"/>
      <c r="AP72" s="148"/>
      <c r="AQ72" s="148"/>
    </row>
    <row r="73" spans="2:43">
      <c r="C73" s="220" t="s">
        <v>637</v>
      </c>
      <c r="D73" s="148"/>
      <c r="E73" s="148"/>
      <c r="F73" s="148"/>
      <c r="G73" s="148"/>
      <c r="H73" s="148"/>
      <c r="I73" s="148"/>
      <c r="J73" s="229">
        <f t="shared" ref="J73:Y73" si="61">J67+J31</f>
        <v>1624.4830856233325</v>
      </c>
      <c r="K73" s="229">
        <f t="shared" si="61"/>
        <v>2758.613589053537</v>
      </c>
      <c r="L73" s="229">
        <f t="shared" si="61"/>
        <v>3426.8626144900613</v>
      </c>
      <c r="M73" s="229">
        <f t="shared" si="61"/>
        <v>4203.8737798000784</v>
      </c>
      <c r="N73" s="229">
        <f t="shared" si="61"/>
        <v>4384.4960256599998</v>
      </c>
      <c r="O73" s="229">
        <f t="shared" si="61"/>
        <v>4186.0234251473994</v>
      </c>
      <c r="P73" s="229">
        <f t="shared" si="61"/>
        <v>4000.0063231748491</v>
      </c>
      <c r="Q73" s="229">
        <f t="shared" si="61"/>
        <v>3809.4885433741406</v>
      </c>
      <c r="R73" s="229">
        <f t="shared" si="61"/>
        <v>3879.303564224861</v>
      </c>
      <c r="S73" s="229">
        <f t="shared" si="61"/>
        <v>3971.3518714329894</v>
      </c>
      <c r="T73" s="229">
        <f t="shared" si="61"/>
        <v>4108.9550516246691</v>
      </c>
      <c r="U73" s="229">
        <f t="shared" si="61"/>
        <v>4450.6167143992934</v>
      </c>
      <c r="V73" s="229">
        <f t="shared" si="61"/>
        <v>4431.5516538289694</v>
      </c>
      <c r="W73" s="229">
        <f t="shared" si="61"/>
        <v>4192.5568661958259</v>
      </c>
      <c r="X73" s="229">
        <f t="shared" si="61"/>
        <v>4075.220129391997</v>
      </c>
      <c r="Y73" s="229">
        <f t="shared" si="61"/>
        <v>3979.1331987364138</v>
      </c>
      <c r="AA73" s="368"/>
      <c r="AK73" s="148"/>
      <c r="AL73" s="148"/>
      <c r="AM73" s="148"/>
      <c r="AN73" s="148"/>
      <c r="AO73" s="148"/>
      <c r="AP73" s="148"/>
      <c r="AQ73" s="148"/>
    </row>
    <row r="74" spans="2:43">
      <c r="C74" s="220" t="s">
        <v>638</v>
      </c>
      <c r="D74" s="148"/>
      <c r="E74" s="148"/>
      <c r="F74" s="148"/>
      <c r="G74" s="148"/>
      <c r="H74" s="148"/>
      <c r="I74" s="148"/>
      <c r="J74" s="148"/>
      <c r="K74" s="359">
        <f>K73/J73-1</f>
        <v>0.69814854550795502</v>
      </c>
      <c r="L74" s="359">
        <f t="shared" ref="L74:X74" si="62">L73/K73-1</f>
        <v>0.24224089524107528</v>
      </c>
      <c r="M74" s="359">
        <f t="shared" si="62"/>
        <v>0.22674126532663497</v>
      </c>
      <c r="N74" s="359">
        <f t="shared" si="62"/>
        <v>4.2965668172014304E-2</v>
      </c>
      <c r="O74" s="359">
        <f t="shared" si="62"/>
        <v>-4.5266913084434646E-2</v>
      </c>
      <c r="P74" s="359">
        <f t="shared" si="62"/>
        <v>-4.4437663882877176E-2</v>
      </c>
      <c r="Q74" s="359">
        <f t="shared" si="62"/>
        <v>-4.7629369657969045E-2</v>
      </c>
      <c r="R74" s="359">
        <f t="shared" si="62"/>
        <v>1.8326612629443462E-2</v>
      </c>
      <c r="S74" s="359">
        <f t="shared" si="62"/>
        <v>2.3728049554307296E-2</v>
      </c>
      <c r="T74" s="359">
        <f t="shared" si="62"/>
        <v>3.4648951955503327E-2</v>
      </c>
      <c r="U74" s="359">
        <f t="shared" si="62"/>
        <v>8.3150498966770625E-2</v>
      </c>
      <c r="V74" s="359">
        <f t="shared" si="62"/>
        <v>-4.2836896083731091E-3</v>
      </c>
      <c r="W74" s="359">
        <f t="shared" si="62"/>
        <v>-5.3930272352043174E-2</v>
      </c>
      <c r="X74" s="359">
        <f t="shared" si="62"/>
        <v>-2.7986915991504713E-2</v>
      </c>
      <c r="Y74" s="359">
        <f>Y73/X73-1</f>
        <v>-2.3578341195011454E-2</v>
      </c>
      <c r="AA74" s="368"/>
      <c r="AK74" s="148"/>
      <c r="AL74" s="148"/>
      <c r="AM74" s="148"/>
      <c r="AN74" s="148"/>
      <c r="AO74" s="148"/>
      <c r="AP74" s="148"/>
      <c r="AQ74" s="148"/>
    </row>
    <row r="75" spans="2:43">
      <c r="C75" s="171"/>
      <c r="D75" s="171"/>
      <c r="E75" s="171"/>
      <c r="F75" s="171"/>
      <c r="G75" s="171"/>
      <c r="H75" s="171"/>
      <c r="I75" s="171"/>
      <c r="J75" s="171"/>
      <c r="K75" s="171"/>
      <c r="L75" s="171"/>
      <c r="M75" s="171"/>
      <c r="N75" s="171"/>
      <c r="O75" s="171"/>
      <c r="P75" s="171"/>
      <c r="Q75" s="171"/>
      <c r="R75" s="223"/>
      <c r="S75" s="223"/>
      <c r="T75" s="223"/>
      <c r="U75" s="148"/>
      <c r="V75" s="148"/>
      <c r="W75" s="221"/>
      <c r="X75" s="148"/>
      <c r="Y75" s="148"/>
      <c r="AA75" s="368"/>
      <c r="AK75" s="148"/>
      <c r="AL75" s="148"/>
      <c r="AM75" s="148"/>
      <c r="AN75" s="148"/>
      <c r="AO75" s="148"/>
      <c r="AP75" s="148"/>
      <c r="AQ75" s="148"/>
    </row>
    <row r="76" spans="2:43">
      <c r="C76" s="148"/>
      <c r="D76" s="148"/>
      <c r="E76" s="148"/>
      <c r="F76" s="148"/>
      <c r="G76" s="148"/>
      <c r="H76" s="148"/>
      <c r="I76" s="148"/>
      <c r="J76" s="148"/>
      <c r="K76" s="148"/>
      <c r="L76" s="148"/>
      <c r="M76" s="148"/>
      <c r="N76" s="148"/>
      <c r="O76" s="148"/>
      <c r="P76" s="148"/>
      <c r="Q76" s="148"/>
      <c r="R76" s="148"/>
      <c r="S76" s="148"/>
      <c r="T76" s="148"/>
      <c r="U76" s="148"/>
      <c r="V76" s="148"/>
      <c r="W76" s="148"/>
      <c r="X76" s="148"/>
      <c r="Y76" s="148"/>
      <c r="AA76" s="368"/>
      <c r="AK76" s="148"/>
      <c r="AL76" s="148"/>
      <c r="AM76" s="148"/>
      <c r="AN76" s="148"/>
      <c r="AO76" s="148"/>
      <c r="AP76" s="148"/>
      <c r="AQ76" s="148"/>
    </row>
    <row r="77" spans="2:43">
      <c r="C77" s="148" t="s">
        <v>695</v>
      </c>
      <c r="D77" s="148"/>
      <c r="E77" s="148"/>
      <c r="F77" s="148"/>
      <c r="G77" s="148"/>
      <c r="H77" s="148"/>
      <c r="I77" s="148"/>
      <c r="J77" s="359">
        <f t="shared" ref="J77:V77" si="63">J57*(J68/(J32+J68))+J21*(J32/(J32+J68))</f>
        <v>1.1233599208004146</v>
      </c>
      <c r="K77" s="359">
        <f t="shared" si="63"/>
        <v>0.38324093910635532</v>
      </c>
      <c r="L77" s="359">
        <f t="shared" si="63"/>
        <v>0.27795220244991231</v>
      </c>
      <c r="M77" s="359">
        <f t="shared" si="63"/>
        <v>0.16580045153209702</v>
      </c>
      <c r="N77" s="359">
        <f t="shared" si="63"/>
        <v>6.4330645865608133E-2</v>
      </c>
      <c r="O77" s="359">
        <f t="shared" si="63"/>
        <v>-1.3433932750314626E-2</v>
      </c>
      <c r="P77" s="359">
        <f t="shared" si="63"/>
        <v>7.291465092059142E-2</v>
      </c>
      <c r="Q77" s="359">
        <f t="shared" si="63"/>
        <v>8.1788943080004783E-2</v>
      </c>
      <c r="R77" s="359">
        <f t="shared" si="63"/>
        <v>9.452207892542959E-2</v>
      </c>
      <c r="S77" s="359">
        <f t="shared" si="63"/>
        <v>8.4939104784496053E-2</v>
      </c>
      <c r="T77" s="359">
        <f t="shared" si="63"/>
        <v>9.6741169164655166E-2</v>
      </c>
      <c r="U77" s="359">
        <f t="shared" si="63"/>
        <v>6.1541315157291235E-2</v>
      </c>
      <c r="V77" s="359">
        <f t="shared" si="63"/>
        <v>6.7768174438491355E-3</v>
      </c>
      <c r="W77" s="359">
        <f>W57*(W67/(W31+W67))+W21*(W31/(W31+W67))</f>
        <v>-4.4787469088160614E-2</v>
      </c>
      <c r="X77" s="359">
        <f>X57*(X67/(X31+X67))+X21*(X31/(X31+X67))</f>
        <v>-1.7320958149055442E-2</v>
      </c>
      <c r="Y77" s="359">
        <f>Y57*(Y67/(Y31+Y67))+Y21*(Y31/(Y31+Y67))</f>
        <v>-2.0614493043095664E-2</v>
      </c>
      <c r="AA77" s="368"/>
      <c r="AK77" s="148"/>
      <c r="AL77" s="148"/>
      <c r="AM77" s="148"/>
      <c r="AN77" s="148"/>
      <c r="AO77" s="148"/>
      <c r="AP77" s="148"/>
      <c r="AQ77" s="148"/>
    </row>
    <row r="78" spans="2:43">
      <c r="C78" s="220" t="s">
        <v>696</v>
      </c>
      <c r="D78" s="148"/>
      <c r="E78" s="148"/>
      <c r="F78" s="148"/>
      <c r="G78" s="148"/>
      <c r="H78" s="148"/>
      <c r="I78" s="148"/>
      <c r="J78" s="359">
        <f t="shared" ref="J78:Y78" si="64">J65*(J67/(J67+J31))+J29*(J31/(J31+J67))</f>
        <v>-1.0699796198603903E-2</v>
      </c>
      <c r="K78" s="359">
        <f t="shared" si="64"/>
        <v>-0.118715808580834</v>
      </c>
      <c r="L78" s="359">
        <f t="shared" si="64"/>
        <v>-2.098116777617157E-2</v>
      </c>
      <c r="M78" s="359">
        <f t="shared" si="64"/>
        <v>-0.10225778272351832</v>
      </c>
      <c r="N78" s="359">
        <f t="shared" si="64"/>
        <v>-1.9620343724062073E-2</v>
      </c>
      <c r="O78" s="359">
        <f t="shared" si="64"/>
        <v>-2.4773006950336851E-2</v>
      </c>
      <c r="P78" s="359">
        <f t="shared" si="64"/>
        <v>-0.10703284680256847</v>
      </c>
      <c r="Q78" s="359">
        <f t="shared" si="64"/>
        <v>-0.11901187749834928</v>
      </c>
      <c r="R78" s="359">
        <f t="shared" si="64"/>
        <v>-6.7305864746484076E-2</v>
      </c>
      <c r="S78" s="359">
        <f t="shared" si="64"/>
        <v>-5.6245996272892736E-2</v>
      </c>
      <c r="T78" s="359">
        <f t="shared" si="64"/>
        <v>-5.4249210135336547E-2</v>
      </c>
      <c r="U78" s="359">
        <f t="shared" si="64"/>
        <v>2.5143301578791608E-2</v>
      </c>
      <c r="V78" s="359">
        <f t="shared" si="64"/>
        <v>-8.5721221242637986E-3</v>
      </c>
      <c r="W78" s="359">
        <f t="shared" si="64"/>
        <v>-8.0167049592438384E-3</v>
      </c>
      <c r="X78" s="359">
        <f t="shared" si="64"/>
        <v>-9.7707740465706513E-3</v>
      </c>
      <c r="Y78" s="359">
        <f t="shared" si="64"/>
        <v>-2.6134821747405565E-3</v>
      </c>
      <c r="AA78" s="368"/>
      <c r="AK78" s="148"/>
      <c r="AL78" s="148"/>
      <c r="AM78" s="148"/>
      <c r="AN78" s="148"/>
      <c r="AO78" s="148"/>
      <c r="AP78" s="148"/>
      <c r="AQ78" s="148"/>
    </row>
    <row r="79" spans="2:43">
      <c r="C79" s="148"/>
      <c r="D79" s="148"/>
      <c r="E79" s="148"/>
      <c r="F79" s="148"/>
      <c r="G79" s="148"/>
      <c r="H79" s="148"/>
      <c r="I79" s="148"/>
      <c r="J79" s="148"/>
      <c r="K79" s="148"/>
      <c r="L79" s="148"/>
      <c r="M79" s="148"/>
      <c r="N79" s="148"/>
      <c r="O79" s="148"/>
      <c r="P79" s="148"/>
      <c r="Q79" s="148"/>
      <c r="R79" s="148"/>
      <c r="S79" s="148"/>
      <c r="T79" s="148"/>
      <c r="U79" s="148"/>
      <c r="V79" s="148"/>
      <c r="W79" s="148"/>
      <c r="X79" s="148"/>
      <c r="Y79" s="148"/>
      <c r="AA79" s="368"/>
      <c r="AK79" s="148"/>
      <c r="AL79" s="148"/>
      <c r="AM79" s="148"/>
      <c r="AN79" s="148"/>
      <c r="AO79" s="148"/>
      <c r="AP79" s="148"/>
      <c r="AQ79" s="148"/>
    </row>
    <row r="80" spans="2:43">
      <c r="C80" s="148" t="s">
        <v>693</v>
      </c>
      <c r="D80" s="148"/>
      <c r="E80" s="148"/>
      <c r="F80" s="148"/>
      <c r="G80" s="148"/>
      <c r="H80" s="148"/>
      <c r="I80" s="148"/>
      <c r="J80" s="148"/>
      <c r="K80" s="148"/>
      <c r="L80" s="148"/>
      <c r="M80" s="148"/>
      <c r="N80" s="148"/>
      <c r="O80" s="148"/>
      <c r="P80" s="148"/>
      <c r="Q80" s="148"/>
      <c r="R80" s="359">
        <f>Tower!Q45</f>
        <v>4.2999999999999997E-2</v>
      </c>
      <c r="S80" s="359">
        <f>Tower!V45</f>
        <v>3.3000000000000002E-2</v>
      </c>
      <c r="T80" s="359">
        <f>Tower!AA45</f>
        <v>7.6999999999999999E-2</v>
      </c>
      <c r="U80" s="359">
        <f>Tower!AF45</f>
        <v>7.0999999999999994E-2</v>
      </c>
      <c r="V80" s="359">
        <f>Tower!AK45</f>
        <v>-1.2E-2</v>
      </c>
      <c r="W80" s="359"/>
      <c r="X80" s="359"/>
      <c r="Y80" s="359"/>
      <c r="AA80" s="368"/>
    </row>
    <row r="81" spans="3:27">
      <c r="C81" s="220" t="s">
        <v>694</v>
      </c>
      <c r="D81" s="148"/>
      <c r="E81" s="148"/>
      <c r="F81" s="148"/>
      <c r="G81" s="148"/>
      <c r="H81" s="148"/>
      <c r="I81" s="148"/>
      <c r="J81" s="148"/>
      <c r="K81" s="148"/>
      <c r="L81" s="148"/>
      <c r="M81" s="148"/>
      <c r="N81" s="148"/>
      <c r="O81" s="148"/>
      <c r="P81" s="148"/>
      <c r="Q81" s="148"/>
      <c r="R81" s="359">
        <f>Tower!Q47</f>
        <v>-1.8000000000000002E-2</v>
      </c>
      <c r="S81" s="359">
        <f>Tower!V47</f>
        <v>-5.5000000000000005E-3</v>
      </c>
      <c r="T81" s="359">
        <f>Tower!AA47</f>
        <v>-1.0500000000000001E-2</v>
      </c>
      <c r="U81" s="359">
        <f>Tower!AF47</f>
        <v>-9.0000000000000011E-3</v>
      </c>
      <c r="V81" s="359">
        <f>Tower!AK47</f>
        <v>6.4000000000000001E-2</v>
      </c>
      <c r="W81" s="359"/>
      <c r="X81" s="359"/>
      <c r="Y81" s="359"/>
      <c r="AA81" s="368"/>
    </row>
    <row r="82" spans="3:27">
      <c r="C82" s="148"/>
      <c r="D82" s="148"/>
      <c r="E82" s="148"/>
      <c r="F82" s="148"/>
      <c r="G82" s="148"/>
      <c r="H82" s="148"/>
      <c r="I82" s="148"/>
      <c r="J82" s="148"/>
      <c r="K82" s="148"/>
      <c r="L82" s="148"/>
      <c r="M82" s="148"/>
      <c r="N82" s="148"/>
      <c r="O82" s="148"/>
      <c r="P82" s="148"/>
      <c r="Q82" s="148"/>
      <c r="R82" s="148"/>
      <c r="S82" s="148"/>
      <c r="T82" s="148"/>
      <c r="U82" s="148"/>
      <c r="V82" s="148"/>
      <c r="W82" s="148"/>
      <c r="X82" s="148"/>
      <c r="Y82" s="148"/>
      <c r="AA82" s="368"/>
    </row>
    <row r="83" spans="3:27">
      <c r="C83" s="220" t="s">
        <v>697</v>
      </c>
      <c r="D83" s="148"/>
      <c r="E83" s="148"/>
      <c r="F83" s="148"/>
      <c r="G83" s="148"/>
      <c r="H83" s="148"/>
      <c r="I83" s="148"/>
      <c r="J83" s="148"/>
      <c r="K83" s="148"/>
      <c r="L83" s="148"/>
      <c r="M83" s="148"/>
      <c r="N83" s="148"/>
      <c r="O83" s="148"/>
      <c r="P83" s="148"/>
      <c r="Q83" s="148"/>
      <c r="R83" s="416">
        <f>R77-R80</f>
        <v>5.1522078925429593E-2</v>
      </c>
      <c r="S83" s="416">
        <f t="shared" ref="S83:V83" si="65">S77-S80</f>
        <v>5.1939104784496051E-2</v>
      </c>
      <c r="T83" s="416">
        <f t="shared" si="65"/>
        <v>1.9741169164655167E-2</v>
      </c>
      <c r="U83" s="416">
        <f t="shared" si="65"/>
        <v>-9.4586848427087589E-3</v>
      </c>
      <c r="V83" s="416">
        <f t="shared" si="65"/>
        <v>1.8776817443849136E-2</v>
      </c>
      <c r="W83" s="148"/>
      <c r="X83" s="148"/>
      <c r="Y83" s="148"/>
      <c r="AA83" s="368"/>
    </row>
    <row r="84" spans="3:27">
      <c r="C84" s="220" t="s">
        <v>698</v>
      </c>
      <c r="R84" s="416">
        <f t="shared" ref="R84:V84" si="66">R78-R81</f>
        <v>-4.9305864746484074E-2</v>
      </c>
      <c r="S84" s="416">
        <f t="shared" si="66"/>
        <v>-5.0745996272892738E-2</v>
      </c>
      <c r="T84" s="416">
        <f t="shared" si="66"/>
        <v>-4.3749210135336544E-2</v>
      </c>
      <c r="U84" s="416">
        <f t="shared" si="66"/>
        <v>3.4143301578791613E-2</v>
      </c>
      <c r="V84" s="416">
        <f t="shared" si="66"/>
        <v>-7.2572122124263796E-2</v>
      </c>
      <c r="AA84" s="368"/>
    </row>
    <row r="85" spans="3:27">
      <c r="AA85" s="368"/>
    </row>
  </sheetData>
  <hyperlinks>
    <hyperlink ref="AA3" r:id="rId1" xr:uid="{9BCD7CA4-0FED-4D5F-90E7-3E7DC412A875}"/>
    <hyperlink ref="AA8" r:id="rId2" xr:uid="{35D4B9C6-9A08-4301-8831-790FF345BE84}"/>
    <hyperlink ref="AB8" r:id="rId3" xr:uid="{04773BCD-00CD-4646-9290-B9C665749221}"/>
    <hyperlink ref="AA47" r:id="rId4" display="NIH " xr:uid="{A16D64B7-3AD6-4FA1-AF0A-607040E37A91}"/>
  </hyperlinks>
  <pageMargins left="0.7" right="0.7" top="0.75" bottom="0.75" header="0.3" footer="0.3"/>
  <pageSetup orientation="portrait" verticalDpi="0" r:id="rId5"/>
  <customProperties>
    <customPr name="UniqueWorksheetId" r:id="rId6"/>
  </customProperties>
  <drawing r:id="rId7"/>
  <legacyDrawing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599C5-6916-476F-B9EC-27C7A4054907}">
  <dimension ref="A1:R19"/>
  <sheetViews>
    <sheetView showGridLines="0" workbookViewId="0">
      <selection activeCell="D19" sqref="D19"/>
    </sheetView>
  </sheetViews>
  <sheetFormatPr defaultColWidth="9.1796875" defaultRowHeight="14" outlineLevelCol="1"/>
  <cols>
    <col min="1" max="1" width="50" style="489" customWidth="1" outlineLevel="1"/>
    <col min="2" max="2" width="2.81640625" style="468" customWidth="1"/>
    <col min="3" max="3" width="27.7265625" style="476" customWidth="1"/>
    <col min="4" max="18" width="11.453125" style="471" customWidth="1"/>
    <col min="19" max="200" width="9.1796875" style="471"/>
    <col min="201" max="201" width="50" style="471" customWidth="1"/>
    <col min="202" max="202" width="2.81640625" style="471" customWidth="1"/>
    <col min="203" max="203" width="27.7265625" style="471" customWidth="1"/>
    <col min="204" max="218" width="11.453125" style="471" customWidth="1"/>
    <col min="219" max="256" width="9.1796875" style="471"/>
    <col min="257" max="257" width="50" style="471" customWidth="1"/>
    <col min="258" max="258" width="2.81640625" style="471" customWidth="1"/>
    <col min="259" max="259" width="27.7265625" style="471" customWidth="1"/>
    <col min="260" max="274" width="11.453125" style="471" customWidth="1"/>
    <col min="275" max="456" width="9.1796875" style="471"/>
    <col min="457" max="457" width="50" style="471" customWidth="1"/>
    <col min="458" max="458" width="2.81640625" style="471" customWidth="1"/>
    <col min="459" max="459" width="27.7265625" style="471" customWidth="1"/>
    <col min="460" max="474" width="11.453125" style="471" customWidth="1"/>
    <col min="475" max="512" width="9.1796875" style="471"/>
    <col min="513" max="513" width="50" style="471" customWidth="1"/>
    <col min="514" max="514" width="2.81640625" style="471" customWidth="1"/>
    <col min="515" max="515" width="27.7265625" style="471" customWidth="1"/>
    <col min="516" max="530" width="11.453125" style="471" customWidth="1"/>
    <col min="531" max="712" width="9.1796875" style="471"/>
    <col min="713" max="713" width="50" style="471" customWidth="1"/>
    <col min="714" max="714" width="2.81640625" style="471" customWidth="1"/>
    <col min="715" max="715" width="27.7265625" style="471" customWidth="1"/>
    <col min="716" max="730" width="11.453125" style="471" customWidth="1"/>
    <col min="731" max="768" width="9.1796875" style="471"/>
    <col min="769" max="769" width="50" style="471" customWidth="1"/>
    <col min="770" max="770" width="2.81640625" style="471" customWidth="1"/>
    <col min="771" max="771" width="27.7265625" style="471" customWidth="1"/>
    <col min="772" max="786" width="11.453125" style="471" customWidth="1"/>
    <col min="787" max="968" width="9.1796875" style="471"/>
    <col min="969" max="969" width="50" style="471" customWidth="1"/>
    <col min="970" max="970" width="2.81640625" style="471" customWidth="1"/>
    <col min="971" max="971" width="27.7265625" style="471" customWidth="1"/>
    <col min="972" max="986" width="11.453125" style="471" customWidth="1"/>
    <col min="987" max="1024" width="9.1796875" style="471"/>
    <col min="1025" max="1025" width="50" style="471" customWidth="1"/>
    <col min="1026" max="1026" width="2.81640625" style="471" customWidth="1"/>
    <col min="1027" max="1027" width="27.7265625" style="471" customWidth="1"/>
    <col min="1028" max="1042" width="11.453125" style="471" customWidth="1"/>
    <col min="1043" max="1224" width="9.1796875" style="471"/>
    <col min="1225" max="1225" width="50" style="471" customWidth="1"/>
    <col min="1226" max="1226" width="2.81640625" style="471" customWidth="1"/>
    <col min="1227" max="1227" width="27.7265625" style="471" customWidth="1"/>
    <col min="1228" max="1242" width="11.453125" style="471" customWidth="1"/>
    <col min="1243" max="1280" width="9.1796875" style="471"/>
    <col min="1281" max="1281" width="50" style="471" customWidth="1"/>
    <col min="1282" max="1282" width="2.81640625" style="471" customWidth="1"/>
    <col min="1283" max="1283" width="27.7265625" style="471" customWidth="1"/>
    <col min="1284" max="1298" width="11.453125" style="471" customWidth="1"/>
    <col min="1299" max="1480" width="9.1796875" style="471"/>
    <col min="1481" max="1481" width="50" style="471" customWidth="1"/>
    <col min="1482" max="1482" width="2.81640625" style="471" customWidth="1"/>
    <col min="1483" max="1483" width="27.7265625" style="471" customWidth="1"/>
    <col min="1484" max="1498" width="11.453125" style="471" customWidth="1"/>
    <col min="1499" max="1536" width="9.1796875" style="471"/>
    <col min="1537" max="1537" width="50" style="471" customWidth="1"/>
    <col min="1538" max="1538" width="2.81640625" style="471" customWidth="1"/>
    <col min="1539" max="1539" width="27.7265625" style="471" customWidth="1"/>
    <col min="1540" max="1554" width="11.453125" style="471" customWidth="1"/>
    <col min="1555" max="1736" width="9.1796875" style="471"/>
    <col min="1737" max="1737" width="50" style="471" customWidth="1"/>
    <col min="1738" max="1738" width="2.81640625" style="471" customWidth="1"/>
    <col min="1739" max="1739" width="27.7265625" style="471" customWidth="1"/>
    <col min="1740" max="1754" width="11.453125" style="471" customWidth="1"/>
    <col min="1755" max="1792" width="9.1796875" style="471"/>
    <col min="1793" max="1793" width="50" style="471" customWidth="1"/>
    <col min="1794" max="1794" width="2.81640625" style="471" customWidth="1"/>
    <col min="1795" max="1795" width="27.7265625" style="471" customWidth="1"/>
    <col min="1796" max="1810" width="11.453125" style="471" customWidth="1"/>
    <col min="1811" max="1992" width="9.1796875" style="471"/>
    <col min="1993" max="1993" width="50" style="471" customWidth="1"/>
    <col min="1994" max="1994" width="2.81640625" style="471" customWidth="1"/>
    <col min="1995" max="1995" width="27.7265625" style="471" customWidth="1"/>
    <col min="1996" max="2010" width="11.453125" style="471" customWidth="1"/>
    <col min="2011" max="2048" width="9.1796875" style="471"/>
    <col min="2049" max="2049" width="50" style="471" customWidth="1"/>
    <col min="2050" max="2050" width="2.81640625" style="471" customWidth="1"/>
    <col min="2051" max="2051" width="27.7265625" style="471" customWidth="1"/>
    <col min="2052" max="2066" width="11.453125" style="471" customWidth="1"/>
    <col min="2067" max="2248" width="9.1796875" style="471"/>
    <col min="2249" max="2249" width="50" style="471" customWidth="1"/>
    <col min="2250" max="2250" width="2.81640625" style="471" customWidth="1"/>
    <col min="2251" max="2251" width="27.7265625" style="471" customWidth="1"/>
    <col min="2252" max="2266" width="11.453125" style="471" customWidth="1"/>
    <col min="2267" max="2304" width="9.1796875" style="471"/>
    <col min="2305" max="2305" width="50" style="471" customWidth="1"/>
    <col min="2306" max="2306" width="2.81640625" style="471" customWidth="1"/>
    <col min="2307" max="2307" width="27.7265625" style="471" customWidth="1"/>
    <col min="2308" max="2322" width="11.453125" style="471" customWidth="1"/>
    <col min="2323" max="2504" width="9.1796875" style="471"/>
    <col min="2505" max="2505" width="50" style="471" customWidth="1"/>
    <col min="2506" max="2506" width="2.81640625" style="471" customWidth="1"/>
    <col min="2507" max="2507" width="27.7265625" style="471" customWidth="1"/>
    <col min="2508" max="2522" width="11.453125" style="471" customWidth="1"/>
    <col min="2523" max="2560" width="9.1796875" style="471"/>
    <col min="2561" max="2561" width="50" style="471" customWidth="1"/>
    <col min="2562" max="2562" width="2.81640625" style="471" customWidth="1"/>
    <col min="2563" max="2563" width="27.7265625" style="471" customWidth="1"/>
    <col min="2564" max="2578" width="11.453125" style="471" customWidth="1"/>
    <col min="2579" max="2760" width="9.1796875" style="471"/>
    <col min="2761" max="2761" width="50" style="471" customWidth="1"/>
    <col min="2762" max="2762" width="2.81640625" style="471" customWidth="1"/>
    <col min="2763" max="2763" width="27.7265625" style="471" customWidth="1"/>
    <col min="2764" max="2778" width="11.453125" style="471" customWidth="1"/>
    <col min="2779" max="2816" width="9.1796875" style="471"/>
    <col min="2817" max="2817" width="50" style="471" customWidth="1"/>
    <col min="2818" max="2818" width="2.81640625" style="471" customWidth="1"/>
    <col min="2819" max="2819" width="27.7265625" style="471" customWidth="1"/>
    <col min="2820" max="2834" width="11.453125" style="471" customWidth="1"/>
    <col min="2835" max="3016" width="9.1796875" style="471"/>
    <col min="3017" max="3017" width="50" style="471" customWidth="1"/>
    <col min="3018" max="3018" width="2.81640625" style="471" customWidth="1"/>
    <col min="3019" max="3019" width="27.7265625" style="471" customWidth="1"/>
    <col min="3020" max="3034" width="11.453125" style="471" customWidth="1"/>
    <col min="3035" max="3072" width="9.1796875" style="471"/>
    <col min="3073" max="3073" width="50" style="471" customWidth="1"/>
    <col min="3074" max="3074" width="2.81640625" style="471" customWidth="1"/>
    <col min="3075" max="3075" width="27.7265625" style="471" customWidth="1"/>
    <col min="3076" max="3090" width="11.453125" style="471" customWidth="1"/>
    <col min="3091" max="3272" width="9.1796875" style="471"/>
    <col min="3273" max="3273" width="50" style="471" customWidth="1"/>
    <col min="3274" max="3274" width="2.81640625" style="471" customWidth="1"/>
    <col min="3275" max="3275" width="27.7265625" style="471" customWidth="1"/>
    <col min="3276" max="3290" width="11.453125" style="471" customWidth="1"/>
    <col min="3291" max="3328" width="9.1796875" style="471"/>
    <col min="3329" max="3329" width="50" style="471" customWidth="1"/>
    <col min="3330" max="3330" width="2.81640625" style="471" customWidth="1"/>
    <col min="3331" max="3331" width="27.7265625" style="471" customWidth="1"/>
    <col min="3332" max="3346" width="11.453125" style="471" customWidth="1"/>
    <col min="3347" max="3528" width="9.1796875" style="471"/>
    <col min="3529" max="3529" width="50" style="471" customWidth="1"/>
    <col min="3530" max="3530" width="2.81640625" style="471" customWidth="1"/>
    <col min="3531" max="3531" width="27.7265625" style="471" customWidth="1"/>
    <col min="3532" max="3546" width="11.453125" style="471" customWidth="1"/>
    <col min="3547" max="3584" width="9.1796875" style="471"/>
    <col min="3585" max="3585" width="50" style="471" customWidth="1"/>
    <col min="3586" max="3586" width="2.81640625" style="471" customWidth="1"/>
    <col min="3587" max="3587" width="27.7265625" style="471" customWidth="1"/>
    <col min="3588" max="3602" width="11.453125" style="471" customWidth="1"/>
    <col min="3603" max="3784" width="9.1796875" style="471"/>
    <col min="3785" max="3785" width="50" style="471" customWidth="1"/>
    <col min="3786" max="3786" width="2.81640625" style="471" customWidth="1"/>
    <col min="3787" max="3787" width="27.7265625" style="471" customWidth="1"/>
    <col min="3788" max="3802" width="11.453125" style="471" customWidth="1"/>
    <col min="3803" max="3840" width="9.1796875" style="471"/>
    <col min="3841" max="3841" width="50" style="471" customWidth="1"/>
    <col min="3842" max="3842" width="2.81640625" style="471" customWidth="1"/>
    <col min="3843" max="3843" width="27.7265625" style="471" customWidth="1"/>
    <col min="3844" max="3858" width="11.453125" style="471" customWidth="1"/>
    <col min="3859" max="4040" width="9.1796875" style="471"/>
    <col min="4041" max="4041" width="50" style="471" customWidth="1"/>
    <col min="4042" max="4042" width="2.81640625" style="471" customWidth="1"/>
    <col min="4043" max="4043" width="27.7265625" style="471" customWidth="1"/>
    <col min="4044" max="4058" width="11.453125" style="471" customWidth="1"/>
    <col min="4059" max="4096" width="9.1796875" style="471"/>
    <col min="4097" max="4097" width="50" style="471" customWidth="1"/>
    <col min="4098" max="4098" width="2.81640625" style="471" customWidth="1"/>
    <col min="4099" max="4099" width="27.7265625" style="471" customWidth="1"/>
    <col min="4100" max="4114" width="11.453125" style="471" customWidth="1"/>
    <col min="4115" max="4296" width="9.1796875" style="471"/>
    <col min="4297" max="4297" width="50" style="471" customWidth="1"/>
    <col min="4298" max="4298" width="2.81640625" style="471" customWidth="1"/>
    <col min="4299" max="4299" width="27.7265625" style="471" customWidth="1"/>
    <col min="4300" max="4314" width="11.453125" style="471" customWidth="1"/>
    <col min="4315" max="4352" width="9.1796875" style="471"/>
    <col min="4353" max="4353" width="50" style="471" customWidth="1"/>
    <col min="4354" max="4354" width="2.81640625" style="471" customWidth="1"/>
    <col min="4355" max="4355" width="27.7265625" style="471" customWidth="1"/>
    <col min="4356" max="4370" width="11.453125" style="471" customWidth="1"/>
    <col min="4371" max="4552" width="9.1796875" style="471"/>
    <col min="4553" max="4553" width="50" style="471" customWidth="1"/>
    <col min="4554" max="4554" width="2.81640625" style="471" customWidth="1"/>
    <col min="4555" max="4555" width="27.7265625" style="471" customWidth="1"/>
    <col min="4556" max="4570" width="11.453125" style="471" customWidth="1"/>
    <col min="4571" max="4608" width="9.1796875" style="471"/>
    <col min="4609" max="4609" width="50" style="471" customWidth="1"/>
    <col min="4610" max="4610" width="2.81640625" style="471" customWidth="1"/>
    <col min="4611" max="4611" width="27.7265625" style="471" customWidth="1"/>
    <col min="4612" max="4626" width="11.453125" style="471" customWidth="1"/>
    <col min="4627" max="4808" width="9.1796875" style="471"/>
    <col min="4809" max="4809" width="50" style="471" customWidth="1"/>
    <col min="4810" max="4810" width="2.81640625" style="471" customWidth="1"/>
    <col min="4811" max="4811" width="27.7265625" style="471" customWidth="1"/>
    <col min="4812" max="4826" width="11.453125" style="471" customWidth="1"/>
    <col min="4827" max="4864" width="9.1796875" style="471"/>
    <col min="4865" max="4865" width="50" style="471" customWidth="1"/>
    <col min="4866" max="4866" width="2.81640625" style="471" customWidth="1"/>
    <col min="4867" max="4867" width="27.7265625" style="471" customWidth="1"/>
    <col min="4868" max="4882" width="11.453125" style="471" customWidth="1"/>
    <col min="4883" max="5064" width="9.1796875" style="471"/>
    <col min="5065" max="5065" width="50" style="471" customWidth="1"/>
    <col min="5066" max="5066" width="2.81640625" style="471" customWidth="1"/>
    <col min="5067" max="5067" width="27.7265625" style="471" customWidth="1"/>
    <col min="5068" max="5082" width="11.453125" style="471" customWidth="1"/>
    <col min="5083" max="5120" width="9.1796875" style="471"/>
    <col min="5121" max="5121" width="50" style="471" customWidth="1"/>
    <col min="5122" max="5122" width="2.81640625" style="471" customWidth="1"/>
    <col min="5123" max="5123" width="27.7265625" style="471" customWidth="1"/>
    <col min="5124" max="5138" width="11.453125" style="471" customWidth="1"/>
    <col min="5139" max="5320" width="9.1796875" style="471"/>
    <col min="5321" max="5321" width="50" style="471" customWidth="1"/>
    <col min="5322" max="5322" width="2.81640625" style="471" customWidth="1"/>
    <col min="5323" max="5323" width="27.7265625" style="471" customWidth="1"/>
    <col min="5324" max="5338" width="11.453125" style="471" customWidth="1"/>
    <col min="5339" max="5376" width="9.1796875" style="471"/>
    <col min="5377" max="5377" width="50" style="471" customWidth="1"/>
    <col min="5378" max="5378" width="2.81640625" style="471" customWidth="1"/>
    <col min="5379" max="5379" width="27.7265625" style="471" customWidth="1"/>
    <col min="5380" max="5394" width="11.453125" style="471" customWidth="1"/>
    <col min="5395" max="5576" width="9.1796875" style="471"/>
    <col min="5577" max="5577" width="50" style="471" customWidth="1"/>
    <col min="5578" max="5578" width="2.81640625" style="471" customWidth="1"/>
    <col min="5579" max="5579" width="27.7265625" style="471" customWidth="1"/>
    <col min="5580" max="5594" width="11.453125" style="471" customWidth="1"/>
    <col min="5595" max="5632" width="9.1796875" style="471"/>
    <col min="5633" max="5633" width="50" style="471" customWidth="1"/>
    <col min="5634" max="5634" width="2.81640625" style="471" customWidth="1"/>
    <col min="5635" max="5635" width="27.7265625" style="471" customWidth="1"/>
    <col min="5636" max="5650" width="11.453125" style="471" customWidth="1"/>
    <col min="5651" max="5832" width="9.1796875" style="471"/>
    <col min="5833" max="5833" width="50" style="471" customWidth="1"/>
    <col min="5834" max="5834" width="2.81640625" style="471" customWidth="1"/>
    <col min="5835" max="5835" width="27.7265625" style="471" customWidth="1"/>
    <col min="5836" max="5850" width="11.453125" style="471" customWidth="1"/>
    <col min="5851" max="5888" width="9.1796875" style="471"/>
    <col min="5889" max="5889" width="50" style="471" customWidth="1"/>
    <col min="5890" max="5890" width="2.81640625" style="471" customWidth="1"/>
    <col min="5891" max="5891" width="27.7265625" style="471" customWidth="1"/>
    <col min="5892" max="5906" width="11.453125" style="471" customWidth="1"/>
    <col min="5907" max="6088" width="9.1796875" style="471"/>
    <col min="6089" max="6089" width="50" style="471" customWidth="1"/>
    <col min="6090" max="6090" width="2.81640625" style="471" customWidth="1"/>
    <col min="6091" max="6091" width="27.7265625" style="471" customWidth="1"/>
    <col min="6092" max="6106" width="11.453125" style="471" customWidth="1"/>
    <col min="6107" max="6144" width="9.1796875" style="471"/>
    <col min="6145" max="6145" width="50" style="471" customWidth="1"/>
    <col min="6146" max="6146" width="2.81640625" style="471" customWidth="1"/>
    <col min="6147" max="6147" width="27.7265625" style="471" customWidth="1"/>
    <col min="6148" max="6162" width="11.453125" style="471" customWidth="1"/>
    <col min="6163" max="6344" width="9.1796875" style="471"/>
    <col min="6345" max="6345" width="50" style="471" customWidth="1"/>
    <col min="6346" max="6346" width="2.81640625" style="471" customWidth="1"/>
    <col min="6347" max="6347" width="27.7265625" style="471" customWidth="1"/>
    <col min="6348" max="6362" width="11.453125" style="471" customWidth="1"/>
    <col min="6363" max="6400" width="9.1796875" style="471"/>
    <col min="6401" max="6401" width="50" style="471" customWidth="1"/>
    <col min="6402" max="6402" width="2.81640625" style="471" customWidth="1"/>
    <col min="6403" max="6403" width="27.7265625" style="471" customWidth="1"/>
    <col min="6404" max="6418" width="11.453125" style="471" customWidth="1"/>
    <col min="6419" max="6600" width="9.1796875" style="471"/>
    <col min="6601" max="6601" width="50" style="471" customWidth="1"/>
    <col min="6602" max="6602" width="2.81640625" style="471" customWidth="1"/>
    <col min="6603" max="6603" width="27.7265625" style="471" customWidth="1"/>
    <col min="6604" max="6618" width="11.453125" style="471" customWidth="1"/>
    <col min="6619" max="6656" width="9.1796875" style="471"/>
    <col min="6657" max="6657" width="50" style="471" customWidth="1"/>
    <col min="6658" max="6658" width="2.81640625" style="471" customWidth="1"/>
    <col min="6659" max="6659" width="27.7265625" style="471" customWidth="1"/>
    <col min="6660" max="6674" width="11.453125" style="471" customWidth="1"/>
    <col min="6675" max="6856" width="9.1796875" style="471"/>
    <col min="6857" max="6857" width="50" style="471" customWidth="1"/>
    <col min="6858" max="6858" width="2.81640625" style="471" customWidth="1"/>
    <col min="6859" max="6859" width="27.7265625" style="471" customWidth="1"/>
    <col min="6860" max="6874" width="11.453125" style="471" customWidth="1"/>
    <col min="6875" max="6912" width="9.1796875" style="471"/>
    <col min="6913" max="6913" width="50" style="471" customWidth="1"/>
    <col min="6914" max="6914" width="2.81640625" style="471" customWidth="1"/>
    <col min="6915" max="6915" width="27.7265625" style="471" customWidth="1"/>
    <col min="6916" max="6930" width="11.453125" style="471" customWidth="1"/>
    <col min="6931" max="7112" width="9.1796875" style="471"/>
    <col min="7113" max="7113" width="50" style="471" customWidth="1"/>
    <col min="7114" max="7114" width="2.81640625" style="471" customWidth="1"/>
    <col min="7115" max="7115" width="27.7265625" style="471" customWidth="1"/>
    <col min="7116" max="7130" width="11.453125" style="471" customWidth="1"/>
    <col min="7131" max="7168" width="9.1796875" style="471"/>
    <col min="7169" max="7169" width="50" style="471" customWidth="1"/>
    <col min="7170" max="7170" width="2.81640625" style="471" customWidth="1"/>
    <col min="7171" max="7171" width="27.7265625" style="471" customWidth="1"/>
    <col min="7172" max="7186" width="11.453125" style="471" customWidth="1"/>
    <col min="7187" max="7368" width="9.1796875" style="471"/>
    <col min="7369" max="7369" width="50" style="471" customWidth="1"/>
    <col min="7370" max="7370" width="2.81640625" style="471" customWidth="1"/>
    <col min="7371" max="7371" width="27.7265625" style="471" customWidth="1"/>
    <col min="7372" max="7386" width="11.453125" style="471" customWidth="1"/>
    <col min="7387" max="7424" width="9.1796875" style="471"/>
    <col min="7425" max="7425" width="50" style="471" customWidth="1"/>
    <col min="7426" max="7426" width="2.81640625" style="471" customWidth="1"/>
    <col min="7427" max="7427" width="27.7265625" style="471" customWidth="1"/>
    <col min="7428" max="7442" width="11.453125" style="471" customWidth="1"/>
    <col min="7443" max="7624" width="9.1796875" style="471"/>
    <col min="7625" max="7625" width="50" style="471" customWidth="1"/>
    <col min="7626" max="7626" width="2.81640625" style="471" customWidth="1"/>
    <col min="7627" max="7627" width="27.7265625" style="471" customWidth="1"/>
    <col min="7628" max="7642" width="11.453125" style="471" customWidth="1"/>
    <col min="7643" max="7680" width="9.1796875" style="471"/>
    <col min="7681" max="7681" width="50" style="471" customWidth="1"/>
    <col min="7682" max="7682" width="2.81640625" style="471" customWidth="1"/>
    <col min="7683" max="7683" width="27.7265625" style="471" customWidth="1"/>
    <col min="7684" max="7698" width="11.453125" style="471" customWidth="1"/>
    <col min="7699" max="7880" width="9.1796875" style="471"/>
    <col min="7881" max="7881" width="50" style="471" customWidth="1"/>
    <col min="7882" max="7882" width="2.81640625" style="471" customWidth="1"/>
    <col min="7883" max="7883" width="27.7265625" style="471" customWidth="1"/>
    <col min="7884" max="7898" width="11.453125" style="471" customWidth="1"/>
    <col min="7899" max="7936" width="9.1796875" style="471"/>
    <col min="7937" max="7937" width="50" style="471" customWidth="1"/>
    <col min="7938" max="7938" width="2.81640625" style="471" customWidth="1"/>
    <col min="7939" max="7939" width="27.7265625" style="471" customWidth="1"/>
    <col min="7940" max="7954" width="11.453125" style="471" customWidth="1"/>
    <col min="7955" max="8136" width="9.1796875" style="471"/>
    <col min="8137" max="8137" width="50" style="471" customWidth="1"/>
    <col min="8138" max="8138" width="2.81640625" style="471" customWidth="1"/>
    <col min="8139" max="8139" width="27.7265625" style="471" customWidth="1"/>
    <col min="8140" max="8154" width="11.453125" style="471" customWidth="1"/>
    <col min="8155" max="8192" width="9.1796875" style="471"/>
    <col min="8193" max="8193" width="50" style="471" customWidth="1"/>
    <col min="8194" max="8194" width="2.81640625" style="471" customWidth="1"/>
    <col min="8195" max="8195" width="27.7265625" style="471" customWidth="1"/>
    <col min="8196" max="8210" width="11.453125" style="471" customWidth="1"/>
    <col min="8211" max="8392" width="9.1796875" style="471"/>
    <col min="8393" max="8393" width="50" style="471" customWidth="1"/>
    <col min="8394" max="8394" width="2.81640625" style="471" customWidth="1"/>
    <col min="8395" max="8395" width="27.7265625" style="471" customWidth="1"/>
    <col min="8396" max="8410" width="11.453125" style="471" customWidth="1"/>
    <col min="8411" max="8448" width="9.1796875" style="471"/>
    <col min="8449" max="8449" width="50" style="471" customWidth="1"/>
    <col min="8450" max="8450" width="2.81640625" style="471" customWidth="1"/>
    <col min="8451" max="8451" width="27.7265625" style="471" customWidth="1"/>
    <col min="8452" max="8466" width="11.453125" style="471" customWidth="1"/>
    <col min="8467" max="8648" width="9.1796875" style="471"/>
    <col min="8649" max="8649" width="50" style="471" customWidth="1"/>
    <col min="8650" max="8650" width="2.81640625" style="471" customWidth="1"/>
    <col min="8651" max="8651" width="27.7265625" style="471" customWidth="1"/>
    <col min="8652" max="8666" width="11.453125" style="471" customWidth="1"/>
    <col min="8667" max="8704" width="9.1796875" style="471"/>
    <col min="8705" max="8705" width="50" style="471" customWidth="1"/>
    <col min="8706" max="8706" width="2.81640625" style="471" customWidth="1"/>
    <col min="8707" max="8707" width="27.7265625" style="471" customWidth="1"/>
    <col min="8708" max="8722" width="11.453125" style="471" customWidth="1"/>
    <col min="8723" max="8904" width="9.1796875" style="471"/>
    <col min="8905" max="8905" width="50" style="471" customWidth="1"/>
    <col min="8906" max="8906" width="2.81640625" style="471" customWidth="1"/>
    <col min="8907" max="8907" width="27.7265625" style="471" customWidth="1"/>
    <col min="8908" max="8922" width="11.453125" style="471" customWidth="1"/>
    <col min="8923" max="8960" width="9.1796875" style="471"/>
    <col min="8961" max="8961" width="50" style="471" customWidth="1"/>
    <col min="8962" max="8962" width="2.81640625" style="471" customWidth="1"/>
    <col min="8963" max="8963" width="27.7265625" style="471" customWidth="1"/>
    <col min="8964" max="8978" width="11.453125" style="471" customWidth="1"/>
    <col min="8979" max="9160" width="9.1796875" style="471"/>
    <col min="9161" max="9161" width="50" style="471" customWidth="1"/>
    <col min="9162" max="9162" width="2.81640625" style="471" customWidth="1"/>
    <col min="9163" max="9163" width="27.7265625" style="471" customWidth="1"/>
    <col min="9164" max="9178" width="11.453125" style="471" customWidth="1"/>
    <col min="9179" max="9216" width="9.1796875" style="471"/>
    <col min="9217" max="9217" width="50" style="471" customWidth="1"/>
    <col min="9218" max="9218" width="2.81640625" style="471" customWidth="1"/>
    <col min="9219" max="9219" width="27.7265625" style="471" customWidth="1"/>
    <col min="9220" max="9234" width="11.453125" style="471" customWidth="1"/>
    <col min="9235" max="9416" width="9.1796875" style="471"/>
    <col min="9417" max="9417" width="50" style="471" customWidth="1"/>
    <col min="9418" max="9418" width="2.81640625" style="471" customWidth="1"/>
    <col min="9419" max="9419" width="27.7265625" style="471" customWidth="1"/>
    <col min="9420" max="9434" width="11.453125" style="471" customWidth="1"/>
    <col min="9435" max="9472" width="9.1796875" style="471"/>
    <col min="9473" max="9473" width="50" style="471" customWidth="1"/>
    <col min="9474" max="9474" width="2.81640625" style="471" customWidth="1"/>
    <col min="9475" max="9475" width="27.7265625" style="471" customWidth="1"/>
    <col min="9476" max="9490" width="11.453125" style="471" customWidth="1"/>
    <col min="9491" max="9672" width="9.1796875" style="471"/>
    <col min="9673" max="9673" width="50" style="471" customWidth="1"/>
    <col min="9674" max="9674" width="2.81640625" style="471" customWidth="1"/>
    <col min="9675" max="9675" width="27.7265625" style="471" customWidth="1"/>
    <col min="9676" max="9690" width="11.453125" style="471" customWidth="1"/>
    <col min="9691" max="9728" width="9.1796875" style="471"/>
    <col min="9729" max="9729" width="50" style="471" customWidth="1"/>
    <col min="9730" max="9730" width="2.81640625" style="471" customWidth="1"/>
    <col min="9731" max="9731" width="27.7265625" style="471" customWidth="1"/>
    <col min="9732" max="9746" width="11.453125" style="471" customWidth="1"/>
    <col min="9747" max="9928" width="9.1796875" style="471"/>
    <col min="9929" max="9929" width="50" style="471" customWidth="1"/>
    <col min="9930" max="9930" width="2.81640625" style="471" customWidth="1"/>
    <col min="9931" max="9931" width="27.7265625" style="471" customWidth="1"/>
    <col min="9932" max="9946" width="11.453125" style="471" customWidth="1"/>
    <col min="9947" max="9984" width="9.1796875" style="471"/>
    <col min="9985" max="9985" width="50" style="471" customWidth="1"/>
    <col min="9986" max="9986" width="2.81640625" style="471" customWidth="1"/>
    <col min="9987" max="9987" width="27.7265625" style="471" customWidth="1"/>
    <col min="9988" max="10002" width="11.453125" style="471" customWidth="1"/>
    <col min="10003" max="10184" width="9.1796875" style="471"/>
    <col min="10185" max="10185" width="50" style="471" customWidth="1"/>
    <col min="10186" max="10186" width="2.81640625" style="471" customWidth="1"/>
    <col min="10187" max="10187" width="27.7265625" style="471" customWidth="1"/>
    <col min="10188" max="10202" width="11.453125" style="471" customWidth="1"/>
    <col min="10203" max="10240" width="9.1796875" style="471"/>
    <col min="10241" max="10241" width="50" style="471" customWidth="1"/>
    <col min="10242" max="10242" width="2.81640625" style="471" customWidth="1"/>
    <col min="10243" max="10243" width="27.7265625" style="471" customWidth="1"/>
    <col min="10244" max="10258" width="11.453125" style="471" customWidth="1"/>
    <col min="10259" max="10440" width="9.1796875" style="471"/>
    <col min="10441" max="10441" width="50" style="471" customWidth="1"/>
    <col min="10442" max="10442" width="2.81640625" style="471" customWidth="1"/>
    <col min="10443" max="10443" width="27.7265625" style="471" customWidth="1"/>
    <col min="10444" max="10458" width="11.453125" style="471" customWidth="1"/>
    <col min="10459" max="10496" width="9.1796875" style="471"/>
    <col min="10497" max="10497" width="50" style="471" customWidth="1"/>
    <col min="10498" max="10498" width="2.81640625" style="471" customWidth="1"/>
    <col min="10499" max="10499" width="27.7265625" style="471" customWidth="1"/>
    <col min="10500" max="10514" width="11.453125" style="471" customWidth="1"/>
    <col min="10515" max="10696" width="9.1796875" style="471"/>
    <col min="10697" max="10697" width="50" style="471" customWidth="1"/>
    <col min="10698" max="10698" width="2.81640625" style="471" customWidth="1"/>
    <col min="10699" max="10699" width="27.7265625" style="471" customWidth="1"/>
    <col min="10700" max="10714" width="11.453125" style="471" customWidth="1"/>
    <col min="10715" max="10752" width="9.1796875" style="471"/>
    <col min="10753" max="10753" width="50" style="471" customWidth="1"/>
    <col min="10754" max="10754" width="2.81640625" style="471" customWidth="1"/>
    <col min="10755" max="10755" width="27.7265625" style="471" customWidth="1"/>
    <col min="10756" max="10770" width="11.453125" style="471" customWidth="1"/>
    <col min="10771" max="10952" width="9.1796875" style="471"/>
    <col min="10953" max="10953" width="50" style="471" customWidth="1"/>
    <col min="10954" max="10954" width="2.81640625" style="471" customWidth="1"/>
    <col min="10955" max="10955" width="27.7265625" style="471" customWidth="1"/>
    <col min="10956" max="10970" width="11.453125" style="471" customWidth="1"/>
    <col min="10971" max="11008" width="9.1796875" style="471"/>
    <col min="11009" max="11009" width="50" style="471" customWidth="1"/>
    <col min="11010" max="11010" width="2.81640625" style="471" customWidth="1"/>
    <col min="11011" max="11011" width="27.7265625" style="471" customWidth="1"/>
    <col min="11012" max="11026" width="11.453125" style="471" customWidth="1"/>
    <col min="11027" max="11208" width="9.1796875" style="471"/>
    <col min="11209" max="11209" width="50" style="471" customWidth="1"/>
    <col min="11210" max="11210" width="2.81640625" style="471" customWidth="1"/>
    <col min="11211" max="11211" width="27.7265625" style="471" customWidth="1"/>
    <col min="11212" max="11226" width="11.453125" style="471" customWidth="1"/>
    <col min="11227" max="11264" width="9.1796875" style="471"/>
    <col min="11265" max="11265" width="50" style="471" customWidth="1"/>
    <col min="11266" max="11266" width="2.81640625" style="471" customWidth="1"/>
    <col min="11267" max="11267" width="27.7265625" style="471" customWidth="1"/>
    <col min="11268" max="11282" width="11.453125" style="471" customWidth="1"/>
    <col min="11283" max="11464" width="9.1796875" style="471"/>
    <col min="11465" max="11465" width="50" style="471" customWidth="1"/>
    <col min="11466" max="11466" width="2.81640625" style="471" customWidth="1"/>
    <col min="11467" max="11467" width="27.7265625" style="471" customWidth="1"/>
    <col min="11468" max="11482" width="11.453125" style="471" customWidth="1"/>
    <col min="11483" max="11520" width="9.1796875" style="471"/>
    <col min="11521" max="11521" width="50" style="471" customWidth="1"/>
    <col min="11522" max="11522" width="2.81640625" style="471" customWidth="1"/>
    <col min="11523" max="11523" width="27.7265625" style="471" customWidth="1"/>
    <col min="11524" max="11538" width="11.453125" style="471" customWidth="1"/>
    <col min="11539" max="11720" width="9.1796875" style="471"/>
    <col min="11721" max="11721" width="50" style="471" customWidth="1"/>
    <col min="11722" max="11722" width="2.81640625" style="471" customWidth="1"/>
    <col min="11723" max="11723" width="27.7265625" style="471" customWidth="1"/>
    <col min="11724" max="11738" width="11.453125" style="471" customWidth="1"/>
    <col min="11739" max="11776" width="9.1796875" style="471"/>
    <col min="11777" max="11777" width="50" style="471" customWidth="1"/>
    <col min="11778" max="11778" width="2.81640625" style="471" customWidth="1"/>
    <col min="11779" max="11779" width="27.7265625" style="471" customWidth="1"/>
    <col min="11780" max="11794" width="11.453125" style="471" customWidth="1"/>
    <col min="11795" max="11976" width="9.1796875" style="471"/>
    <col min="11977" max="11977" width="50" style="471" customWidth="1"/>
    <col min="11978" max="11978" width="2.81640625" style="471" customWidth="1"/>
    <col min="11979" max="11979" width="27.7265625" style="471" customWidth="1"/>
    <col min="11980" max="11994" width="11.453125" style="471" customWidth="1"/>
    <col min="11995" max="12032" width="9.1796875" style="471"/>
    <col min="12033" max="12033" width="50" style="471" customWidth="1"/>
    <col min="12034" max="12034" width="2.81640625" style="471" customWidth="1"/>
    <col min="12035" max="12035" width="27.7265625" style="471" customWidth="1"/>
    <col min="12036" max="12050" width="11.453125" style="471" customWidth="1"/>
    <col min="12051" max="12232" width="9.1796875" style="471"/>
    <col min="12233" max="12233" width="50" style="471" customWidth="1"/>
    <col min="12234" max="12234" width="2.81640625" style="471" customWidth="1"/>
    <col min="12235" max="12235" width="27.7265625" style="471" customWidth="1"/>
    <col min="12236" max="12250" width="11.453125" style="471" customWidth="1"/>
    <col min="12251" max="12288" width="9.1796875" style="471"/>
    <col min="12289" max="12289" width="50" style="471" customWidth="1"/>
    <col min="12290" max="12290" width="2.81640625" style="471" customWidth="1"/>
    <col min="12291" max="12291" width="27.7265625" style="471" customWidth="1"/>
    <col min="12292" max="12306" width="11.453125" style="471" customWidth="1"/>
    <col min="12307" max="12488" width="9.1796875" style="471"/>
    <col min="12489" max="12489" width="50" style="471" customWidth="1"/>
    <col min="12490" max="12490" width="2.81640625" style="471" customWidth="1"/>
    <col min="12491" max="12491" width="27.7265625" style="471" customWidth="1"/>
    <col min="12492" max="12506" width="11.453125" style="471" customWidth="1"/>
    <col min="12507" max="12544" width="9.1796875" style="471"/>
    <col min="12545" max="12545" width="50" style="471" customWidth="1"/>
    <col min="12546" max="12546" width="2.81640625" style="471" customWidth="1"/>
    <col min="12547" max="12547" width="27.7265625" style="471" customWidth="1"/>
    <col min="12548" max="12562" width="11.453125" style="471" customWidth="1"/>
    <col min="12563" max="12744" width="9.1796875" style="471"/>
    <col min="12745" max="12745" width="50" style="471" customWidth="1"/>
    <col min="12746" max="12746" width="2.81640625" style="471" customWidth="1"/>
    <col min="12747" max="12747" width="27.7265625" style="471" customWidth="1"/>
    <col min="12748" max="12762" width="11.453125" style="471" customWidth="1"/>
    <col min="12763" max="12800" width="9.1796875" style="471"/>
    <col min="12801" max="12801" width="50" style="471" customWidth="1"/>
    <col min="12802" max="12802" width="2.81640625" style="471" customWidth="1"/>
    <col min="12803" max="12803" width="27.7265625" style="471" customWidth="1"/>
    <col min="12804" max="12818" width="11.453125" style="471" customWidth="1"/>
    <col min="12819" max="13000" width="9.1796875" style="471"/>
    <col min="13001" max="13001" width="50" style="471" customWidth="1"/>
    <col min="13002" max="13002" width="2.81640625" style="471" customWidth="1"/>
    <col min="13003" max="13003" width="27.7265625" style="471" customWidth="1"/>
    <col min="13004" max="13018" width="11.453125" style="471" customWidth="1"/>
    <col min="13019" max="13056" width="9.1796875" style="471"/>
    <col min="13057" max="13057" width="50" style="471" customWidth="1"/>
    <col min="13058" max="13058" width="2.81640625" style="471" customWidth="1"/>
    <col min="13059" max="13059" width="27.7265625" style="471" customWidth="1"/>
    <col min="13060" max="13074" width="11.453125" style="471" customWidth="1"/>
    <col min="13075" max="13256" width="9.1796875" style="471"/>
    <col min="13257" max="13257" width="50" style="471" customWidth="1"/>
    <col min="13258" max="13258" width="2.81640625" style="471" customWidth="1"/>
    <col min="13259" max="13259" width="27.7265625" style="471" customWidth="1"/>
    <col min="13260" max="13274" width="11.453125" style="471" customWidth="1"/>
    <col min="13275" max="13312" width="9.1796875" style="471"/>
    <col min="13313" max="13313" width="50" style="471" customWidth="1"/>
    <col min="13314" max="13314" width="2.81640625" style="471" customWidth="1"/>
    <col min="13315" max="13315" width="27.7265625" style="471" customWidth="1"/>
    <col min="13316" max="13330" width="11.453125" style="471" customWidth="1"/>
    <col min="13331" max="13512" width="9.1796875" style="471"/>
    <col min="13513" max="13513" width="50" style="471" customWidth="1"/>
    <col min="13514" max="13514" width="2.81640625" style="471" customWidth="1"/>
    <col min="13515" max="13515" width="27.7265625" style="471" customWidth="1"/>
    <col min="13516" max="13530" width="11.453125" style="471" customWidth="1"/>
    <col min="13531" max="13568" width="9.1796875" style="471"/>
    <col min="13569" max="13569" width="50" style="471" customWidth="1"/>
    <col min="13570" max="13570" width="2.81640625" style="471" customWidth="1"/>
    <col min="13571" max="13571" width="27.7265625" style="471" customWidth="1"/>
    <col min="13572" max="13586" width="11.453125" style="471" customWidth="1"/>
    <col min="13587" max="13768" width="9.1796875" style="471"/>
    <col min="13769" max="13769" width="50" style="471" customWidth="1"/>
    <col min="13770" max="13770" width="2.81640625" style="471" customWidth="1"/>
    <col min="13771" max="13771" width="27.7265625" style="471" customWidth="1"/>
    <col min="13772" max="13786" width="11.453125" style="471" customWidth="1"/>
    <col min="13787" max="13824" width="9.1796875" style="471"/>
    <col min="13825" max="13825" width="50" style="471" customWidth="1"/>
    <col min="13826" max="13826" width="2.81640625" style="471" customWidth="1"/>
    <col min="13827" max="13827" width="27.7265625" style="471" customWidth="1"/>
    <col min="13828" max="13842" width="11.453125" style="471" customWidth="1"/>
    <col min="13843" max="14024" width="9.1796875" style="471"/>
    <col min="14025" max="14025" width="50" style="471" customWidth="1"/>
    <col min="14026" max="14026" width="2.81640625" style="471" customWidth="1"/>
    <col min="14027" max="14027" width="27.7265625" style="471" customWidth="1"/>
    <col min="14028" max="14042" width="11.453125" style="471" customWidth="1"/>
    <col min="14043" max="14080" width="9.1796875" style="471"/>
    <col min="14081" max="14081" width="50" style="471" customWidth="1"/>
    <col min="14082" max="14082" width="2.81640625" style="471" customWidth="1"/>
    <col min="14083" max="14083" width="27.7265625" style="471" customWidth="1"/>
    <col min="14084" max="14098" width="11.453125" style="471" customWidth="1"/>
    <col min="14099" max="14280" width="9.1796875" style="471"/>
    <col min="14281" max="14281" width="50" style="471" customWidth="1"/>
    <col min="14282" max="14282" width="2.81640625" style="471" customWidth="1"/>
    <col min="14283" max="14283" width="27.7265625" style="471" customWidth="1"/>
    <col min="14284" max="14298" width="11.453125" style="471" customWidth="1"/>
    <col min="14299" max="14336" width="9.1796875" style="471"/>
    <col min="14337" max="14337" width="50" style="471" customWidth="1"/>
    <col min="14338" max="14338" width="2.81640625" style="471" customWidth="1"/>
    <col min="14339" max="14339" width="27.7265625" style="471" customWidth="1"/>
    <col min="14340" max="14354" width="11.453125" style="471" customWidth="1"/>
    <col min="14355" max="14536" width="9.1796875" style="471"/>
    <col min="14537" max="14537" width="50" style="471" customWidth="1"/>
    <col min="14538" max="14538" width="2.81640625" style="471" customWidth="1"/>
    <col min="14539" max="14539" width="27.7265625" style="471" customWidth="1"/>
    <col min="14540" max="14554" width="11.453125" style="471" customWidth="1"/>
    <col min="14555" max="14592" width="9.1796875" style="471"/>
    <col min="14593" max="14593" width="50" style="471" customWidth="1"/>
    <col min="14594" max="14594" width="2.81640625" style="471" customWidth="1"/>
    <col min="14595" max="14595" width="27.7265625" style="471" customWidth="1"/>
    <col min="14596" max="14610" width="11.453125" style="471" customWidth="1"/>
    <col min="14611" max="14792" width="9.1796875" style="471"/>
    <col min="14793" max="14793" width="50" style="471" customWidth="1"/>
    <col min="14794" max="14794" width="2.81640625" style="471" customWidth="1"/>
    <col min="14795" max="14795" width="27.7265625" style="471" customWidth="1"/>
    <col min="14796" max="14810" width="11.453125" style="471" customWidth="1"/>
    <col min="14811" max="14848" width="9.1796875" style="471"/>
    <col min="14849" max="14849" width="50" style="471" customWidth="1"/>
    <col min="14850" max="14850" width="2.81640625" style="471" customWidth="1"/>
    <col min="14851" max="14851" width="27.7265625" style="471" customWidth="1"/>
    <col min="14852" max="14866" width="11.453125" style="471" customWidth="1"/>
    <col min="14867" max="15048" width="9.1796875" style="471"/>
    <col min="15049" max="15049" width="50" style="471" customWidth="1"/>
    <col min="15050" max="15050" width="2.81640625" style="471" customWidth="1"/>
    <col min="15051" max="15051" width="27.7265625" style="471" customWidth="1"/>
    <col min="15052" max="15066" width="11.453125" style="471" customWidth="1"/>
    <col min="15067" max="15104" width="9.1796875" style="471"/>
    <col min="15105" max="15105" width="50" style="471" customWidth="1"/>
    <col min="15106" max="15106" width="2.81640625" style="471" customWidth="1"/>
    <col min="15107" max="15107" width="27.7265625" style="471" customWidth="1"/>
    <col min="15108" max="15122" width="11.453125" style="471" customWidth="1"/>
    <col min="15123" max="15304" width="9.1796875" style="471"/>
    <col min="15305" max="15305" width="50" style="471" customWidth="1"/>
    <col min="15306" max="15306" width="2.81640625" style="471" customWidth="1"/>
    <col min="15307" max="15307" width="27.7265625" style="471" customWidth="1"/>
    <col min="15308" max="15322" width="11.453125" style="471" customWidth="1"/>
    <col min="15323" max="15360" width="9.1796875" style="471"/>
    <col min="15361" max="15361" width="50" style="471" customWidth="1"/>
    <col min="15362" max="15362" width="2.81640625" style="471" customWidth="1"/>
    <col min="15363" max="15363" width="27.7265625" style="471" customWidth="1"/>
    <col min="15364" max="15378" width="11.453125" style="471" customWidth="1"/>
    <col min="15379" max="15560" width="9.1796875" style="471"/>
    <col min="15561" max="15561" width="50" style="471" customWidth="1"/>
    <col min="15562" max="15562" width="2.81640625" style="471" customWidth="1"/>
    <col min="15563" max="15563" width="27.7265625" style="471" customWidth="1"/>
    <col min="15564" max="15578" width="11.453125" style="471" customWidth="1"/>
    <col min="15579" max="15616" width="9.1796875" style="471"/>
    <col min="15617" max="15617" width="50" style="471" customWidth="1"/>
    <col min="15618" max="15618" width="2.81640625" style="471" customWidth="1"/>
    <col min="15619" max="15619" width="27.7265625" style="471" customWidth="1"/>
    <col min="15620" max="15634" width="11.453125" style="471" customWidth="1"/>
    <col min="15635" max="15816" width="9.1796875" style="471"/>
    <col min="15817" max="15817" width="50" style="471" customWidth="1"/>
    <col min="15818" max="15818" width="2.81640625" style="471" customWidth="1"/>
    <col min="15819" max="15819" width="27.7265625" style="471" customWidth="1"/>
    <col min="15820" max="15834" width="11.453125" style="471" customWidth="1"/>
    <col min="15835" max="15872" width="9.1796875" style="471"/>
    <col min="15873" max="15873" width="50" style="471" customWidth="1"/>
    <col min="15874" max="15874" width="2.81640625" style="471" customWidth="1"/>
    <col min="15875" max="15875" width="27.7265625" style="471" customWidth="1"/>
    <col min="15876" max="15890" width="11.453125" style="471" customWidth="1"/>
    <col min="15891" max="16072" width="9.1796875" style="471"/>
    <col min="16073" max="16073" width="50" style="471" customWidth="1"/>
    <col min="16074" max="16074" width="2.81640625" style="471" customWidth="1"/>
    <col min="16075" max="16075" width="27.7265625" style="471" customWidth="1"/>
    <col min="16076" max="16090" width="11.453125" style="471" customWidth="1"/>
    <col min="16091" max="16128" width="9.1796875" style="471"/>
    <col min="16129" max="16129" width="50" style="471" customWidth="1"/>
    <col min="16130" max="16130" width="2.81640625" style="471" customWidth="1"/>
    <col min="16131" max="16131" width="27.7265625" style="471" customWidth="1"/>
    <col min="16132" max="16146" width="11.453125" style="471" customWidth="1"/>
    <col min="16147" max="16328" width="9.1796875" style="471"/>
    <col min="16329" max="16329" width="50" style="471" customWidth="1"/>
    <col min="16330" max="16330" width="2.81640625" style="471" customWidth="1"/>
    <col min="16331" max="16331" width="27.7265625" style="471" customWidth="1"/>
    <col min="16332" max="16346" width="11.453125" style="471" customWidth="1"/>
    <col min="16347" max="16384" width="9.1796875" style="471"/>
  </cols>
  <sheetData>
    <row r="1" spans="1:18">
      <c r="A1" s="467"/>
      <c r="C1" s="469"/>
      <c r="D1" s="470"/>
      <c r="E1" s="470"/>
      <c r="F1" s="470"/>
      <c r="G1" s="470"/>
      <c r="H1" s="470"/>
      <c r="I1" s="470"/>
      <c r="J1" s="470"/>
      <c r="K1" s="470"/>
      <c r="L1" s="470"/>
      <c r="M1" s="470"/>
      <c r="N1" s="676"/>
      <c r="O1" s="676"/>
    </row>
    <row r="2" spans="1:18" ht="15.5">
      <c r="A2" s="472" t="s">
        <v>715</v>
      </c>
      <c r="C2" s="473" t="s">
        <v>716</v>
      </c>
      <c r="D2" s="474"/>
      <c r="E2" s="474"/>
      <c r="F2" s="474"/>
      <c r="G2" s="474"/>
      <c r="H2" s="474"/>
      <c r="I2" s="474"/>
      <c r="J2" s="474"/>
      <c r="K2" s="474"/>
      <c r="L2" s="474"/>
      <c r="M2" s="474"/>
      <c r="N2" s="474"/>
      <c r="O2" s="474"/>
      <c r="P2" s="474"/>
      <c r="Q2" s="474"/>
      <c r="R2" s="474"/>
    </row>
    <row r="3" spans="1:18">
      <c r="A3" s="677" t="s">
        <v>717</v>
      </c>
      <c r="B3" s="475"/>
    </row>
    <row r="4" spans="1:18" ht="15" customHeight="1">
      <c r="A4" s="677"/>
      <c r="B4" s="475"/>
    </row>
    <row r="5" spans="1:18">
      <c r="A5" s="477" t="s">
        <v>718</v>
      </c>
      <c r="B5" s="478"/>
    </row>
    <row r="6" spans="1:18">
      <c r="A6" s="477" t="s">
        <v>719</v>
      </c>
      <c r="C6" s="479" t="s">
        <v>304</v>
      </c>
      <c r="D6" s="480" t="str">
        <f>text_ticker</f>
        <v>KDP</v>
      </c>
    </row>
    <row r="7" spans="1:18" ht="14.25" customHeight="1">
      <c r="A7" s="677" t="s">
        <v>720</v>
      </c>
    </row>
    <row r="8" spans="1:18" ht="14.25" customHeight="1">
      <c r="A8" s="678"/>
      <c r="C8" s="481" t="s">
        <v>721</v>
      </c>
      <c r="D8" s="470"/>
      <c r="E8" s="470"/>
      <c r="F8" s="470"/>
      <c r="G8" s="470"/>
      <c r="H8" s="470"/>
      <c r="I8" s="470"/>
      <c r="J8" s="470"/>
      <c r="K8" s="470"/>
      <c r="L8" s="470"/>
      <c r="M8" s="470"/>
      <c r="N8" s="470"/>
      <c r="O8" s="470"/>
    </row>
    <row r="9" spans="1:18" ht="14.25" customHeight="1">
      <c r="A9" s="677" t="s">
        <v>722</v>
      </c>
      <c r="C9" s="469" t="s">
        <v>723</v>
      </c>
      <c r="D9" s="482" t="s">
        <v>728</v>
      </c>
      <c r="E9" s="483" t="s">
        <v>729</v>
      </c>
      <c r="F9" s="483" t="s">
        <v>730</v>
      </c>
      <c r="G9" s="483" t="s">
        <v>731</v>
      </c>
      <c r="H9" s="483"/>
      <c r="I9" s="483"/>
      <c r="J9" s="483"/>
      <c r="K9" s="483"/>
      <c r="L9" s="483"/>
      <c r="M9" s="483"/>
      <c r="N9" s="483"/>
      <c r="O9" s="483"/>
      <c r="P9" s="483"/>
      <c r="Q9" s="483"/>
      <c r="R9" s="483"/>
    </row>
    <row r="10" spans="1:18" ht="14.25" customHeight="1">
      <c r="A10" s="677"/>
      <c r="C10" s="469" t="s">
        <v>724</v>
      </c>
      <c r="D10" s="484" t="s">
        <v>732</v>
      </c>
      <c r="E10" s="485" t="s">
        <v>732</v>
      </c>
      <c r="F10" s="485" t="s">
        <v>733</v>
      </c>
      <c r="G10" s="485" t="s">
        <v>733</v>
      </c>
      <c r="H10" s="485"/>
      <c r="I10" s="485"/>
      <c r="J10" s="485"/>
      <c r="K10" s="485"/>
      <c r="L10" s="485"/>
      <c r="M10" s="485"/>
      <c r="N10" s="485"/>
      <c r="O10" s="485"/>
      <c r="P10" s="485"/>
      <c r="Q10" s="485"/>
      <c r="R10" s="485"/>
    </row>
    <row r="11" spans="1:18">
      <c r="A11" s="486"/>
      <c r="C11" s="469"/>
      <c r="D11" s="470"/>
      <c r="E11" s="470"/>
      <c r="F11" s="470"/>
      <c r="G11" s="470"/>
      <c r="H11" s="470"/>
      <c r="I11" s="470"/>
      <c r="J11" s="470"/>
      <c r="K11" s="470"/>
      <c r="L11" s="470"/>
      <c r="M11" s="470"/>
      <c r="N11" s="470"/>
      <c r="O11" s="470"/>
    </row>
    <row r="12" spans="1:18">
      <c r="A12" s="487" t="s">
        <v>725</v>
      </c>
      <c r="B12" s="471"/>
      <c r="C12" s="481" t="s">
        <v>726</v>
      </c>
      <c r="D12" s="488"/>
      <c r="E12" s="488"/>
      <c r="F12" s="488"/>
      <c r="G12" s="488"/>
      <c r="H12" s="488"/>
      <c r="I12" s="488"/>
      <c r="J12" s="488"/>
      <c r="K12" s="488"/>
      <c r="L12" s="488"/>
      <c r="M12" s="488"/>
      <c r="N12" s="488"/>
      <c r="O12" s="488"/>
      <c r="P12" s="488"/>
      <c r="Q12" s="488"/>
      <c r="R12" s="488"/>
    </row>
    <row r="13" spans="1:18">
      <c r="A13" s="487" t="s">
        <v>727</v>
      </c>
      <c r="C13" s="476" t="s">
        <v>734</v>
      </c>
      <c r="D13" s="492">
        <f>Tower!AN15</f>
        <v>4.8214252626832543E-2</v>
      </c>
      <c r="E13" s="492">
        <f>Tower!AO15</f>
        <v>3.0245149739468236E-2</v>
      </c>
      <c r="F13" s="492">
        <f>Tower!AP15</f>
        <v>5.6886556695851631E-2</v>
      </c>
      <c r="G13" s="492">
        <f>Tower!AU15</f>
        <v>2.0708982524391795E-2</v>
      </c>
    </row>
    <row r="14" spans="1:18">
      <c r="C14" s="476" t="s">
        <v>735</v>
      </c>
      <c r="D14" s="492">
        <f>Tower!AN26</f>
        <v>0.09</v>
      </c>
      <c r="E14" s="492">
        <f>Tower!AO26</f>
        <v>6.9999999999999993E-2</v>
      </c>
      <c r="F14" s="492">
        <f>Tower!AP26</f>
        <v>0.10124999999999999</v>
      </c>
      <c r="G14" s="492">
        <f>Tower!AU26</f>
        <v>3.7499999999999999E-2</v>
      </c>
    </row>
    <row r="15" spans="1:18">
      <c r="C15" s="476" t="s">
        <v>736</v>
      </c>
      <c r="D15" s="492">
        <f>Tower!AN51</f>
        <v>-5.1658000403879245E-2</v>
      </c>
      <c r="E15" s="492">
        <f>Tower!AO51</f>
        <v>-5.3665457524314952E-2</v>
      </c>
      <c r="F15" s="492">
        <f>Tower!AP51</f>
        <v>-4.5081990548767714E-2</v>
      </c>
      <c r="G15" s="492">
        <f>Tower!AU51</f>
        <v>-3.3740895625992251E-2</v>
      </c>
    </row>
    <row r="16" spans="1:18">
      <c r="C16" s="476" t="s">
        <v>275</v>
      </c>
      <c r="D16" s="490">
        <f>Tower!AN10</f>
        <v>3796.6320230143879</v>
      </c>
      <c r="E16" s="490">
        <f>Tower!AO10</f>
        <v>3918.022304459198</v>
      </c>
      <c r="F16" s="490">
        <f>Tower!AP10</f>
        <v>14856.654327473587</v>
      </c>
      <c r="G16" s="490">
        <f>Tower!AU10</f>
        <v>15164.320522312166</v>
      </c>
    </row>
    <row r="17" spans="3:7">
      <c r="C17" s="476" t="s">
        <v>737</v>
      </c>
      <c r="D17" s="492">
        <f>Tower!AN157</f>
        <v>0.55570416743452178</v>
      </c>
      <c r="E17" s="492">
        <f>Tower!AO157</f>
        <v>0.55923197841718453</v>
      </c>
      <c r="F17" s="492">
        <f>Tower!AP157</f>
        <v>0.54856816498306038</v>
      </c>
      <c r="G17" s="492">
        <f>Tower!AU157</f>
        <v>0.54495916049072046</v>
      </c>
    </row>
    <row r="18" spans="3:7">
      <c r="C18" s="476" t="s">
        <v>738</v>
      </c>
      <c r="D18" s="490">
        <f>Tower!AN339</f>
        <v>1021.7578431778018</v>
      </c>
      <c r="E18" s="490">
        <f>Tower!AO339</f>
        <v>1101.0839963810167</v>
      </c>
      <c r="F18" s="490">
        <f>Tower!AP339</f>
        <v>3694.8418395588187</v>
      </c>
      <c r="G18" s="490">
        <f>Tower!AU339</f>
        <v>3715.7718163945019</v>
      </c>
    </row>
    <row r="19" spans="3:7">
      <c r="C19" s="476" t="s">
        <v>325</v>
      </c>
      <c r="D19" s="491">
        <f ca="1">Tower!AN359</f>
        <v>0.51062969470074893</v>
      </c>
      <c r="E19" s="491">
        <f ca="1">Tower!AO359</f>
        <v>0.5549598519844875</v>
      </c>
      <c r="F19" s="491">
        <f ca="1">Tower!AP359</f>
        <v>1.8299351011552107</v>
      </c>
      <c r="G19" s="491">
        <f>Tower!AU359</f>
        <v>1.8346003531643584</v>
      </c>
    </row>
  </sheetData>
  <mergeCells count="4">
    <mergeCell ref="N1:O1"/>
    <mergeCell ref="A3:A4"/>
    <mergeCell ref="A7:A8"/>
    <mergeCell ref="A9:A10"/>
  </mergeCells>
  <dataValidations count="9">
    <dataValidation type="list" errorStyle="information" showInputMessage="1" showErrorMessage="1" sqref="D10:R10 IZ10:JN10 SV10:TJ10 ACR10:ADF10 AMN10:ANB10 AWJ10:AWX10 BGF10:BGT10 BQB10:BQP10 BZX10:CAL10 CJT10:CKH10 CTP10:CUD10 DDL10:DDZ10 DNH10:DNV10 DXD10:DXR10 EGZ10:EHN10 EQV10:ERJ10 FAR10:FBF10 FKN10:FLB10 FUJ10:FUX10 GEF10:GET10 GOB10:GOP10 GXX10:GYL10 HHT10:HIH10 HRP10:HSD10 IBL10:IBZ10 ILH10:ILV10 IVD10:IVR10 JEZ10:JFN10 JOV10:JPJ10 JYR10:JZF10 KIN10:KJB10 KSJ10:KSX10 LCF10:LCT10 LMB10:LMP10 LVX10:LWL10 MFT10:MGH10 MPP10:MQD10 MZL10:MZZ10 NJH10:NJV10 NTD10:NTR10 OCZ10:ODN10 OMV10:ONJ10 OWR10:OXF10 PGN10:PHB10 PQJ10:PQX10 QAF10:QAT10 QKB10:QKP10 QTX10:QUL10 RDT10:REH10 RNP10:ROD10 RXL10:RXZ10 SHH10:SHV10 SRD10:SRR10 TAZ10:TBN10 TKV10:TLJ10 TUR10:TVF10 UEN10:UFB10 UOJ10:UOX10 UYF10:UYT10 VIB10:VIP10 VRX10:VSL10 WBT10:WCH10 WLP10:WMD10 WVL10:WVZ10 D65546:R65546 IZ65546:JN65546 SV65546:TJ65546 ACR65546:ADF65546 AMN65546:ANB65546 AWJ65546:AWX65546 BGF65546:BGT65546 BQB65546:BQP65546 BZX65546:CAL65546 CJT65546:CKH65546 CTP65546:CUD65546 DDL65546:DDZ65546 DNH65546:DNV65546 DXD65546:DXR65546 EGZ65546:EHN65546 EQV65546:ERJ65546 FAR65546:FBF65546 FKN65546:FLB65546 FUJ65546:FUX65546 GEF65546:GET65546 GOB65546:GOP65546 GXX65546:GYL65546 HHT65546:HIH65546 HRP65546:HSD65546 IBL65546:IBZ65546 ILH65546:ILV65546 IVD65546:IVR65546 JEZ65546:JFN65546 JOV65546:JPJ65546 JYR65546:JZF65546 KIN65546:KJB65546 KSJ65546:KSX65546 LCF65546:LCT65546 LMB65546:LMP65546 LVX65546:LWL65546 MFT65546:MGH65546 MPP65546:MQD65546 MZL65546:MZZ65546 NJH65546:NJV65546 NTD65546:NTR65546 OCZ65546:ODN65546 OMV65546:ONJ65546 OWR65546:OXF65546 PGN65546:PHB65546 PQJ65546:PQX65546 QAF65546:QAT65546 QKB65546:QKP65546 QTX65546:QUL65546 RDT65546:REH65546 RNP65546:ROD65546 RXL65546:RXZ65546 SHH65546:SHV65546 SRD65546:SRR65546 TAZ65546:TBN65546 TKV65546:TLJ65546 TUR65546:TVF65546 UEN65546:UFB65546 UOJ65546:UOX65546 UYF65546:UYT65546 VIB65546:VIP65546 VRX65546:VSL65546 WBT65546:WCH65546 WLP65546:WMD65546 WVL65546:WVZ65546 D131082:R131082 IZ131082:JN131082 SV131082:TJ131082 ACR131082:ADF131082 AMN131082:ANB131082 AWJ131082:AWX131082 BGF131082:BGT131082 BQB131082:BQP131082 BZX131082:CAL131082 CJT131082:CKH131082 CTP131082:CUD131082 DDL131082:DDZ131082 DNH131082:DNV131082 DXD131082:DXR131082 EGZ131082:EHN131082 EQV131082:ERJ131082 FAR131082:FBF131082 FKN131082:FLB131082 FUJ131082:FUX131082 GEF131082:GET131082 GOB131082:GOP131082 GXX131082:GYL131082 HHT131082:HIH131082 HRP131082:HSD131082 IBL131082:IBZ131082 ILH131082:ILV131082 IVD131082:IVR131082 JEZ131082:JFN131082 JOV131082:JPJ131082 JYR131082:JZF131082 KIN131082:KJB131082 KSJ131082:KSX131082 LCF131082:LCT131082 LMB131082:LMP131082 LVX131082:LWL131082 MFT131082:MGH131082 MPP131082:MQD131082 MZL131082:MZZ131082 NJH131082:NJV131082 NTD131082:NTR131082 OCZ131082:ODN131082 OMV131082:ONJ131082 OWR131082:OXF131082 PGN131082:PHB131082 PQJ131082:PQX131082 QAF131082:QAT131082 QKB131082:QKP131082 QTX131082:QUL131082 RDT131082:REH131082 RNP131082:ROD131082 RXL131082:RXZ131082 SHH131082:SHV131082 SRD131082:SRR131082 TAZ131082:TBN131082 TKV131082:TLJ131082 TUR131082:TVF131082 UEN131082:UFB131082 UOJ131082:UOX131082 UYF131082:UYT131082 VIB131082:VIP131082 VRX131082:VSL131082 WBT131082:WCH131082 WLP131082:WMD131082 WVL131082:WVZ131082 D196618:R196618 IZ196618:JN196618 SV196618:TJ196618 ACR196618:ADF196618 AMN196618:ANB196618 AWJ196618:AWX196618 BGF196618:BGT196618 BQB196618:BQP196618 BZX196618:CAL196618 CJT196618:CKH196618 CTP196618:CUD196618 DDL196618:DDZ196618 DNH196618:DNV196618 DXD196618:DXR196618 EGZ196618:EHN196618 EQV196618:ERJ196618 FAR196618:FBF196618 FKN196618:FLB196618 FUJ196618:FUX196618 GEF196618:GET196618 GOB196618:GOP196618 GXX196618:GYL196618 HHT196618:HIH196618 HRP196618:HSD196618 IBL196618:IBZ196618 ILH196618:ILV196618 IVD196618:IVR196618 JEZ196618:JFN196618 JOV196618:JPJ196618 JYR196618:JZF196618 KIN196618:KJB196618 KSJ196618:KSX196618 LCF196618:LCT196618 LMB196618:LMP196618 LVX196618:LWL196618 MFT196618:MGH196618 MPP196618:MQD196618 MZL196618:MZZ196618 NJH196618:NJV196618 NTD196618:NTR196618 OCZ196618:ODN196618 OMV196618:ONJ196618 OWR196618:OXF196618 PGN196618:PHB196618 PQJ196618:PQX196618 QAF196618:QAT196618 QKB196618:QKP196618 QTX196618:QUL196618 RDT196618:REH196618 RNP196618:ROD196618 RXL196618:RXZ196618 SHH196618:SHV196618 SRD196618:SRR196618 TAZ196618:TBN196618 TKV196618:TLJ196618 TUR196618:TVF196618 UEN196618:UFB196618 UOJ196618:UOX196618 UYF196618:UYT196618 VIB196618:VIP196618 VRX196618:VSL196618 WBT196618:WCH196618 WLP196618:WMD196618 WVL196618:WVZ196618 D262154:R262154 IZ262154:JN262154 SV262154:TJ262154 ACR262154:ADF262154 AMN262154:ANB262154 AWJ262154:AWX262154 BGF262154:BGT262154 BQB262154:BQP262154 BZX262154:CAL262154 CJT262154:CKH262154 CTP262154:CUD262154 DDL262154:DDZ262154 DNH262154:DNV262154 DXD262154:DXR262154 EGZ262154:EHN262154 EQV262154:ERJ262154 FAR262154:FBF262154 FKN262154:FLB262154 FUJ262154:FUX262154 GEF262154:GET262154 GOB262154:GOP262154 GXX262154:GYL262154 HHT262154:HIH262154 HRP262154:HSD262154 IBL262154:IBZ262154 ILH262154:ILV262154 IVD262154:IVR262154 JEZ262154:JFN262154 JOV262154:JPJ262154 JYR262154:JZF262154 KIN262154:KJB262154 KSJ262154:KSX262154 LCF262154:LCT262154 LMB262154:LMP262154 LVX262154:LWL262154 MFT262154:MGH262154 MPP262154:MQD262154 MZL262154:MZZ262154 NJH262154:NJV262154 NTD262154:NTR262154 OCZ262154:ODN262154 OMV262154:ONJ262154 OWR262154:OXF262154 PGN262154:PHB262154 PQJ262154:PQX262154 QAF262154:QAT262154 QKB262154:QKP262154 QTX262154:QUL262154 RDT262154:REH262154 RNP262154:ROD262154 RXL262154:RXZ262154 SHH262154:SHV262154 SRD262154:SRR262154 TAZ262154:TBN262154 TKV262154:TLJ262154 TUR262154:TVF262154 UEN262154:UFB262154 UOJ262154:UOX262154 UYF262154:UYT262154 VIB262154:VIP262154 VRX262154:VSL262154 WBT262154:WCH262154 WLP262154:WMD262154 WVL262154:WVZ262154 D327690:R327690 IZ327690:JN327690 SV327690:TJ327690 ACR327690:ADF327690 AMN327690:ANB327690 AWJ327690:AWX327690 BGF327690:BGT327690 BQB327690:BQP327690 BZX327690:CAL327690 CJT327690:CKH327690 CTP327690:CUD327690 DDL327690:DDZ327690 DNH327690:DNV327690 DXD327690:DXR327690 EGZ327690:EHN327690 EQV327690:ERJ327690 FAR327690:FBF327690 FKN327690:FLB327690 FUJ327690:FUX327690 GEF327690:GET327690 GOB327690:GOP327690 GXX327690:GYL327690 HHT327690:HIH327690 HRP327690:HSD327690 IBL327690:IBZ327690 ILH327690:ILV327690 IVD327690:IVR327690 JEZ327690:JFN327690 JOV327690:JPJ327690 JYR327690:JZF327690 KIN327690:KJB327690 KSJ327690:KSX327690 LCF327690:LCT327690 LMB327690:LMP327690 LVX327690:LWL327690 MFT327690:MGH327690 MPP327690:MQD327690 MZL327690:MZZ327690 NJH327690:NJV327690 NTD327690:NTR327690 OCZ327690:ODN327690 OMV327690:ONJ327690 OWR327690:OXF327690 PGN327690:PHB327690 PQJ327690:PQX327690 QAF327690:QAT327690 QKB327690:QKP327690 QTX327690:QUL327690 RDT327690:REH327690 RNP327690:ROD327690 RXL327690:RXZ327690 SHH327690:SHV327690 SRD327690:SRR327690 TAZ327690:TBN327690 TKV327690:TLJ327690 TUR327690:TVF327690 UEN327690:UFB327690 UOJ327690:UOX327690 UYF327690:UYT327690 VIB327690:VIP327690 VRX327690:VSL327690 WBT327690:WCH327690 WLP327690:WMD327690 WVL327690:WVZ327690 D393226:R393226 IZ393226:JN393226 SV393226:TJ393226 ACR393226:ADF393226 AMN393226:ANB393226 AWJ393226:AWX393226 BGF393226:BGT393226 BQB393226:BQP393226 BZX393226:CAL393226 CJT393226:CKH393226 CTP393226:CUD393226 DDL393226:DDZ393226 DNH393226:DNV393226 DXD393226:DXR393226 EGZ393226:EHN393226 EQV393226:ERJ393226 FAR393226:FBF393226 FKN393226:FLB393226 FUJ393226:FUX393226 GEF393226:GET393226 GOB393226:GOP393226 GXX393226:GYL393226 HHT393226:HIH393226 HRP393226:HSD393226 IBL393226:IBZ393226 ILH393226:ILV393226 IVD393226:IVR393226 JEZ393226:JFN393226 JOV393226:JPJ393226 JYR393226:JZF393226 KIN393226:KJB393226 KSJ393226:KSX393226 LCF393226:LCT393226 LMB393226:LMP393226 LVX393226:LWL393226 MFT393226:MGH393226 MPP393226:MQD393226 MZL393226:MZZ393226 NJH393226:NJV393226 NTD393226:NTR393226 OCZ393226:ODN393226 OMV393226:ONJ393226 OWR393226:OXF393226 PGN393226:PHB393226 PQJ393226:PQX393226 QAF393226:QAT393226 QKB393226:QKP393226 QTX393226:QUL393226 RDT393226:REH393226 RNP393226:ROD393226 RXL393226:RXZ393226 SHH393226:SHV393226 SRD393226:SRR393226 TAZ393226:TBN393226 TKV393226:TLJ393226 TUR393226:TVF393226 UEN393226:UFB393226 UOJ393226:UOX393226 UYF393226:UYT393226 VIB393226:VIP393226 VRX393226:VSL393226 WBT393226:WCH393226 WLP393226:WMD393226 WVL393226:WVZ393226 D458762:R458762 IZ458762:JN458762 SV458762:TJ458762 ACR458762:ADF458762 AMN458762:ANB458762 AWJ458762:AWX458762 BGF458762:BGT458762 BQB458762:BQP458762 BZX458762:CAL458762 CJT458762:CKH458762 CTP458762:CUD458762 DDL458762:DDZ458762 DNH458762:DNV458762 DXD458762:DXR458762 EGZ458762:EHN458762 EQV458762:ERJ458762 FAR458762:FBF458762 FKN458762:FLB458762 FUJ458762:FUX458762 GEF458762:GET458762 GOB458762:GOP458762 GXX458762:GYL458762 HHT458762:HIH458762 HRP458762:HSD458762 IBL458762:IBZ458762 ILH458762:ILV458762 IVD458762:IVR458762 JEZ458762:JFN458762 JOV458762:JPJ458762 JYR458762:JZF458762 KIN458762:KJB458762 KSJ458762:KSX458762 LCF458762:LCT458762 LMB458762:LMP458762 LVX458762:LWL458762 MFT458762:MGH458762 MPP458762:MQD458762 MZL458762:MZZ458762 NJH458762:NJV458762 NTD458762:NTR458762 OCZ458762:ODN458762 OMV458762:ONJ458762 OWR458762:OXF458762 PGN458762:PHB458762 PQJ458762:PQX458762 QAF458762:QAT458762 QKB458762:QKP458762 QTX458762:QUL458762 RDT458762:REH458762 RNP458762:ROD458762 RXL458762:RXZ458762 SHH458762:SHV458762 SRD458762:SRR458762 TAZ458762:TBN458762 TKV458762:TLJ458762 TUR458762:TVF458762 UEN458762:UFB458762 UOJ458762:UOX458762 UYF458762:UYT458762 VIB458762:VIP458762 VRX458762:VSL458762 WBT458762:WCH458762 WLP458762:WMD458762 WVL458762:WVZ458762 D524298:R524298 IZ524298:JN524298 SV524298:TJ524298 ACR524298:ADF524298 AMN524298:ANB524298 AWJ524298:AWX524298 BGF524298:BGT524298 BQB524298:BQP524298 BZX524298:CAL524298 CJT524298:CKH524298 CTP524298:CUD524298 DDL524298:DDZ524298 DNH524298:DNV524298 DXD524298:DXR524298 EGZ524298:EHN524298 EQV524298:ERJ524298 FAR524298:FBF524298 FKN524298:FLB524298 FUJ524298:FUX524298 GEF524298:GET524298 GOB524298:GOP524298 GXX524298:GYL524298 HHT524298:HIH524298 HRP524298:HSD524298 IBL524298:IBZ524298 ILH524298:ILV524298 IVD524298:IVR524298 JEZ524298:JFN524298 JOV524298:JPJ524298 JYR524298:JZF524298 KIN524298:KJB524298 KSJ524298:KSX524298 LCF524298:LCT524298 LMB524298:LMP524298 LVX524298:LWL524298 MFT524298:MGH524298 MPP524298:MQD524298 MZL524298:MZZ524298 NJH524298:NJV524298 NTD524298:NTR524298 OCZ524298:ODN524298 OMV524298:ONJ524298 OWR524298:OXF524298 PGN524298:PHB524298 PQJ524298:PQX524298 QAF524298:QAT524298 QKB524298:QKP524298 QTX524298:QUL524298 RDT524298:REH524298 RNP524298:ROD524298 RXL524298:RXZ524298 SHH524298:SHV524298 SRD524298:SRR524298 TAZ524298:TBN524298 TKV524298:TLJ524298 TUR524298:TVF524298 UEN524298:UFB524298 UOJ524298:UOX524298 UYF524298:UYT524298 VIB524298:VIP524298 VRX524298:VSL524298 WBT524298:WCH524298 WLP524298:WMD524298 WVL524298:WVZ524298 D589834:R589834 IZ589834:JN589834 SV589834:TJ589834 ACR589834:ADF589834 AMN589834:ANB589834 AWJ589834:AWX589834 BGF589834:BGT589834 BQB589834:BQP589834 BZX589834:CAL589834 CJT589834:CKH589834 CTP589834:CUD589834 DDL589834:DDZ589834 DNH589834:DNV589834 DXD589834:DXR589834 EGZ589834:EHN589834 EQV589834:ERJ589834 FAR589834:FBF589834 FKN589834:FLB589834 FUJ589834:FUX589834 GEF589834:GET589834 GOB589834:GOP589834 GXX589834:GYL589834 HHT589834:HIH589834 HRP589834:HSD589834 IBL589834:IBZ589834 ILH589834:ILV589834 IVD589834:IVR589834 JEZ589834:JFN589834 JOV589834:JPJ589834 JYR589834:JZF589834 KIN589834:KJB589834 KSJ589834:KSX589834 LCF589834:LCT589834 LMB589834:LMP589834 LVX589834:LWL589834 MFT589834:MGH589834 MPP589834:MQD589834 MZL589834:MZZ589834 NJH589834:NJV589834 NTD589834:NTR589834 OCZ589834:ODN589834 OMV589834:ONJ589834 OWR589834:OXF589834 PGN589834:PHB589834 PQJ589834:PQX589834 QAF589834:QAT589834 QKB589834:QKP589834 QTX589834:QUL589834 RDT589834:REH589834 RNP589834:ROD589834 RXL589834:RXZ589834 SHH589834:SHV589834 SRD589834:SRR589834 TAZ589834:TBN589834 TKV589834:TLJ589834 TUR589834:TVF589834 UEN589834:UFB589834 UOJ589834:UOX589834 UYF589834:UYT589834 VIB589834:VIP589834 VRX589834:VSL589834 WBT589834:WCH589834 WLP589834:WMD589834 WVL589834:WVZ589834 D655370:R655370 IZ655370:JN655370 SV655370:TJ655370 ACR655370:ADF655370 AMN655370:ANB655370 AWJ655370:AWX655370 BGF655370:BGT655370 BQB655370:BQP655370 BZX655370:CAL655370 CJT655370:CKH655370 CTP655370:CUD655370 DDL655370:DDZ655370 DNH655370:DNV655370 DXD655370:DXR655370 EGZ655370:EHN655370 EQV655370:ERJ655370 FAR655370:FBF655370 FKN655370:FLB655370 FUJ655370:FUX655370 GEF655370:GET655370 GOB655370:GOP655370 GXX655370:GYL655370 HHT655370:HIH655370 HRP655370:HSD655370 IBL655370:IBZ655370 ILH655370:ILV655370 IVD655370:IVR655370 JEZ655370:JFN655370 JOV655370:JPJ655370 JYR655370:JZF655370 KIN655370:KJB655370 KSJ655370:KSX655370 LCF655370:LCT655370 LMB655370:LMP655370 LVX655370:LWL655370 MFT655370:MGH655370 MPP655370:MQD655370 MZL655370:MZZ655370 NJH655370:NJV655370 NTD655370:NTR655370 OCZ655370:ODN655370 OMV655370:ONJ655370 OWR655370:OXF655370 PGN655370:PHB655370 PQJ655370:PQX655370 QAF655370:QAT655370 QKB655370:QKP655370 QTX655370:QUL655370 RDT655370:REH655370 RNP655370:ROD655370 RXL655370:RXZ655370 SHH655370:SHV655370 SRD655370:SRR655370 TAZ655370:TBN655370 TKV655370:TLJ655370 TUR655370:TVF655370 UEN655370:UFB655370 UOJ655370:UOX655370 UYF655370:UYT655370 VIB655370:VIP655370 VRX655370:VSL655370 WBT655370:WCH655370 WLP655370:WMD655370 WVL655370:WVZ655370 D720906:R720906 IZ720906:JN720906 SV720906:TJ720906 ACR720906:ADF720906 AMN720906:ANB720906 AWJ720906:AWX720906 BGF720906:BGT720906 BQB720906:BQP720906 BZX720906:CAL720906 CJT720906:CKH720906 CTP720906:CUD720906 DDL720906:DDZ720906 DNH720906:DNV720906 DXD720906:DXR720906 EGZ720906:EHN720906 EQV720906:ERJ720906 FAR720906:FBF720906 FKN720906:FLB720906 FUJ720906:FUX720906 GEF720906:GET720906 GOB720906:GOP720906 GXX720906:GYL720906 HHT720906:HIH720906 HRP720906:HSD720906 IBL720906:IBZ720906 ILH720906:ILV720906 IVD720906:IVR720906 JEZ720906:JFN720906 JOV720906:JPJ720906 JYR720906:JZF720906 KIN720906:KJB720906 KSJ720906:KSX720906 LCF720906:LCT720906 LMB720906:LMP720906 LVX720906:LWL720906 MFT720906:MGH720906 MPP720906:MQD720906 MZL720906:MZZ720906 NJH720906:NJV720906 NTD720906:NTR720906 OCZ720906:ODN720906 OMV720906:ONJ720906 OWR720906:OXF720906 PGN720906:PHB720906 PQJ720906:PQX720906 QAF720906:QAT720906 QKB720906:QKP720906 QTX720906:QUL720906 RDT720906:REH720906 RNP720906:ROD720906 RXL720906:RXZ720906 SHH720906:SHV720906 SRD720906:SRR720906 TAZ720906:TBN720906 TKV720906:TLJ720906 TUR720906:TVF720906 UEN720906:UFB720906 UOJ720906:UOX720906 UYF720906:UYT720906 VIB720906:VIP720906 VRX720906:VSL720906 WBT720906:WCH720906 WLP720906:WMD720906 WVL720906:WVZ720906 D786442:R786442 IZ786442:JN786442 SV786442:TJ786442 ACR786442:ADF786442 AMN786442:ANB786442 AWJ786442:AWX786442 BGF786442:BGT786442 BQB786442:BQP786442 BZX786442:CAL786442 CJT786442:CKH786442 CTP786442:CUD786442 DDL786442:DDZ786442 DNH786442:DNV786442 DXD786442:DXR786442 EGZ786442:EHN786442 EQV786442:ERJ786442 FAR786442:FBF786442 FKN786442:FLB786442 FUJ786442:FUX786442 GEF786442:GET786442 GOB786442:GOP786442 GXX786442:GYL786442 HHT786442:HIH786442 HRP786442:HSD786442 IBL786442:IBZ786442 ILH786442:ILV786442 IVD786442:IVR786442 JEZ786442:JFN786442 JOV786442:JPJ786442 JYR786442:JZF786442 KIN786442:KJB786442 KSJ786442:KSX786442 LCF786442:LCT786442 LMB786442:LMP786442 LVX786442:LWL786442 MFT786442:MGH786442 MPP786442:MQD786442 MZL786442:MZZ786442 NJH786442:NJV786442 NTD786442:NTR786442 OCZ786442:ODN786442 OMV786442:ONJ786442 OWR786442:OXF786442 PGN786442:PHB786442 PQJ786442:PQX786442 QAF786442:QAT786442 QKB786442:QKP786442 QTX786442:QUL786442 RDT786442:REH786442 RNP786442:ROD786442 RXL786442:RXZ786442 SHH786442:SHV786442 SRD786442:SRR786442 TAZ786442:TBN786442 TKV786442:TLJ786442 TUR786442:TVF786442 UEN786442:UFB786442 UOJ786442:UOX786442 UYF786442:UYT786442 VIB786442:VIP786442 VRX786442:VSL786442 WBT786442:WCH786442 WLP786442:WMD786442 WVL786442:WVZ786442 D851978:R851978 IZ851978:JN851978 SV851978:TJ851978 ACR851978:ADF851978 AMN851978:ANB851978 AWJ851978:AWX851978 BGF851978:BGT851978 BQB851978:BQP851978 BZX851978:CAL851978 CJT851978:CKH851978 CTP851978:CUD851978 DDL851978:DDZ851978 DNH851978:DNV851978 DXD851978:DXR851978 EGZ851978:EHN851978 EQV851978:ERJ851978 FAR851978:FBF851978 FKN851978:FLB851978 FUJ851978:FUX851978 GEF851978:GET851978 GOB851978:GOP851978 GXX851978:GYL851978 HHT851978:HIH851978 HRP851978:HSD851978 IBL851978:IBZ851978 ILH851978:ILV851978 IVD851978:IVR851978 JEZ851978:JFN851978 JOV851978:JPJ851978 JYR851978:JZF851978 KIN851978:KJB851978 KSJ851978:KSX851978 LCF851978:LCT851978 LMB851978:LMP851978 LVX851978:LWL851978 MFT851978:MGH851978 MPP851978:MQD851978 MZL851978:MZZ851978 NJH851978:NJV851978 NTD851978:NTR851978 OCZ851978:ODN851978 OMV851978:ONJ851978 OWR851978:OXF851978 PGN851978:PHB851978 PQJ851978:PQX851978 QAF851978:QAT851978 QKB851978:QKP851978 QTX851978:QUL851978 RDT851978:REH851978 RNP851978:ROD851978 RXL851978:RXZ851978 SHH851978:SHV851978 SRD851978:SRR851978 TAZ851978:TBN851978 TKV851978:TLJ851978 TUR851978:TVF851978 UEN851978:UFB851978 UOJ851978:UOX851978 UYF851978:UYT851978 VIB851978:VIP851978 VRX851978:VSL851978 WBT851978:WCH851978 WLP851978:WMD851978 WVL851978:WVZ851978 D917514:R917514 IZ917514:JN917514 SV917514:TJ917514 ACR917514:ADF917514 AMN917514:ANB917514 AWJ917514:AWX917514 BGF917514:BGT917514 BQB917514:BQP917514 BZX917514:CAL917514 CJT917514:CKH917514 CTP917514:CUD917514 DDL917514:DDZ917514 DNH917514:DNV917514 DXD917514:DXR917514 EGZ917514:EHN917514 EQV917514:ERJ917514 FAR917514:FBF917514 FKN917514:FLB917514 FUJ917514:FUX917514 GEF917514:GET917514 GOB917514:GOP917514 GXX917514:GYL917514 HHT917514:HIH917514 HRP917514:HSD917514 IBL917514:IBZ917514 ILH917514:ILV917514 IVD917514:IVR917514 JEZ917514:JFN917514 JOV917514:JPJ917514 JYR917514:JZF917514 KIN917514:KJB917514 KSJ917514:KSX917514 LCF917514:LCT917514 LMB917514:LMP917514 LVX917514:LWL917514 MFT917514:MGH917514 MPP917514:MQD917514 MZL917514:MZZ917514 NJH917514:NJV917514 NTD917514:NTR917514 OCZ917514:ODN917514 OMV917514:ONJ917514 OWR917514:OXF917514 PGN917514:PHB917514 PQJ917514:PQX917514 QAF917514:QAT917514 QKB917514:QKP917514 QTX917514:QUL917514 RDT917514:REH917514 RNP917514:ROD917514 RXL917514:RXZ917514 SHH917514:SHV917514 SRD917514:SRR917514 TAZ917514:TBN917514 TKV917514:TLJ917514 TUR917514:TVF917514 UEN917514:UFB917514 UOJ917514:UOX917514 UYF917514:UYT917514 VIB917514:VIP917514 VRX917514:VSL917514 WBT917514:WCH917514 WLP917514:WMD917514 WVL917514:WVZ917514 D983050:R983050 IZ983050:JN983050 SV983050:TJ983050 ACR983050:ADF983050 AMN983050:ANB983050 AWJ983050:AWX983050 BGF983050:BGT983050 BQB983050:BQP983050 BZX983050:CAL983050 CJT983050:CKH983050 CTP983050:CUD983050 DDL983050:DDZ983050 DNH983050:DNV983050 DXD983050:DXR983050 EGZ983050:EHN983050 EQV983050:ERJ983050 FAR983050:FBF983050 FKN983050:FLB983050 FUJ983050:FUX983050 GEF983050:GET983050 GOB983050:GOP983050 GXX983050:GYL983050 HHT983050:HIH983050 HRP983050:HSD983050 IBL983050:IBZ983050 ILH983050:ILV983050 IVD983050:IVR983050 JEZ983050:JFN983050 JOV983050:JPJ983050 JYR983050:JZF983050 KIN983050:KJB983050 KSJ983050:KSX983050 LCF983050:LCT983050 LMB983050:LMP983050 LVX983050:LWL983050 MFT983050:MGH983050 MPP983050:MQD983050 MZL983050:MZZ983050 NJH983050:NJV983050 NTD983050:NTR983050 OCZ983050:ODN983050 OMV983050:ONJ983050 OWR983050:OXF983050 PGN983050:PHB983050 PQJ983050:PQX983050 QAF983050:QAT983050 QKB983050:QKP983050 QTX983050:QUL983050 RDT983050:REH983050 RNP983050:ROD983050 RXL983050:RXZ983050 SHH983050:SHV983050 SRD983050:SRR983050 TAZ983050:TBN983050 TKV983050:TLJ983050 TUR983050:TVF983050 UEN983050:UFB983050 UOJ983050:UOX983050 UYF983050:UYT983050 VIB983050:VIP983050 VRX983050:VSL983050 WBT983050:WCH983050 WLP983050:WMD983050 WVL983050:WVZ983050 GV10:HJ10 QR10:RF10 AAN10:ABB10 AKJ10:AKX10 AUF10:AUT10 BEB10:BEP10 BNX10:BOL10 BXT10:BYH10 CHP10:CID10 CRL10:CRZ10 DBH10:DBV10 DLD10:DLR10 DUZ10:DVN10 EEV10:EFJ10 EOR10:EPF10 EYN10:EZB10 FIJ10:FIX10 FSF10:FST10 GCB10:GCP10 GLX10:GML10 GVT10:GWH10 HFP10:HGD10 HPL10:HPZ10 HZH10:HZV10 IJD10:IJR10 ISZ10:ITN10 JCV10:JDJ10 JMR10:JNF10 JWN10:JXB10 KGJ10:KGX10 KQF10:KQT10 LAB10:LAP10 LJX10:LKL10 LTT10:LUH10 MDP10:MED10 MNL10:MNZ10 MXH10:MXV10 NHD10:NHR10 NQZ10:NRN10 OAV10:OBJ10 OKR10:OLF10 OUN10:OVB10 PEJ10:PEX10 POF10:POT10 PYB10:PYP10 QHX10:QIL10 QRT10:QSH10 RBP10:RCD10 RLL10:RLZ10 RVH10:RVV10 SFD10:SFR10 SOZ10:SPN10 SYV10:SZJ10 TIR10:TJF10 TSN10:TTB10 UCJ10:UCX10 UMF10:UMT10 UWB10:UWP10 VFX10:VGL10 VPT10:VQH10 VZP10:WAD10 WJL10:WJZ10 WTH10:WTV10 XDD10:XDR10 GV65546:HJ65546 QR65546:RF65546 AAN65546:ABB65546 AKJ65546:AKX65546 AUF65546:AUT65546 BEB65546:BEP65546 BNX65546:BOL65546 BXT65546:BYH65546 CHP65546:CID65546 CRL65546:CRZ65546 DBH65546:DBV65546 DLD65546:DLR65546 DUZ65546:DVN65546 EEV65546:EFJ65546 EOR65546:EPF65546 EYN65546:EZB65546 FIJ65546:FIX65546 FSF65546:FST65546 GCB65546:GCP65546 GLX65546:GML65546 GVT65546:GWH65546 HFP65546:HGD65546 HPL65546:HPZ65546 HZH65546:HZV65546 IJD65546:IJR65546 ISZ65546:ITN65546 JCV65546:JDJ65546 JMR65546:JNF65546 JWN65546:JXB65546 KGJ65546:KGX65546 KQF65546:KQT65546 LAB65546:LAP65546 LJX65546:LKL65546 LTT65546:LUH65546 MDP65546:MED65546 MNL65546:MNZ65546 MXH65546:MXV65546 NHD65546:NHR65546 NQZ65546:NRN65546 OAV65546:OBJ65546 OKR65546:OLF65546 OUN65546:OVB65546 PEJ65546:PEX65546 POF65546:POT65546 PYB65546:PYP65546 QHX65546:QIL65546 QRT65546:QSH65546 RBP65546:RCD65546 RLL65546:RLZ65546 RVH65546:RVV65546 SFD65546:SFR65546 SOZ65546:SPN65546 SYV65546:SZJ65546 TIR65546:TJF65546 TSN65546:TTB65546 UCJ65546:UCX65546 UMF65546:UMT65546 UWB65546:UWP65546 VFX65546:VGL65546 VPT65546:VQH65546 VZP65546:WAD65546 WJL65546:WJZ65546 WTH65546:WTV65546 XDD65546:XDR65546 GV131082:HJ131082 QR131082:RF131082 AAN131082:ABB131082 AKJ131082:AKX131082 AUF131082:AUT131082 BEB131082:BEP131082 BNX131082:BOL131082 BXT131082:BYH131082 CHP131082:CID131082 CRL131082:CRZ131082 DBH131082:DBV131082 DLD131082:DLR131082 DUZ131082:DVN131082 EEV131082:EFJ131082 EOR131082:EPF131082 EYN131082:EZB131082 FIJ131082:FIX131082 FSF131082:FST131082 GCB131082:GCP131082 GLX131082:GML131082 GVT131082:GWH131082 HFP131082:HGD131082 HPL131082:HPZ131082 HZH131082:HZV131082 IJD131082:IJR131082 ISZ131082:ITN131082 JCV131082:JDJ131082 JMR131082:JNF131082 JWN131082:JXB131082 KGJ131082:KGX131082 KQF131082:KQT131082 LAB131082:LAP131082 LJX131082:LKL131082 LTT131082:LUH131082 MDP131082:MED131082 MNL131082:MNZ131082 MXH131082:MXV131082 NHD131082:NHR131082 NQZ131082:NRN131082 OAV131082:OBJ131082 OKR131082:OLF131082 OUN131082:OVB131082 PEJ131082:PEX131082 POF131082:POT131082 PYB131082:PYP131082 QHX131082:QIL131082 QRT131082:QSH131082 RBP131082:RCD131082 RLL131082:RLZ131082 RVH131082:RVV131082 SFD131082:SFR131082 SOZ131082:SPN131082 SYV131082:SZJ131082 TIR131082:TJF131082 TSN131082:TTB131082 UCJ131082:UCX131082 UMF131082:UMT131082 UWB131082:UWP131082 VFX131082:VGL131082 VPT131082:VQH131082 VZP131082:WAD131082 WJL131082:WJZ131082 WTH131082:WTV131082 XDD131082:XDR131082 GV196618:HJ196618 QR196618:RF196618 AAN196618:ABB196618 AKJ196618:AKX196618 AUF196618:AUT196618 BEB196618:BEP196618 BNX196618:BOL196618 BXT196618:BYH196618 CHP196618:CID196618 CRL196618:CRZ196618 DBH196618:DBV196618 DLD196618:DLR196618 DUZ196618:DVN196618 EEV196618:EFJ196618 EOR196618:EPF196618 EYN196618:EZB196618 FIJ196618:FIX196618 FSF196618:FST196618 GCB196618:GCP196618 GLX196618:GML196618 GVT196618:GWH196618 HFP196618:HGD196618 HPL196618:HPZ196618 HZH196618:HZV196618 IJD196618:IJR196618 ISZ196618:ITN196618 JCV196618:JDJ196618 JMR196618:JNF196618 JWN196618:JXB196618 KGJ196618:KGX196618 KQF196618:KQT196618 LAB196618:LAP196618 LJX196618:LKL196618 LTT196618:LUH196618 MDP196618:MED196618 MNL196618:MNZ196618 MXH196618:MXV196618 NHD196618:NHR196618 NQZ196618:NRN196618 OAV196618:OBJ196618 OKR196618:OLF196618 OUN196618:OVB196618 PEJ196618:PEX196618 POF196618:POT196618 PYB196618:PYP196618 QHX196618:QIL196618 QRT196618:QSH196618 RBP196618:RCD196618 RLL196618:RLZ196618 RVH196618:RVV196618 SFD196618:SFR196618 SOZ196618:SPN196618 SYV196618:SZJ196618 TIR196618:TJF196618 TSN196618:TTB196618 UCJ196618:UCX196618 UMF196618:UMT196618 UWB196618:UWP196618 VFX196618:VGL196618 VPT196618:VQH196618 VZP196618:WAD196618 WJL196618:WJZ196618 WTH196618:WTV196618 XDD196618:XDR196618 GV262154:HJ262154 QR262154:RF262154 AAN262154:ABB262154 AKJ262154:AKX262154 AUF262154:AUT262154 BEB262154:BEP262154 BNX262154:BOL262154 BXT262154:BYH262154 CHP262154:CID262154 CRL262154:CRZ262154 DBH262154:DBV262154 DLD262154:DLR262154 DUZ262154:DVN262154 EEV262154:EFJ262154 EOR262154:EPF262154 EYN262154:EZB262154 FIJ262154:FIX262154 FSF262154:FST262154 GCB262154:GCP262154 GLX262154:GML262154 GVT262154:GWH262154 HFP262154:HGD262154 HPL262154:HPZ262154 HZH262154:HZV262154 IJD262154:IJR262154 ISZ262154:ITN262154 JCV262154:JDJ262154 JMR262154:JNF262154 JWN262154:JXB262154 KGJ262154:KGX262154 KQF262154:KQT262154 LAB262154:LAP262154 LJX262154:LKL262154 LTT262154:LUH262154 MDP262154:MED262154 MNL262154:MNZ262154 MXH262154:MXV262154 NHD262154:NHR262154 NQZ262154:NRN262154 OAV262154:OBJ262154 OKR262154:OLF262154 OUN262154:OVB262154 PEJ262154:PEX262154 POF262154:POT262154 PYB262154:PYP262154 QHX262154:QIL262154 QRT262154:QSH262154 RBP262154:RCD262154 RLL262154:RLZ262154 RVH262154:RVV262154 SFD262154:SFR262154 SOZ262154:SPN262154 SYV262154:SZJ262154 TIR262154:TJF262154 TSN262154:TTB262154 UCJ262154:UCX262154 UMF262154:UMT262154 UWB262154:UWP262154 VFX262154:VGL262154 VPT262154:VQH262154 VZP262154:WAD262154 WJL262154:WJZ262154 WTH262154:WTV262154 XDD262154:XDR262154 GV327690:HJ327690 QR327690:RF327690 AAN327690:ABB327690 AKJ327690:AKX327690 AUF327690:AUT327690 BEB327690:BEP327690 BNX327690:BOL327690 BXT327690:BYH327690 CHP327690:CID327690 CRL327690:CRZ327690 DBH327690:DBV327690 DLD327690:DLR327690 DUZ327690:DVN327690 EEV327690:EFJ327690 EOR327690:EPF327690 EYN327690:EZB327690 FIJ327690:FIX327690 FSF327690:FST327690 GCB327690:GCP327690 GLX327690:GML327690 GVT327690:GWH327690 HFP327690:HGD327690 HPL327690:HPZ327690 HZH327690:HZV327690 IJD327690:IJR327690 ISZ327690:ITN327690 JCV327690:JDJ327690 JMR327690:JNF327690 JWN327690:JXB327690 KGJ327690:KGX327690 KQF327690:KQT327690 LAB327690:LAP327690 LJX327690:LKL327690 LTT327690:LUH327690 MDP327690:MED327690 MNL327690:MNZ327690 MXH327690:MXV327690 NHD327690:NHR327690 NQZ327690:NRN327690 OAV327690:OBJ327690 OKR327690:OLF327690 OUN327690:OVB327690 PEJ327690:PEX327690 POF327690:POT327690 PYB327690:PYP327690 QHX327690:QIL327690 QRT327690:QSH327690 RBP327690:RCD327690 RLL327690:RLZ327690 RVH327690:RVV327690 SFD327690:SFR327690 SOZ327690:SPN327690 SYV327690:SZJ327690 TIR327690:TJF327690 TSN327690:TTB327690 UCJ327690:UCX327690 UMF327690:UMT327690 UWB327690:UWP327690 VFX327690:VGL327690 VPT327690:VQH327690 VZP327690:WAD327690 WJL327690:WJZ327690 WTH327690:WTV327690 XDD327690:XDR327690 GV393226:HJ393226 QR393226:RF393226 AAN393226:ABB393226 AKJ393226:AKX393226 AUF393226:AUT393226 BEB393226:BEP393226 BNX393226:BOL393226 BXT393226:BYH393226 CHP393226:CID393226 CRL393226:CRZ393226 DBH393226:DBV393226 DLD393226:DLR393226 DUZ393226:DVN393226 EEV393226:EFJ393226 EOR393226:EPF393226 EYN393226:EZB393226 FIJ393226:FIX393226 FSF393226:FST393226 GCB393226:GCP393226 GLX393226:GML393226 GVT393226:GWH393226 HFP393226:HGD393226 HPL393226:HPZ393226 HZH393226:HZV393226 IJD393226:IJR393226 ISZ393226:ITN393226 JCV393226:JDJ393226 JMR393226:JNF393226 JWN393226:JXB393226 KGJ393226:KGX393226 KQF393226:KQT393226 LAB393226:LAP393226 LJX393226:LKL393226 LTT393226:LUH393226 MDP393226:MED393226 MNL393226:MNZ393226 MXH393226:MXV393226 NHD393226:NHR393226 NQZ393226:NRN393226 OAV393226:OBJ393226 OKR393226:OLF393226 OUN393226:OVB393226 PEJ393226:PEX393226 POF393226:POT393226 PYB393226:PYP393226 QHX393226:QIL393226 QRT393226:QSH393226 RBP393226:RCD393226 RLL393226:RLZ393226 RVH393226:RVV393226 SFD393226:SFR393226 SOZ393226:SPN393226 SYV393226:SZJ393226 TIR393226:TJF393226 TSN393226:TTB393226 UCJ393226:UCX393226 UMF393226:UMT393226 UWB393226:UWP393226 VFX393226:VGL393226 VPT393226:VQH393226 VZP393226:WAD393226 WJL393226:WJZ393226 WTH393226:WTV393226 XDD393226:XDR393226 GV458762:HJ458762 QR458762:RF458762 AAN458762:ABB458762 AKJ458762:AKX458762 AUF458762:AUT458762 BEB458762:BEP458762 BNX458762:BOL458762 BXT458762:BYH458762 CHP458762:CID458762 CRL458762:CRZ458762 DBH458762:DBV458762 DLD458762:DLR458762 DUZ458762:DVN458762 EEV458762:EFJ458762 EOR458762:EPF458762 EYN458762:EZB458762 FIJ458762:FIX458762 FSF458762:FST458762 GCB458762:GCP458762 GLX458762:GML458762 GVT458762:GWH458762 HFP458762:HGD458762 HPL458762:HPZ458762 HZH458762:HZV458762 IJD458762:IJR458762 ISZ458762:ITN458762 JCV458762:JDJ458762 JMR458762:JNF458762 JWN458762:JXB458762 KGJ458762:KGX458762 KQF458762:KQT458762 LAB458762:LAP458762 LJX458762:LKL458762 LTT458762:LUH458762 MDP458762:MED458762 MNL458762:MNZ458762 MXH458762:MXV458762 NHD458762:NHR458762 NQZ458762:NRN458762 OAV458762:OBJ458762 OKR458762:OLF458762 OUN458762:OVB458762 PEJ458762:PEX458762 POF458762:POT458762 PYB458762:PYP458762 QHX458762:QIL458762 QRT458762:QSH458762 RBP458762:RCD458762 RLL458762:RLZ458762 RVH458762:RVV458762 SFD458762:SFR458762 SOZ458762:SPN458762 SYV458762:SZJ458762 TIR458762:TJF458762 TSN458762:TTB458762 UCJ458762:UCX458762 UMF458762:UMT458762 UWB458762:UWP458762 VFX458762:VGL458762 VPT458762:VQH458762 VZP458762:WAD458762 WJL458762:WJZ458762 WTH458762:WTV458762 XDD458762:XDR458762 GV524298:HJ524298 QR524298:RF524298 AAN524298:ABB524298 AKJ524298:AKX524298 AUF524298:AUT524298 BEB524298:BEP524298 BNX524298:BOL524298 BXT524298:BYH524298 CHP524298:CID524298 CRL524298:CRZ524298 DBH524298:DBV524298 DLD524298:DLR524298 DUZ524298:DVN524298 EEV524298:EFJ524298 EOR524298:EPF524298 EYN524298:EZB524298 FIJ524298:FIX524298 FSF524298:FST524298 GCB524298:GCP524298 GLX524298:GML524298 GVT524298:GWH524298 HFP524298:HGD524298 HPL524298:HPZ524298 HZH524298:HZV524298 IJD524298:IJR524298 ISZ524298:ITN524298 JCV524298:JDJ524298 JMR524298:JNF524298 JWN524298:JXB524298 KGJ524298:KGX524298 KQF524298:KQT524298 LAB524298:LAP524298 LJX524298:LKL524298 LTT524298:LUH524298 MDP524298:MED524298 MNL524298:MNZ524298 MXH524298:MXV524298 NHD524298:NHR524298 NQZ524298:NRN524298 OAV524298:OBJ524298 OKR524298:OLF524298 OUN524298:OVB524298 PEJ524298:PEX524298 POF524298:POT524298 PYB524298:PYP524298 QHX524298:QIL524298 QRT524298:QSH524298 RBP524298:RCD524298 RLL524298:RLZ524298 RVH524298:RVV524298 SFD524298:SFR524298 SOZ524298:SPN524298 SYV524298:SZJ524298 TIR524298:TJF524298 TSN524298:TTB524298 UCJ524298:UCX524298 UMF524298:UMT524298 UWB524298:UWP524298 VFX524298:VGL524298 VPT524298:VQH524298 VZP524298:WAD524298 WJL524298:WJZ524298 WTH524298:WTV524298 XDD524298:XDR524298 GV589834:HJ589834 QR589834:RF589834 AAN589834:ABB589834 AKJ589834:AKX589834 AUF589834:AUT589834 BEB589834:BEP589834 BNX589834:BOL589834 BXT589834:BYH589834 CHP589834:CID589834 CRL589834:CRZ589834 DBH589834:DBV589834 DLD589834:DLR589834 DUZ589834:DVN589834 EEV589834:EFJ589834 EOR589834:EPF589834 EYN589834:EZB589834 FIJ589834:FIX589834 FSF589834:FST589834 GCB589834:GCP589834 GLX589834:GML589834 GVT589834:GWH589834 HFP589834:HGD589834 HPL589834:HPZ589834 HZH589834:HZV589834 IJD589834:IJR589834 ISZ589834:ITN589834 JCV589834:JDJ589834 JMR589834:JNF589834 JWN589834:JXB589834 KGJ589834:KGX589834 KQF589834:KQT589834 LAB589834:LAP589834 LJX589834:LKL589834 LTT589834:LUH589834 MDP589834:MED589834 MNL589834:MNZ589834 MXH589834:MXV589834 NHD589834:NHR589834 NQZ589834:NRN589834 OAV589834:OBJ589834 OKR589834:OLF589834 OUN589834:OVB589834 PEJ589834:PEX589834 POF589834:POT589834 PYB589834:PYP589834 QHX589834:QIL589834 QRT589834:QSH589834 RBP589834:RCD589834 RLL589834:RLZ589834 RVH589834:RVV589834 SFD589834:SFR589834 SOZ589834:SPN589834 SYV589834:SZJ589834 TIR589834:TJF589834 TSN589834:TTB589834 UCJ589834:UCX589834 UMF589834:UMT589834 UWB589834:UWP589834 VFX589834:VGL589834 VPT589834:VQH589834 VZP589834:WAD589834 WJL589834:WJZ589834 WTH589834:WTV589834 XDD589834:XDR589834 GV655370:HJ655370 QR655370:RF655370 AAN655370:ABB655370 AKJ655370:AKX655370 AUF655370:AUT655370 BEB655370:BEP655370 BNX655370:BOL655370 BXT655370:BYH655370 CHP655370:CID655370 CRL655370:CRZ655370 DBH655370:DBV655370 DLD655370:DLR655370 DUZ655370:DVN655370 EEV655370:EFJ655370 EOR655370:EPF655370 EYN655370:EZB655370 FIJ655370:FIX655370 FSF655370:FST655370 GCB655370:GCP655370 GLX655370:GML655370 GVT655370:GWH655370 HFP655370:HGD655370 HPL655370:HPZ655370 HZH655370:HZV655370 IJD655370:IJR655370 ISZ655370:ITN655370 JCV655370:JDJ655370 JMR655370:JNF655370 JWN655370:JXB655370 KGJ655370:KGX655370 KQF655370:KQT655370 LAB655370:LAP655370 LJX655370:LKL655370 LTT655370:LUH655370 MDP655370:MED655370 MNL655370:MNZ655370 MXH655370:MXV655370 NHD655370:NHR655370 NQZ655370:NRN655370 OAV655370:OBJ655370 OKR655370:OLF655370 OUN655370:OVB655370 PEJ655370:PEX655370 POF655370:POT655370 PYB655370:PYP655370 QHX655370:QIL655370 QRT655370:QSH655370 RBP655370:RCD655370 RLL655370:RLZ655370 RVH655370:RVV655370 SFD655370:SFR655370 SOZ655370:SPN655370 SYV655370:SZJ655370 TIR655370:TJF655370 TSN655370:TTB655370 UCJ655370:UCX655370 UMF655370:UMT655370 UWB655370:UWP655370 VFX655370:VGL655370 VPT655370:VQH655370 VZP655370:WAD655370 WJL655370:WJZ655370 WTH655370:WTV655370 XDD655370:XDR655370 GV720906:HJ720906 QR720906:RF720906 AAN720906:ABB720906 AKJ720906:AKX720906 AUF720906:AUT720906 BEB720906:BEP720906 BNX720906:BOL720906 BXT720906:BYH720906 CHP720906:CID720906 CRL720906:CRZ720906 DBH720906:DBV720906 DLD720906:DLR720906 DUZ720906:DVN720906 EEV720906:EFJ720906 EOR720906:EPF720906 EYN720906:EZB720906 FIJ720906:FIX720906 FSF720906:FST720906 GCB720906:GCP720906 GLX720906:GML720906 GVT720906:GWH720906 HFP720906:HGD720906 HPL720906:HPZ720906 HZH720906:HZV720906 IJD720906:IJR720906 ISZ720906:ITN720906 JCV720906:JDJ720906 JMR720906:JNF720906 JWN720906:JXB720906 KGJ720906:KGX720906 KQF720906:KQT720906 LAB720906:LAP720906 LJX720906:LKL720906 LTT720906:LUH720906 MDP720906:MED720906 MNL720906:MNZ720906 MXH720906:MXV720906 NHD720906:NHR720906 NQZ720906:NRN720906 OAV720906:OBJ720906 OKR720906:OLF720906 OUN720906:OVB720906 PEJ720906:PEX720906 POF720906:POT720906 PYB720906:PYP720906 QHX720906:QIL720906 QRT720906:QSH720906 RBP720906:RCD720906 RLL720906:RLZ720906 RVH720906:RVV720906 SFD720906:SFR720906 SOZ720906:SPN720906 SYV720906:SZJ720906 TIR720906:TJF720906 TSN720906:TTB720906 UCJ720906:UCX720906 UMF720906:UMT720906 UWB720906:UWP720906 VFX720906:VGL720906 VPT720906:VQH720906 VZP720906:WAD720906 WJL720906:WJZ720906 WTH720906:WTV720906 XDD720906:XDR720906 GV786442:HJ786442 QR786442:RF786442 AAN786442:ABB786442 AKJ786442:AKX786442 AUF786442:AUT786442 BEB786442:BEP786442 BNX786442:BOL786442 BXT786442:BYH786442 CHP786442:CID786442 CRL786442:CRZ786442 DBH786442:DBV786442 DLD786442:DLR786442 DUZ786442:DVN786442 EEV786442:EFJ786442 EOR786442:EPF786442 EYN786442:EZB786442 FIJ786442:FIX786442 FSF786442:FST786442 GCB786442:GCP786442 GLX786442:GML786442 GVT786442:GWH786442 HFP786442:HGD786442 HPL786442:HPZ786442 HZH786442:HZV786442 IJD786442:IJR786442 ISZ786442:ITN786442 JCV786442:JDJ786442 JMR786442:JNF786442 JWN786442:JXB786442 KGJ786442:KGX786442 KQF786442:KQT786442 LAB786442:LAP786442 LJX786442:LKL786442 LTT786442:LUH786442 MDP786442:MED786442 MNL786442:MNZ786442 MXH786442:MXV786442 NHD786442:NHR786442 NQZ786442:NRN786442 OAV786442:OBJ786442 OKR786442:OLF786442 OUN786442:OVB786442 PEJ786442:PEX786442 POF786442:POT786442 PYB786442:PYP786442 QHX786442:QIL786442 QRT786442:QSH786442 RBP786442:RCD786442 RLL786442:RLZ786442 RVH786442:RVV786442 SFD786442:SFR786442 SOZ786442:SPN786442 SYV786442:SZJ786442 TIR786442:TJF786442 TSN786442:TTB786442 UCJ786442:UCX786442 UMF786442:UMT786442 UWB786442:UWP786442 VFX786442:VGL786442 VPT786442:VQH786442 VZP786442:WAD786442 WJL786442:WJZ786442 WTH786442:WTV786442 XDD786442:XDR786442 GV851978:HJ851978 QR851978:RF851978 AAN851978:ABB851978 AKJ851978:AKX851978 AUF851978:AUT851978 BEB851978:BEP851978 BNX851978:BOL851978 BXT851978:BYH851978 CHP851978:CID851978 CRL851978:CRZ851978 DBH851978:DBV851978 DLD851978:DLR851978 DUZ851978:DVN851978 EEV851978:EFJ851978 EOR851978:EPF851978 EYN851978:EZB851978 FIJ851978:FIX851978 FSF851978:FST851978 GCB851978:GCP851978 GLX851978:GML851978 GVT851978:GWH851978 HFP851978:HGD851978 HPL851978:HPZ851978 HZH851978:HZV851978 IJD851978:IJR851978 ISZ851978:ITN851978 JCV851978:JDJ851978 JMR851978:JNF851978 JWN851978:JXB851978 KGJ851978:KGX851978 KQF851978:KQT851978 LAB851978:LAP851978 LJX851978:LKL851978 LTT851978:LUH851978 MDP851978:MED851978 MNL851978:MNZ851978 MXH851978:MXV851978 NHD851978:NHR851978 NQZ851978:NRN851978 OAV851978:OBJ851978 OKR851978:OLF851978 OUN851978:OVB851978 PEJ851978:PEX851978 POF851978:POT851978 PYB851978:PYP851978 QHX851978:QIL851978 QRT851978:QSH851978 RBP851978:RCD851978 RLL851978:RLZ851978 RVH851978:RVV851978 SFD851978:SFR851978 SOZ851978:SPN851978 SYV851978:SZJ851978 TIR851978:TJF851978 TSN851978:TTB851978 UCJ851978:UCX851978 UMF851978:UMT851978 UWB851978:UWP851978 VFX851978:VGL851978 VPT851978:VQH851978 VZP851978:WAD851978 WJL851978:WJZ851978 WTH851978:WTV851978 XDD851978:XDR851978 GV917514:HJ917514 QR917514:RF917514 AAN917514:ABB917514 AKJ917514:AKX917514 AUF917514:AUT917514 BEB917514:BEP917514 BNX917514:BOL917514 BXT917514:BYH917514 CHP917514:CID917514 CRL917514:CRZ917514 DBH917514:DBV917514 DLD917514:DLR917514 DUZ917514:DVN917514 EEV917514:EFJ917514 EOR917514:EPF917514 EYN917514:EZB917514 FIJ917514:FIX917514 FSF917514:FST917514 GCB917514:GCP917514 GLX917514:GML917514 GVT917514:GWH917514 HFP917514:HGD917514 HPL917514:HPZ917514 HZH917514:HZV917514 IJD917514:IJR917514 ISZ917514:ITN917514 JCV917514:JDJ917514 JMR917514:JNF917514 JWN917514:JXB917514 KGJ917514:KGX917514 KQF917514:KQT917514 LAB917514:LAP917514 LJX917514:LKL917514 LTT917514:LUH917514 MDP917514:MED917514 MNL917514:MNZ917514 MXH917514:MXV917514 NHD917514:NHR917514 NQZ917514:NRN917514 OAV917514:OBJ917514 OKR917514:OLF917514 OUN917514:OVB917514 PEJ917514:PEX917514 POF917514:POT917514 PYB917514:PYP917514 QHX917514:QIL917514 QRT917514:QSH917514 RBP917514:RCD917514 RLL917514:RLZ917514 RVH917514:RVV917514 SFD917514:SFR917514 SOZ917514:SPN917514 SYV917514:SZJ917514 TIR917514:TJF917514 TSN917514:TTB917514 UCJ917514:UCX917514 UMF917514:UMT917514 UWB917514:UWP917514 VFX917514:VGL917514 VPT917514:VQH917514 VZP917514:WAD917514 WJL917514:WJZ917514 WTH917514:WTV917514 XDD917514:XDR917514 GV983050:HJ983050 QR983050:RF983050 AAN983050:ABB983050 AKJ983050:AKX983050 AUF983050:AUT983050 BEB983050:BEP983050 BNX983050:BOL983050 BXT983050:BYH983050 CHP983050:CID983050 CRL983050:CRZ983050 DBH983050:DBV983050 DLD983050:DLR983050 DUZ983050:DVN983050 EEV983050:EFJ983050 EOR983050:EPF983050 EYN983050:EZB983050 FIJ983050:FIX983050 FSF983050:FST983050 GCB983050:GCP983050 GLX983050:GML983050 GVT983050:GWH983050 HFP983050:HGD983050 HPL983050:HPZ983050 HZH983050:HZV983050 IJD983050:IJR983050 ISZ983050:ITN983050 JCV983050:JDJ983050 JMR983050:JNF983050 JWN983050:JXB983050 KGJ983050:KGX983050 KQF983050:KQT983050 LAB983050:LAP983050 LJX983050:LKL983050 LTT983050:LUH983050 MDP983050:MED983050 MNL983050:MNZ983050 MXH983050:MXV983050 NHD983050:NHR983050 NQZ983050:NRN983050 OAV983050:OBJ983050 OKR983050:OLF983050 OUN983050:OVB983050 PEJ983050:PEX983050 POF983050:POT983050 PYB983050:PYP983050 QHX983050:QIL983050 QRT983050:QSH983050 RBP983050:RCD983050 RLL983050:RLZ983050 RVH983050:RVV983050 SFD983050:SFR983050 SOZ983050:SPN983050 SYV983050:SZJ983050 TIR983050:TJF983050 TSN983050:TTB983050 UCJ983050:UCX983050 UMF983050:UMT983050 UWB983050:UWP983050 VFX983050:VGL983050 VPT983050:VQH983050 VZP983050:WAD983050 WJL983050:WJZ983050 WTH983050:WTV983050 XDD983050:XDR983050 D57977:R57977 IZ57977:JN57977 SV57977:TJ57977 ACR57977:ADF57977 AMN57977:ANB57977 AWJ57977:AWX57977 BGF57977:BGT57977 BQB57977:BQP57977 BZX57977:CAL57977 CJT57977:CKH57977 CTP57977:CUD57977 DDL57977:DDZ57977 DNH57977:DNV57977 DXD57977:DXR57977 EGZ57977:EHN57977 EQV57977:ERJ57977 FAR57977:FBF57977 FKN57977:FLB57977 FUJ57977:FUX57977 GEF57977:GET57977 GOB57977:GOP57977 GXX57977:GYL57977 HHT57977:HIH57977 HRP57977:HSD57977 IBL57977:IBZ57977 ILH57977:ILV57977 IVD57977:IVR57977 JEZ57977:JFN57977 JOV57977:JPJ57977 JYR57977:JZF57977 KIN57977:KJB57977 KSJ57977:KSX57977 LCF57977:LCT57977 LMB57977:LMP57977 LVX57977:LWL57977 MFT57977:MGH57977 MPP57977:MQD57977 MZL57977:MZZ57977 NJH57977:NJV57977 NTD57977:NTR57977 OCZ57977:ODN57977 OMV57977:ONJ57977 OWR57977:OXF57977 PGN57977:PHB57977 PQJ57977:PQX57977 QAF57977:QAT57977 QKB57977:QKP57977 QTX57977:QUL57977 RDT57977:REH57977 RNP57977:ROD57977 RXL57977:RXZ57977 SHH57977:SHV57977 SRD57977:SRR57977 TAZ57977:TBN57977 TKV57977:TLJ57977 TUR57977:TVF57977 UEN57977:UFB57977 UOJ57977:UOX57977 UYF57977:UYT57977 VIB57977:VIP57977 VRX57977:VSL57977 WBT57977:WCH57977 WLP57977:WMD57977 WVL57977:WVZ57977 D123513:R123513 IZ123513:JN123513 SV123513:TJ123513 ACR123513:ADF123513 AMN123513:ANB123513 AWJ123513:AWX123513 BGF123513:BGT123513 BQB123513:BQP123513 BZX123513:CAL123513 CJT123513:CKH123513 CTP123513:CUD123513 DDL123513:DDZ123513 DNH123513:DNV123513 DXD123513:DXR123513 EGZ123513:EHN123513 EQV123513:ERJ123513 FAR123513:FBF123513 FKN123513:FLB123513 FUJ123513:FUX123513 GEF123513:GET123513 GOB123513:GOP123513 GXX123513:GYL123513 HHT123513:HIH123513 HRP123513:HSD123513 IBL123513:IBZ123513 ILH123513:ILV123513 IVD123513:IVR123513 JEZ123513:JFN123513 JOV123513:JPJ123513 JYR123513:JZF123513 KIN123513:KJB123513 KSJ123513:KSX123513 LCF123513:LCT123513 LMB123513:LMP123513 LVX123513:LWL123513 MFT123513:MGH123513 MPP123513:MQD123513 MZL123513:MZZ123513 NJH123513:NJV123513 NTD123513:NTR123513 OCZ123513:ODN123513 OMV123513:ONJ123513 OWR123513:OXF123513 PGN123513:PHB123513 PQJ123513:PQX123513 QAF123513:QAT123513 QKB123513:QKP123513 QTX123513:QUL123513 RDT123513:REH123513 RNP123513:ROD123513 RXL123513:RXZ123513 SHH123513:SHV123513 SRD123513:SRR123513 TAZ123513:TBN123513 TKV123513:TLJ123513 TUR123513:TVF123513 UEN123513:UFB123513 UOJ123513:UOX123513 UYF123513:UYT123513 VIB123513:VIP123513 VRX123513:VSL123513 WBT123513:WCH123513 WLP123513:WMD123513 WVL123513:WVZ123513 D189049:R189049 IZ189049:JN189049 SV189049:TJ189049 ACR189049:ADF189049 AMN189049:ANB189049 AWJ189049:AWX189049 BGF189049:BGT189049 BQB189049:BQP189049 BZX189049:CAL189049 CJT189049:CKH189049 CTP189049:CUD189049 DDL189049:DDZ189049 DNH189049:DNV189049 DXD189049:DXR189049 EGZ189049:EHN189049 EQV189049:ERJ189049 FAR189049:FBF189049 FKN189049:FLB189049 FUJ189049:FUX189049 GEF189049:GET189049 GOB189049:GOP189049 GXX189049:GYL189049 HHT189049:HIH189049 HRP189049:HSD189049 IBL189049:IBZ189049 ILH189049:ILV189049 IVD189049:IVR189049 JEZ189049:JFN189049 JOV189049:JPJ189049 JYR189049:JZF189049 KIN189049:KJB189049 KSJ189049:KSX189049 LCF189049:LCT189049 LMB189049:LMP189049 LVX189049:LWL189049 MFT189049:MGH189049 MPP189049:MQD189049 MZL189049:MZZ189049 NJH189049:NJV189049 NTD189049:NTR189049 OCZ189049:ODN189049 OMV189049:ONJ189049 OWR189049:OXF189049 PGN189049:PHB189049 PQJ189049:PQX189049 QAF189049:QAT189049 QKB189049:QKP189049 QTX189049:QUL189049 RDT189049:REH189049 RNP189049:ROD189049 RXL189049:RXZ189049 SHH189049:SHV189049 SRD189049:SRR189049 TAZ189049:TBN189049 TKV189049:TLJ189049 TUR189049:TVF189049 UEN189049:UFB189049 UOJ189049:UOX189049 UYF189049:UYT189049 VIB189049:VIP189049 VRX189049:VSL189049 WBT189049:WCH189049 WLP189049:WMD189049 WVL189049:WVZ189049 D254585:R254585 IZ254585:JN254585 SV254585:TJ254585 ACR254585:ADF254585 AMN254585:ANB254585 AWJ254585:AWX254585 BGF254585:BGT254585 BQB254585:BQP254585 BZX254585:CAL254585 CJT254585:CKH254585 CTP254585:CUD254585 DDL254585:DDZ254585 DNH254585:DNV254585 DXD254585:DXR254585 EGZ254585:EHN254585 EQV254585:ERJ254585 FAR254585:FBF254585 FKN254585:FLB254585 FUJ254585:FUX254585 GEF254585:GET254585 GOB254585:GOP254585 GXX254585:GYL254585 HHT254585:HIH254585 HRP254585:HSD254585 IBL254585:IBZ254585 ILH254585:ILV254585 IVD254585:IVR254585 JEZ254585:JFN254585 JOV254585:JPJ254585 JYR254585:JZF254585 KIN254585:KJB254585 KSJ254585:KSX254585 LCF254585:LCT254585 LMB254585:LMP254585 LVX254585:LWL254585 MFT254585:MGH254585 MPP254585:MQD254585 MZL254585:MZZ254585 NJH254585:NJV254585 NTD254585:NTR254585 OCZ254585:ODN254585 OMV254585:ONJ254585 OWR254585:OXF254585 PGN254585:PHB254585 PQJ254585:PQX254585 QAF254585:QAT254585 QKB254585:QKP254585 QTX254585:QUL254585 RDT254585:REH254585 RNP254585:ROD254585 RXL254585:RXZ254585 SHH254585:SHV254585 SRD254585:SRR254585 TAZ254585:TBN254585 TKV254585:TLJ254585 TUR254585:TVF254585 UEN254585:UFB254585 UOJ254585:UOX254585 UYF254585:UYT254585 VIB254585:VIP254585 VRX254585:VSL254585 WBT254585:WCH254585 WLP254585:WMD254585 WVL254585:WVZ254585 D320121:R320121 IZ320121:JN320121 SV320121:TJ320121 ACR320121:ADF320121 AMN320121:ANB320121 AWJ320121:AWX320121 BGF320121:BGT320121 BQB320121:BQP320121 BZX320121:CAL320121 CJT320121:CKH320121 CTP320121:CUD320121 DDL320121:DDZ320121 DNH320121:DNV320121 DXD320121:DXR320121 EGZ320121:EHN320121 EQV320121:ERJ320121 FAR320121:FBF320121 FKN320121:FLB320121 FUJ320121:FUX320121 GEF320121:GET320121 GOB320121:GOP320121 GXX320121:GYL320121 HHT320121:HIH320121 HRP320121:HSD320121 IBL320121:IBZ320121 ILH320121:ILV320121 IVD320121:IVR320121 JEZ320121:JFN320121 JOV320121:JPJ320121 JYR320121:JZF320121 KIN320121:KJB320121 KSJ320121:KSX320121 LCF320121:LCT320121 LMB320121:LMP320121 LVX320121:LWL320121 MFT320121:MGH320121 MPP320121:MQD320121 MZL320121:MZZ320121 NJH320121:NJV320121 NTD320121:NTR320121 OCZ320121:ODN320121 OMV320121:ONJ320121 OWR320121:OXF320121 PGN320121:PHB320121 PQJ320121:PQX320121 QAF320121:QAT320121 QKB320121:QKP320121 QTX320121:QUL320121 RDT320121:REH320121 RNP320121:ROD320121 RXL320121:RXZ320121 SHH320121:SHV320121 SRD320121:SRR320121 TAZ320121:TBN320121 TKV320121:TLJ320121 TUR320121:TVF320121 UEN320121:UFB320121 UOJ320121:UOX320121 UYF320121:UYT320121 VIB320121:VIP320121 VRX320121:VSL320121 WBT320121:WCH320121 WLP320121:WMD320121 WVL320121:WVZ320121 D385657:R385657 IZ385657:JN385657 SV385657:TJ385657 ACR385657:ADF385657 AMN385657:ANB385657 AWJ385657:AWX385657 BGF385657:BGT385657 BQB385657:BQP385657 BZX385657:CAL385657 CJT385657:CKH385657 CTP385657:CUD385657 DDL385657:DDZ385657 DNH385657:DNV385657 DXD385657:DXR385657 EGZ385657:EHN385657 EQV385657:ERJ385657 FAR385657:FBF385657 FKN385657:FLB385657 FUJ385657:FUX385657 GEF385657:GET385657 GOB385657:GOP385657 GXX385657:GYL385657 HHT385657:HIH385657 HRP385657:HSD385657 IBL385657:IBZ385657 ILH385657:ILV385657 IVD385657:IVR385657 JEZ385657:JFN385657 JOV385657:JPJ385657 JYR385657:JZF385657 KIN385657:KJB385657 KSJ385657:KSX385657 LCF385657:LCT385657 LMB385657:LMP385657 LVX385657:LWL385657 MFT385657:MGH385657 MPP385657:MQD385657 MZL385657:MZZ385657 NJH385657:NJV385657 NTD385657:NTR385657 OCZ385657:ODN385657 OMV385657:ONJ385657 OWR385657:OXF385657 PGN385657:PHB385657 PQJ385657:PQX385657 QAF385657:QAT385657 QKB385657:QKP385657 QTX385657:QUL385657 RDT385657:REH385657 RNP385657:ROD385657 RXL385657:RXZ385657 SHH385657:SHV385657 SRD385657:SRR385657 TAZ385657:TBN385657 TKV385657:TLJ385657 TUR385657:TVF385657 UEN385657:UFB385657 UOJ385657:UOX385657 UYF385657:UYT385657 VIB385657:VIP385657 VRX385657:VSL385657 WBT385657:WCH385657 WLP385657:WMD385657 WVL385657:WVZ385657 D451193:R451193 IZ451193:JN451193 SV451193:TJ451193 ACR451193:ADF451193 AMN451193:ANB451193 AWJ451193:AWX451193 BGF451193:BGT451193 BQB451193:BQP451193 BZX451193:CAL451193 CJT451193:CKH451193 CTP451193:CUD451193 DDL451193:DDZ451193 DNH451193:DNV451193 DXD451193:DXR451193 EGZ451193:EHN451193 EQV451193:ERJ451193 FAR451193:FBF451193 FKN451193:FLB451193 FUJ451193:FUX451193 GEF451193:GET451193 GOB451193:GOP451193 GXX451193:GYL451193 HHT451193:HIH451193 HRP451193:HSD451193 IBL451193:IBZ451193 ILH451193:ILV451193 IVD451193:IVR451193 JEZ451193:JFN451193 JOV451193:JPJ451193 JYR451193:JZF451193 KIN451193:KJB451193 KSJ451193:KSX451193 LCF451193:LCT451193 LMB451193:LMP451193 LVX451193:LWL451193 MFT451193:MGH451193 MPP451193:MQD451193 MZL451193:MZZ451193 NJH451193:NJV451193 NTD451193:NTR451193 OCZ451193:ODN451193 OMV451193:ONJ451193 OWR451193:OXF451193 PGN451193:PHB451193 PQJ451193:PQX451193 QAF451193:QAT451193 QKB451193:QKP451193 QTX451193:QUL451193 RDT451193:REH451193 RNP451193:ROD451193 RXL451193:RXZ451193 SHH451193:SHV451193 SRD451193:SRR451193 TAZ451193:TBN451193 TKV451193:TLJ451193 TUR451193:TVF451193 UEN451193:UFB451193 UOJ451193:UOX451193 UYF451193:UYT451193 VIB451193:VIP451193 VRX451193:VSL451193 WBT451193:WCH451193 WLP451193:WMD451193 WVL451193:WVZ451193 D516729:R516729 IZ516729:JN516729 SV516729:TJ516729 ACR516729:ADF516729 AMN516729:ANB516729 AWJ516729:AWX516729 BGF516729:BGT516729 BQB516729:BQP516729 BZX516729:CAL516729 CJT516729:CKH516729 CTP516729:CUD516729 DDL516729:DDZ516729 DNH516729:DNV516729 DXD516729:DXR516729 EGZ516729:EHN516729 EQV516729:ERJ516729 FAR516729:FBF516729 FKN516729:FLB516729 FUJ516729:FUX516729 GEF516729:GET516729 GOB516729:GOP516729 GXX516729:GYL516729 HHT516729:HIH516729 HRP516729:HSD516729 IBL516729:IBZ516729 ILH516729:ILV516729 IVD516729:IVR516729 JEZ516729:JFN516729 JOV516729:JPJ516729 JYR516729:JZF516729 KIN516729:KJB516729 KSJ516729:KSX516729 LCF516729:LCT516729 LMB516729:LMP516729 LVX516729:LWL516729 MFT516729:MGH516729 MPP516729:MQD516729 MZL516729:MZZ516729 NJH516729:NJV516729 NTD516729:NTR516729 OCZ516729:ODN516729 OMV516729:ONJ516729 OWR516729:OXF516729 PGN516729:PHB516729 PQJ516729:PQX516729 QAF516729:QAT516729 QKB516729:QKP516729 QTX516729:QUL516729 RDT516729:REH516729 RNP516729:ROD516729 RXL516729:RXZ516729 SHH516729:SHV516729 SRD516729:SRR516729 TAZ516729:TBN516729 TKV516729:TLJ516729 TUR516729:TVF516729 UEN516729:UFB516729 UOJ516729:UOX516729 UYF516729:UYT516729 VIB516729:VIP516729 VRX516729:VSL516729 WBT516729:WCH516729 WLP516729:WMD516729 WVL516729:WVZ516729 D582265:R582265 IZ582265:JN582265 SV582265:TJ582265 ACR582265:ADF582265 AMN582265:ANB582265 AWJ582265:AWX582265 BGF582265:BGT582265 BQB582265:BQP582265 BZX582265:CAL582265 CJT582265:CKH582265 CTP582265:CUD582265 DDL582265:DDZ582265 DNH582265:DNV582265 DXD582265:DXR582265 EGZ582265:EHN582265 EQV582265:ERJ582265 FAR582265:FBF582265 FKN582265:FLB582265 FUJ582265:FUX582265 GEF582265:GET582265 GOB582265:GOP582265 GXX582265:GYL582265 HHT582265:HIH582265 HRP582265:HSD582265 IBL582265:IBZ582265 ILH582265:ILV582265 IVD582265:IVR582265 JEZ582265:JFN582265 JOV582265:JPJ582265 JYR582265:JZF582265 KIN582265:KJB582265 KSJ582265:KSX582265 LCF582265:LCT582265 LMB582265:LMP582265 LVX582265:LWL582265 MFT582265:MGH582265 MPP582265:MQD582265 MZL582265:MZZ582265 NJH582265:NJV582265 NTD582265:NTR582265 OCZ582265:ODN582265 OMV582265:ONJ582265 OWR582265:OXF582265 PGN582265:PHB582265 PQJ582265:PQX582265 QAF582265:QAT582265 QKB582265:QKP582265 QTX582265:QUL582265 RDT582265:REH582265 RNP582265:ROD582265 RXL582265:RXZ582265 SHH582265:SHV582265 SRD582265:SRR582265 TAZ582265:TBN582265 TKV582265:TLJ582265 TUR582265:TVF582265 UEN582265:UFB582265 UOJ582265:UOX582265 UYF582265:UYT582265 VIB582265:VIP582265 VRX582265:VSL582265 WBT582265:WCH582265 WLP582265:WMD582265 WVL582265:WVZ582265 D647801:R647801 IZ647801:JN647801 SV647801:TJ647801 ACR647801:ADF647801 AMN647801:ANB647801 AWJ647801:AWX647801 BGF647801:BGT647801 BQB647801:BQP647801 BZX647801:CAL647801 CJT647801:CKH647801 CTP647801:CUD647801 DDL647801:DDZ647801 DNH647801:DNV647801 DXD647801:DXR647801 EGZ647801:EHN647801 EQV647801:ERJ647801 FAR647801:FBF647801 FKN647801:FLB647801 FUJ647801:FUX647801 GEF647801:GET647801 GOB647801:GOP647801 GXX647801:GYL647801 HHT647801:HIH647801 HRP647801:HSD647801 IBL647801:IBZ647801 ILH647801:ILV647801 IVD647801:IVR647801 JEZ647801:JFN647801 JOV647801:JPJ647801 JYR647801:JZF647801 KIN647801:KJB647801 KSJ647801:KSX647801 LCF647801:LCT647801 LMB647801:LMP647801 LVX647801:LWL647801 MFT647801:MGH647801 MPP647801:MQD647801 MZL647801:MZZ647801 NJH647801:NJV647801 NTD647801:NTR647801 OCZ647801:ODN647801 OMV647801:ONJ647801 OWR647801:OXF647801 PGN647801:PHB647801 PQJ647801:PQX647801 QAF647801:QAT647801 QKB647801:QKP647801 QTX647801:QUL647801 RDT647801:REH647801 RNP647801:ROD647801 RXL647801:RXZ647801 SHH647801:SHV647801 SRD647801:SRR647801 TAZ647801:TBN647801 TKV647801:TLJ647801 TUR647801:TVF647801 UEN647801:UFB647801 UOJ647801:UOX647801 UYF647801:UYT647801 VIB647801:VIP647801 VRX647801:VSL647801 WBT647801:WCH647801 WLP647801:WMD647801 WVL647801:WVZ647801 D713337:R713337 IZ713337:JN713337 SV713337:TJ713337 ACR713337:ADF713337 AMN713337:ANB713337 AWJ713337:AWX713337 BGF713337:BGT713337 BQB713337:BQP713337 BZX713337:CAL713337 CJT713337:CKH713337 CTP713337:CUD713337 DDL713337:DDZ713337 DNH713337:DNV713337 DXD713337:DXR713337 EGZ713337:EHN713337 EQV713337:ERJ713337 FAR713337:FBF713337 FKN713337:FLB713337 FUJ713337:FUX713337 GEF713337:GET713337 GOB713337:GOP713337 GXX713337:GYL713337 HHT713337:HIH713337 HRP713337:HSD713337 IBL713337:IBZ713337 ILH713337:ILV713337 IVD713337:IVR713337 JEZ713337:JFN713337 JOV713337:JPJ713337 JYR713337:JZF713337 KIN713337:KJB713337 KSJ713337:KSX713337 LCF713337:LCT713337 LMB713337:LMP713337 LVX713337:LWL713337 MFT713337:MGH713337 MPP713337:MQD713337 MZL713337:MZZ713337 NJH713337:NJV713337 NTD713337:NTR713337 OCZ713337:ODN713337 OMV713337:ONJ713337 OWR713337:OXF713337 PGN713337:PHB713337 PQJ713337:PQX713337 QAF713337:QAT713337 QKB713337:QKP713337 QTX713337:QUL713337 RDT713337:REH713337 RNP713337:ROD713337 RXL713337:RXZ713337 SHH713337:SHV713337 SRD713337:SRR713337 TAZ713337:TBN713337 TKV713337:TLJ713337 TUR713337:TVF713337 UEN713337:UFB713337 UOJ713337:UOX713337 UYF713337:UYT713337 VIB713337:VIP713337 VRX713337:VSL713337 WBT713337:WCH713337 WLP713337:WMD713337 WVL713337:WVZ713337 D778873:R778873 IZ778873:JN778873 SV778873:TJ778873 ACR778873:ADF778873 AMN778873:ANB778873 AWJ778873:AWX778873 BGF778873:BGT778873 BQB778873:BQP778873 BZX778873:CAL778873 CJT778873:CKH778873 CTP778873:CUD778873 DDL778873:DDZ778873 DNH778873:DNV778873 DXD778873:DXR778873 EGZ778873:EHN778873 EQV778873:ERJ778873 FAR778873:FBF778873 FKN778873:FLB778873 FUJ778873:FUX778873 GEF778873:GET778873 GOB778873:GOP778873 GXX778873:GYL778873 HHT778873:HIH778873 HRP778873:HSD778873 IBL778873:IBZ778873 ILH778873:ILV778873 IVD778873:IVR778873 JEZ778873:JFN778873 JOV778873:JPJ778873 JYR778873:JZF778873 KIN778873:KJB778873 KSJ778873:KSX778873 LCF778873:LCT778873 LMB778873:LMP778873 LVX778873:LWL778873 MFT778873:MGH778873 MPP778873:MQD778873 MZL778873:MZZ778873 NJH778873:NJV778873 NTD778873:NTR778873 OCZ778873:ODN778873 OMV778873:ONJ778873 OWR778873:OXF778873 PGN778873:PHB778873 PQJ778873:PQX778873 QAF778873:QAT778873 QKB778873:QKP778873 QTX778873:QUL778873 RDT778873:REH778873 RNP778873:ROD778873 RXL778873:RXZ778873 SHH778873:SHV778873 SRD778873:SRR778873 TAZ778873:TBN778873 TKV778873:TLJ778873 TUR778873:TVF778873 UEN778873:UFB778873 UOJ778873:UOX778873 UYF778873:UYT778873 VIB778873:VIP778873 VRX778873:VSL778873 WBT778873:WCH778873 WLP778873:WMD778873 WVL778873:WVZ778873 D844409:R844409 IZ844409:JN844409 SV844409:TJ844409 ACR844409:ADF844409 AMN844409:ANB844409 AWJ844409:AWX844409 BGF844409:BGT844409 BQB844409:BQP844409 BZX844409:CAL844409 CJT844409:CKH844409 CTP844409:CUD844409 DDL844409:DDZ844409 DNH844409:DNV844409 DXD844409:DXR844409 EGZ844409:EHN844409 EQV844409:ERJ844409 FAR844409:FBF844409 FKN844409:FLB844409 FUJ844409:FUX844409 GEF844409:GET844409 GOB844409:GOP844409 GXX844409:GYL844409 HHT844409:HIH844409 HRP844409:HSD844409 IBL844409:IBZ844409 ILH844409:ILV844409 IVD844409:IVR844409 JEZ844409:JFN844409 JOV844409:JPJ844409 JYR844409:JZF844409 KIN844409:KJB844409 KSJ844409:KSX844409 LCF844409:LCT844409 LMB844409:LMP844409 LVX844409:LWL844409 MFT844409:MGH844409 MPP844409:MQD844409 MZL844409:MZZ844409 NJH844409:NJV844409 NTD844409:NTR844409 OCZ844409:ODN844409 OMV844409:ONJ844409 OWR844409:OXF844409 PGN844409:PHB844409 PQJ844409:PQX844409 QAF844409:QAT844409 QKB844409:QKP844409 QTX844409:QUL844409 RDT844409:REH844409 RNP844409:ROD844409 RXL844409:RXZ844409 SHH844409:SHV844409 SRD844409:SRR844409 TAZ844409:TBN844409 TKV844409:TLJ844409 TUR844409:TVF844409 UEN844409:UFB844409 UOJ844409:UOX844409 UYF844409:UYT844409 VIB844409:VIP844409 VRX844409:VSL844409 WBT844409:WCH844409 WLP844409:WMD844409 WVL844409:WVZ844409 D909945:R909945 IZ909945:JN909945 SV909945:TJ909945 ACR909945:ADF909945 AMN909945:ANB909945 AWJ909945:AWX909945 BGF909945:BGT909945 BQB909945:BQP909945 BZX909945:CAL909945 CJT909945:CKH909945 CTP909945:CUD909945 DDL909945:DDZ909945 DNH909945:DNV909945 DXD909945:DXR909945 EGZ909945:EHN909945 EQV909945:ERJ909945 FAR909945:FBF909945 FKN909945:FLB909945 FUJ909945:FUX909945 GEF909945:GET909945 GOB909945:GOP909945 GXX909945:GYL909945 HHT909945:HIH909945 HRP909945:HSD909945 IBL909945:IBZ909945 ILH909945:ILV909945 IVD909945:IVR909945 JEZ909945:JFN909945 JOV909945:JPJ909945 JYR909945:JZF909945 KIN909945:KJB909945 KSJ909945:KSX909945 LCF909945:LCT909945 LMB909945:LMP909945 LVX909945:LWL909945 MFT909945:MGH909945 MPP909945:MQD909945 MZL909945:MZZ909945 NJH909945:NJV909945 NTD909945:NTR909945 OCZ909945:ODN909945 OMV909945:ONJ909945 OWR909945:OXF909945 PGN909945:PHB909945 PQJ909945:PQX909945 QAF909945:QAT909945 QKB909945:QKP909945 QTX909945:QUL909945 RDT909945:REH909945 RNP909945:ROD909945 RXL909945:RXZ909945 SHH909945:SHV909945 SRD909945:SRR909945 TAZ909945:TBN909945 TKV909945:TLJ909945 TUR909945:TVF909945 UEN909945:UFB909945 UOJ909945:UOX909945 UYF909945:UYT909945 VIB909945:VIP909945 VRX909945:VSL909945 WBT909945:WCH909945 WLP909945:WMD909945 WVL909945:WVZ909945 D975481:R975481 IZ975481:JN975481 SV975481:TJ975481 ACR975481:ADF975481 AMN975481:ANB975481 AWJ975481:AWX975481 BGF975481:BGT975481 BQB975481:BQP975481 BZX975481:CAL975481 CJT975481:CKH975481 CTP975481:CUD975481 DDL975481:DDZ975481 DNH975481:DNV975481 DXD975481:DXR975481 EGZ975481:EHN975481 EQV975481:ERJ975481 FAR975481:FBF975481 FKN975481:FLB975481 FUJ975481:FUX975481 GEF975481:GET975481 GOB975481:GOP975481 GXX975481:GYL975481 HHT975481:HIH975481 HRP975481:HSD975481 IBL975481:IBZ975481 ILH975481:ILV975481 IVD975481:IVR975481 JEZ975481:JFN975481 JOV975481:JPJ975481 JYR975481:JZF975481 KIN975481:KJB975481 KSJ975481:KSX975481 LCF975481:LCT975481 LMB975481:LMP975481 LVX975481:LWL975481 MFT975481:MGH975481 MPP975481:MQD975481 MZL975481:MZZ975481 NJH975481:NJV975481 NTD975481:NTR975481 OCZ975481:ODN975481 OMV975481:ONJ975481 OWR975481:OXF975481 PGN975481:PHB975481 PQJ975481:PQX975481 QAF975481:QAT975481 QKB975481:QKP975481 QTX975481:QUL975481 RDT975481:REH975481 RNP975481:ROD975481 RXL975481:RXZ975481 SHH975481:SHV975481 SRD975481:SRR975481 TAZ975481:TBN975481 TKV975481:TLJ975481 TUR975481:TVF975481 UEN975481:UFB975481 UOJ975481:UOX975481 UYF975481:UYT975481 VIB975481:VIP975481 VRX975481:VSL975481 WBT975481:WCH975481 WLP975481:WMD975481 WVL975481:WVZ975481 D1041017:R1041017 IZ1041017:JN1041017 SV1041017:TJ1041017 ACR1041017:ADF1041017 AMN1041017:ANB1041017 AWJ1041017:AWX1041017 BGF1041017:BGT1041017 BQB1041017:BQP1041017 BZX1041017:CAL1041017 CJT1041017:CKH1041017 CTP1041017:CUD1041017 DDL1041017:DDZ1041017 DNH1041017:DNV1041017 DXD1041017:DXR1041017 EGZ1041017:EHN1041017 EQV1041017:ERJ1041017 FAR1041017:FBF1041017 FKN1041017:FLB1041017 FUJ1041017:FUX1041017 GEF1041017:GET1041017 GOB1041017:GOP1041017 GXX1041017:GYL1041017 HHT1041017:HIH1041017 HRP1041017:HSD1041017 IBL1041017:IBZ1041017 ILH1041017:ILV1041017 IVD1041017:IVR1041017 JEZ1041017:JFN1041017 JOV1041017:JPJ1041017 JYR1041017:JZF1041017 KIN1041017:KJB1041017 KSJ1041017:KSX1041017 LCF1041017:LCT1041017 LMB1041017:LMP1041017 LVX1041017:LWL1041017 MFT1041017:MGH1041017 MPP1041017:MQD1041017 MZL1041017:MZZ1041017 NJH1041017:NJV1041017 NTD1041017:NTR1041017 OCZ1041017:ODN1041017 OMV1041017:ONJ1041017 OWR1041017:OXF1041017 PGN1041017:PHB1041017 PQJ1041017:PQX1041017 QAF1041017:QAT1041017 QKB1041017:QKP1041017 QTX1041017:QUL1041017 RDT1041017:REH1041017 RNP1041017:ROD1041017 RXL1041017:RXZ1041017 SHH1041017:SHV1041017 SRD1041017:SRR1041017 TAZ1041017:TBN1041017 TKV1041017:TLJ1041017 TUR1041017:TVF1041017 UEN1041017:UFB1041017 UOJ1041017:UOX1041017 UYF1041017:UYT1041017 VIB1041017:VIP1041017 VRX1041017:VSL1041017 WBT1041017:WCH1041017 WLP1041017:WMD1041017 WVL1041017:WVZ1041017 GV57977:HJ57977 QR57977:RF57977 AAN57977:ABB57977 AKJ57977:AKX57977 AUF57977:AUT57977 BEB57977:BEP57977 BNX57977:BOL57977 BXT57977:BYH57977 CHP57977:CID57977 CRL57977:CRZ57977 DBH57977:DBV57977 DLD57977:DLR57977 DUZ57977:DVN57977 EEV57977:EFJ57977 EOR57977:EPF57977 EYN57977:EZB57977 FIJ57977:FIX57977 FSF57977:FST57977 GCB57977:GCP57977 GLX57977:GML57977 GVT57977:GWH57977 HFP57977:HGD57977 HPL57977:HPZ57977 HZH57977:HZV57977 IJD57977:IJR57977 ISZ57977:ITN57977 JCV57977:JDJ57977 JMR57977:JNF57977 JWN57977:JXB57977 KGJ57977:KGX57977 KQF57977:KQT57977 LAB57977:LAP57977 LJX57977:LKL57977 LTT57977:LUH57977 MDP57977:MED57977 MNL57977:MNZ57977 MXH57977:MXV57977 NHD57977:NHR57977 NQZ57977:NRN57977 OAV57977:OBJ57977 OKR57977:OLF57977 OUN57977:OVB57977 PEJ57977:PEX57977 POF57977:POT57977 PYB57977:PYP57977 QHX57977:QIL57977 QRT57977:QSH57977 RBP57977:RCD57977 RLL57977:RLZ57977 RVH57977:RVV57977 SFD57977:SFR57977 SOZ57977:SPN57977 SYV57977:SZJ57977 TIR57977:TJF57977 TSN57977:TTB57977 UCJ57977:UCX57977 UMF57977:UMT57977 UWB57977:UWP57977 VFX57977:VGL57977 VPT57977:VQH57977 VZP57977:WAD57977 WJL57977:WJZ57977 WTH57977:WTV57977 XDD57977:XDR57977 GV123513:HJ123513 QR123513:RF123513 AAN123513:ABB123513 AKJ123513:AKX123513 AUF123513:AUT123513 BEB123513:BEP123513 BNX123513:BOL123513 BXT123513:BYH123513 CHP123513:CID123513 CRL123513:CRZ123513 DBH123513:DBV123513 DLD123513:DLR123513 DUZ123513:DVN123513 EEV123513:EFJ123513 EOR123513:EPF123513 EYN123513:EZB123513 FIJ123513:FIX123513 FSF123513:FST123513 GCB123513:GCP123513 GLX123513:GML123513 GVT123513:GWH123513 HFP123513:HGD123513 HPL123513:HPZ123513 HZH123513:HZV123513 IJD123513:IJR123513 ISZ123513:ITN123513 JCV123513:JDJ123513 JMR123513:JNF123513 JWN123513:JXB123513 KGJ123513:KGX123513 KQF123513:KQT123513 LAB123513:LAP123513 LJX123513:LKL123513 LTT123513:LUH123513 MDP123513:MED123513 MNL123513:MNZ123513 MXH123513:MXV123513 NHD123513:NHR123513 NQZ123513:NRN123513 OAV123513:OBJ123513 OKR123513:OLF123513 OUN123513:OVB123513 PEJ123513:PEX123513 POF123513:POT123513 PYB123513:PYP123513 QHX123513:QIL123513 QRT123513:QSH123513 RBP123513:RCD123513 RLL123513:RLZ123513 RVH123513:RVV123513 SFD123513:SFR123513 SOZ123513:SPN123513 SYV123513:SZJ123513 TIR123513:TJF123513 TSN123513:TTB123513 UCJ123513:UCX123513 UMF123513:UMT123513 UWB123513:UWP123513 VFX123513:VGL123513 VPT123513:VQH123513 VZP123513:WAD123513 WJL123513:WJZ123513 WTH123513:WTV123513 XDD123513:XDR123513 GV189049:HJ189049 QR189049:RF189049 AAN189049:ABB189049 AKJ189049:AKX189049 AUF189049:AUT189049 BEB189049:BEP189049 BNX189049:BOL189049 BXT189049:BYH189049 CHP189049:CID189049 CRL189049:CRZ189049 DBH189049:DBV189049 DLD189049:DLR189049 DUZ189049:DVN189049 EEV189049:EFJ189049 EOR189049:EPF189049 EYN189049:EZB189049 FIJ189049:FIX189049 FSF189049:FST189049 GCB189049:GCP189049 GLX189049:GML189049 GVT189049:GWH189049 HFP189049:HGD189049 HPL189049:HPZ189049 HZH189049:HZV189049 IJD189049:IJR189049 ISZ189049:ITN189049 JCV189049:JDJ189049 JMR189049:JNF189049 JWN189049:JXB189049 KGJ189049:KGX189049 KQF189049:KQT189049 LAB189049:LAP189049 LJX189049:LKL189049 LTT189049:LUH189049 MDP189049:MED189049 MNL189049:MNZ189049 MXH189049:MXV189049 NHD189049:NHR189049 NQZ189049:NRN189049 OAV189049:OBJ189049 OKR189049:OLF189049 OUN189049:OVB189049 PEJ189049:PEX189049 POF189049:POT189049 PYB189049:PYP189049 QHX189049:QIL189049 QRT189049:QSH189049 RBP189049:RCD189049 RLL189049:RLZ189049 RVH189049:RVV189049 SFD189049:SFR189049 SOZ189049:SPN189049 SYV189049:SZJ189049 TIR189049:TJF189049 TSN189049:TTB189049 UCJ189049:UCX189049 UMF189049:UMT189049 UWB189049:UWP189049 VFX189049:VGL189049 VPT189049:VQH189049 VZP189049:WAD189049 WJL189049:WJZ189049 WTH189049:WTV189049 XDD189049:XDR189049 GV254585:HJ254585 QR254585:RF254585 AAN254585:ABB254585 AKJ254585:AKX254585 AUF254585:AUT254585 BEB254585:BEP254585 BNX254585:BOL254585 BXT254585:BYH254585 CHP254585:CID254585 CRL254585:CRZ254585 DBH254585:DBV254585 DLD254585:DLR254585 DUZ254585:DVN254585 EEV254585:EFJ254585 EOR254585:EPF254585 EYN254585:EZB254585 FIJ254585:FIX254585 FSF254585:FST254585 GCB254585:GCP254585 GLX254585:GML254585 GVT254585:GWH254585 HFP254585:HGD254585 HPL254585:HPZ254585 HZH254585:HZV254585 IJD254585:IJR254585 ISZ254585:ITN254585 JCV254585:JDJ254585 JMR254585:JNF254585 JWN254585:JXB254585 KGJ254585:KGX254585 KQF254585:KQT254585 LAB254585:LAP254585 LJX254585:LKL254585 LTT254585:LUH254585 MDP254585:MED254585 MNL254585:MNZ254585 MXH254585:MXV254585 NHD254585:NHR254585 NQZ254585:NRN254585 OAV254585:OBJ254585 OKR254585:OLF254585 OUN254585:OVB254585 PEJ254585:PEX254585 POF254585:POT254585 PYB254585:PYP254585 QHX254585:QIL254585 QRT254585:QSH254585 RBP254585:RCD254585 RLL254585:RLZ254585 RVH254585:RVV254585 SFD254585:SFR254585 SOZ254585:SPN254585 SYV254585:SZJ254585 TIR254585:TJF254585 TSN254585:TTB254585 UCJ254585:UCX254585 UMF254585:UMT254585 UWB254585:UWP254585 VFX254585:VGL254585 VPT254585:VQH254585 VZP254585:WAD254585 WJL254585:WJZ254585 WTH254585:WTV254585 XDD254585:XDR254585 GV320121:HJ320121 QR320121:RF320121 AAN320121:ABB320121 AKJ320121:AKX320121 AUF320121:AUT320121 BEB320121:BEP320121 BNX320121:BOL320121 BXT320121:BYH320121 CHP320121:CID320121 CRL320121:CRZ320121 DBH320121:DBV320121 DLD320121:DLR320121 DUZ320121:DVN320121 EEV320121:EFJ320121 EOR320121:EPF320121 EYN320121:EZB320121 FIJ320121:FIX320121 FSF320121:FST320121 GCB320121:GCP320121 GLX320121:GML320121 GVT320121:GWH320121 HFP320121:HGD320121 HPL320121:HPZ320121 HZH320121:HZV320121 IJD320121:IJR320121 ISZ320121:ITN320121 JCV320121:JDJ320121 JMR320121:JNF320121 JWN320121:JXB320121 KGJ320121:KGX320121 KQF320121:KQT320121 LAB320121:LAP320121 LJX320121:LKL320121 LTT320121:LUH320121 MDP320121:MED320121 MNL320121:MNZ320121 MXH320121:MXV320121 NHD320121:NHR320121 NQZ320121:NRN320121 OAV320121:OBJ320121 OKR320121:OLF320121 OUN320121:OVB320121 PEJ320121:PEX320121 POF320121:POT320121 PYB320121:PYP320121 QHX320121:QIL320121 QRT320121:QSH320121 RBP320121:RCD320121 RLL320121:RLZ320121 RVH320121:RVV320121 SFD320121:SFR320121 SOZ320121:SPN320121 SYV320121:SZJ320121 TIR320121:TJF320121 TSN320121:TTB320121 UCJ320121:UCX320121 UMF320121:UMT320121 UWB320121:UWP320121 VFX320121:VGL320121 VPT320121:VQH320121 VZP320121:WAD320121 WJL320121:WJZ320121 WTH320121:WTV320121 XDD320121:XDR320121 GV385657:HJ385657 QR385657:RF385657 AAN385657:ABB385657 AKJ385657:AKX385657 AUF385657:AUT385657 BEB385657:BEP385657 BNX385657:BOL385657 BXT385657:BYH385657 CHP385657:CID385657 CRL385657:CRZ385657 DBH385657:DBV385657 DLD385657:DLR385657 DUZ385657:DVN385657 EEV385657:EFJ385657 EOR385657:EPF385657 EYN385657:EZB385657 FIJ385657:FIX385657 FSF385657:FST385657 GCB385657:GCP385657 GLX385657:GML385657 GVT385657:GWH385657 HFP385657:HGD385657 HPL385657:HPZ385657 HZH385657:HZV385657 IJD385657:IJR385657 ISZ385657:ITN385657 JCV385657:JDJ385657 JMR385657:JNF385657 JWN385657:JXB385657 KGJ385657:KGX385657 KQF385657:KQT385657 LAB385657:LAP385657 LJX385657:LKL385657 LTT385657:LUH385657 MDP385657:MED385657 MNL385657:MNZ385657 MXH385657:MXV385657 NHD385657:NHR385657 NQZ385657:NRN385657 OAV385657:OBJ385657 OKR385657:OLF385657 OUN385657:OVB385657 PEJ385657:PEX385657 POF385657:POT385657 PYB385657:PYP385657 QHX385657:QIL385657 QRT385657:QSH385657 RBP385657:RCD385657 RLL385657:RLZ385657 RVH385657:RVV385657 SFD385657:SFR385657 SOZ385657:SPN385657 SYV385657:SZJ385657 TIR385657:TJF385657 TSN385657:TTB385657 UCJ385657:UCX385657 UMF385657:UMT385657 UWB385657:UWP385657 VFX385657:VGL385657 VPT385657:VQH385657 VZP385657:WAD385657 WJL385657:WJZ385657 WTH385657:WTV385657 XDD385657:XDR385657 GV451193:HJ451193 QR451193:RF451193 AAN451193:ABB451193 AKJ451193:AKX451193 AUF451193:AUT451193 BEB451193:BEP451193 BNX451193:BOL451193 BXT451193:BYH451193 CHP451193:CID451193 CRL451193:CRZ451193 DBH451193:DBV451193 DLD451193:DLR451193 DUZ451193:DVN451193 EEV451193:EFJ451193 EOR451193:EPF451193 EYN451193:EZB451193 FIJ451193:FIX451193 FSF451193:FST451193 GCB451193:GCP451193 GLX451193:GML451193 GVT451193:GWH451193 HFP451193:HGD451193 HPL451193:HPZ451193 HZH451193:HZV451193 IJD451193:IJR451193 ISZ451193:ITN451193 JCV451193:JDJ451193 JMR451193:JNF451193 JWN451193:JXB451193 KGJ451193:KGX451193 KQF451193:KQT451193 LAB451193:LAP451193 LJX451193:LKL451193 LTT451193:LUH451193 MDP451193:MED451193 MNL451193:MNZ451193 MXH451193:MXV451193 NHD451193:NHR451193 NQZ451193:NRN451193 OAV451193:OBJ451193 OKR451193:OLF451193 OUN451193:OVB451193 PEJ451193:PEX451193 POF451193:POT451193 PYB451193:PYP451193 QHX451193:QIL451193 QRT451193:QSH451193 RBP451193:RCD451193 RLL451193:RLZ451193 RVH451193:RVV451193 SFD451193:SFR451193 SOZ451193:SPN451193 SYV451193:SZJ451193 TIR451193:TJF451193 TSN451193:TTB451193 UCJ451193:UCX451193 UMF451193:UMT451193 UWB451193:UWP451193 VFX451193:VGL451193 VPT451193:VQH451193 VZP451193:WAD451193 WJL451193:WJZ451193 WTH451193:WTV451193 XDD451193:XDR451193 GV516729:HJ516729 QR516729:RF516729 AAN516729:ABB516729 AKJ516729:AKX516729 AUF516729:AUT516729 BEB516729:BEP516729 BNX516729:BOL516729 BXT516729:BYH516729 CHP516729:CID516729 CRL516729:CRZ516729 DBH516729:DBV516729 DLD516729:DLR516729 DUZ516729:DVN516729 EEV516729:EFJ516729 EOR516729:EPF516729 EYN516729:EZB516729 FIJ516729:FIX516729 FSF516729:FST516729 GCB516729:GCP516729 GLX516729:GML516729 GVT516729:GWH516729 HFP516729:HGD516729 HPL516729:HPZ516729 HZH516729:HZV516729 IJD516729:IJR516729 ISZ516729:ITN516729 JCV516729:JDJ516729 JMR516729:JNF516729 JWN516729:JXB516729 KGJ516729:KGX516729 KQF516729:KQT516729 LAB516729:LAP516729 LJX516729:LKL516729 LTT516729:LUH516729 MDP516729:MED516729 MNL516729:MNZ516729 MXH516729:MXV516729 NHD516729:NHR516729 NQZ516729:NRN516729 OAV516729:OBJ516729 OKR516729:OLF516729 OUN516729:OVB516729 PEJ516729:PEX516729 POF516729:POT516729 PYB516729:PYP516729 QHX516729:QIL516729 QRT516729:QSH516729 RBP516729:RCD516729 RLL516729:RLZ516729 RVH516729:RVV516729 SFD516729:SFR516729 SOZ516729:SPN516729 SYV516729:SZJ516729 TIR516729:TJF516729 TSN516729:TTB516729 UCJ516729:UCX516729 UMF516729:UMT516729 UWB516729:UWP516729 VFX516729:VGL516729 VPT516729:VQH516729 VZP516729:WAD516729 WJL516729:WJZ516729 WTH516729:WTV516729 XDD516729:XDR516729 GV582265:HJ582265 QR582265:RF582265 AAN582265:ABB582265 AKJ582265:AKX582265 AUF582265:AUT582265 BEB582265:BEP582265 BNX582265:BOL582265 BXT582265:BYH582265 CHP582265:CID582265 CRL582265:CRZ582265 DBH582265:DBV582265 DLD582265:DLR582265 DUZ582265:DVN582265 EEV582265:EFJ582265 EOR582265:EPF582265 EYN582265:EZB582265 FIJ582265:FIX582265 FSF582265:FST582265 GCB582265:GCP582265 GLX582265:GML582265 GVT582265:GWH582265 HFP582265:HGD582265 HPL582265:HPZ582265 HZH582265:HZV582265 IJD582265:IJR582265 ISZ582265:ITN582265 JCV582265:JDJ582265 JMR582265:JNF582265 JWN582265:JXB582265 KGJ582265:KGX582265 KQF582265:KQT582265 LAB582265:LAP582265 LJX582265:LKL582265 LTT582265:LUH582265 MDP582265:MED582265 MNL582265:MNZ582265 MXH582265:MXV582265 NHD582265:NHR582265 NQZ582265:NRN582265 OAV582265:OBJ582265 OKR582265:OLF582265 OUN582265:OVB582265 PEJ582265:PEX582265 POF582265:POT582265 PYB582265:PYP582265 QHX582265:QIL582265 QRT582265:QSH582265 RBP582265:RCD582265 RLL582265:RLZ582265 RVH582265:RVV582265 SFD582265:SFR582265 SOZ582265:SPN582265 SYV582265:SZJ582265 TIR582265:TJF582265 TSN582265:TTB582265 UCJ582265:UCX582265 UMF582265:UMT582265 UWB582265:UWP582265 VFX582265:VGL582265 VPT582265:VQH582265 VZP582265:WAD582265 WJL582265:WJZ582265 WTH582265:WTV582265 XDD582265:XDR582265 GV647801:HJ647801 QR647801:RF647801 AAN647801:ABB647801 AKJ647801:AKX647801 AUF647801:AUT647801 BEB647801:BEP647801 BNX647801:BOL647801 BXT647801:BYH647801 CHP647801:CID647801 CRL647801:CRZ647801 DBH647801:DBV647801 DLD647801:DLR647801 DUZ647801:DVN647801 EEV647801:EFJ647801 EOR647801:EPF647801 EYN647801:EZB647801 FIJ647801:FIX647801 FSF647801:FST647801 GCB647801:GCP647801 GLX647801:GML647801 GVT647801:GWH647801 HFP647801:HGD647801 HPL647801:HPZ647801 HZH647801:HZV647801 IJD647801:IJR647801 ISZ647801:ITN647801 JCV647801:JDJ647801 JMR647801:JNF647801 JWN647801:JXB647801 KGJ647801:KGX647801 KQF647801:KQT647801 LAB647801:LAP647801 LJX647801:LKL647801 LTT647801:LUH647801 MDP647801:MED647801 MNL647801:MNZ647801 MXH647801:MXV647801 NHD647801:NHR647801 NQZ647801:NRN647801 OAV647801:OBJ647801 OKR647801:OLF647801 OUN647801:OVB647801 PEJ647801:PEX647801 POF647801:POT647801 PYB647801:PYP647801 QHX647801:QIL647801 QRT647801:QSH647801 RBP647801:RCD647801 RLL647801:RLZ647801 RVH647801:RVV647801 SFD647801:SFR647801 SOZ647801:SPN647801 SYV647801:SZJ647801 TIR647801:TJF647801 TSN647801:TTB647801 UCJ647801:UCX647801 UMF647801:UMT647801 UWB647801:UWP647801 VFX647801:VGL647801 VPT647801:VQH647801 VZP647801:WAD647801 WJL647801:WJZ647801 WTH647801:WTV647801 XDD647801:XDR647801 GV713337:HJ713337 QR713337:RF713337 AAN713337:ABB713337 AKJ713337:AKX713337 AUF713337:AUT713337 BEB713337:BEP713337 BNX713337:BOL713337 BXT713337:BYH713337 CHP713337:CID713337 CRL713337:CRZ713337 DBH713337:DBV713337 DLD713337:DLR713337 DUZ713337:DVN713337 EEV713337:EFJ713337 EOR713337:EPF713337 EYN713337:EZB713337 FIJ713337:FIX713337 FSF713337:FST713337 GCB713337:GCP713337 GLX713337:GML713337 GVT713337:GWH713337 HFP713337:HGD713337 HPL713337:HPZ713337 HZH713337:HZV713337 IJD713337:IJR713337 ISZ713337:ITN713337 JCV713337:JDJ713337 JMR713337:JNF713337 JWN713337:JXB713337 KGJ713337:KGX713337 KQF713337:KQT713337 LAB713337:LAP713337 LJX713337:LKL713337 LTT713337:LUH713337 MDP713337:MED713337 MNL713337:MNZ713337 MXH713337:MXV713337 NHD713337:NHR713337 NQZ713337:NRN713337 OAV713337:OBJ713337 OKR713337:OLF713337 OUN713337:OVB713337 PEJ713337:PEX713337 POF713337:POT713337 PYB713337:PYP713337 QHX713337:QIL713337 QRT713337:QSH713337 RBP713337:RCD713337 RLL713337:RLZ713337 RVH713337:RVV713337 SFD713337:SFR713337 SOZ713337:SPN713337 SYV713337:SZJ713337 TIR713337:TJF713337 TSN713337:TTB713337 UCJ713337:UCX713337 UMF713337:UMT713337 UWB713337:UWP713337 VFX713337:VGL713337 VPT713337:VQH713337 VZP713337:WAD713337 WJL713337:WJZ713337 WTH713337:WTV713337 XDD713337:XDR713337 GV778873:HJ778873 QR778873:RF778873 AAN778873:ABB778873 AKJ778873:AKX778873 AUF778873:AUT778873 BEB778873:BEP778873 BNX778873:BOL778873 BXT778873:BYH778873 CHP778873:CID778873 CRL778873:CRZ778873 DBH778873:DBV778873 DLD778873:DLR778873 DUZ778873:DVN778873 EEV778873:EFJ778873 EOR778873:EPF778873 EYN778873:EZB778873 FIJ778873:FIX778873 FSF778873:FST778873 GCB778873:GCP778873 GLX778873:GML778873 GVT778873:GWH778873 HFP778873:HGD778873 HPL778873:HPZ778873 HZH778873:HZV778873 IJD778873:IJR778873 ISZ778873:ITN778873 JCV778873:JDJ778873 JMR778873:JNF778873 JWN778873:JXB778873 KGJ778873:KGX778873 KQF778873:KQT778873 LAB778873:LAP778873 LJX778873:LKL778873 LTT778873:LUH778873 MDP778873:MED778873 MNL778873:MNZ778873 MXH778873:MXV778873 NHD778873:NHR778873 NQZ778873:NRN778873 OAV778873:OBJ778873 OKR778873:OLF778873 OUN778873:OVB778873 PEJ778873:PEX778873 POF778873:POT778873 PYB778873:PYP778873 QHX778873:QIL778873 QRT778873:QSH778873 RBP778873:RCD778873 RLL778873:RLZ778873 RVH778873:RVV778873 SFD778873:SFR778873 SOZ778873:SPN778873 SYV778873:SZJ778873 TIR778873:TJF778873 TSN778873:TTB778873 UCJ778873:UCX778873 UMF778873:UMT778873 UWB778873:UWP778873 VFX778873:VGL778873 VPT778873:VQH778873 VZP778873:WAD778873 WJL778873:WJZ778873 WTH778873:WTV778873 XDD778873:XDR778873 GV844409:HJ844409 QR844409:RF844409 AAN844409:ABB844409 AKJ844409:AKX844409 AUF844409:AUT844409 BEB844409:BEP844409 BNX844409:BOL844409 BXT844409:BYH844409 CHP844409:CID844409 CRL844409:CRZ844409 DBH844409:DBV844409 DLD844409:DLR844409 DUZ844409:DVN844409 EEV844409:EFJ844409 EOR844409:EPF844409 EYN844409:EZB844409 FIJ844409:FIX844409 FSF844409:FST844409 GCB844409:GCP844409 GLX844409:GML844409 GVT844409:GWH844409 HFP844409:HGD844409 HPL844409:HPZ844409 HZH844409:HZV844409 IJD844409:IJR844409 ISZ844409:ITN844409 JCV844409:JDJ844409 JMR844409:JNF844409 JWN844409:JXB844409 KGJ844409:KGX844409 KQF844409:KQT844409 LAB844409:LAP844409 LJX844409:LKL844409 LTT844409:LUH844409 MDP844409:MED844409 MNL844409:MNZ844409 MXH844409:MXV844409 NHD844409:NHR844409 NQZ844409:NRN844409 OAV844409:OBJ844409 OKR844409:OLF844409 OUN844409:OVB844409 PEJ844409:PEX844409 POF844409:POT844409 PYB844409:PYP844409 QHX844409:QIL844409 QRT844409:QSH844409 RBP844409:RCD844409 RLL844409:RLZ844409 RVH844409:RVV844409 SFD844409:SFR844409 SOZ844409:SPN844409 SYV844409:SZJ844409 TIR844409:TJF844409 TSN844409:TTB844409 UCJ844409:UCX844409 UMF844409:UMT844409 UWB844409:UWP844409 VFX844409:VGL844409 VPT844409:VQH844409 VZP844409:WAD844409 WJL844409:WJZ844409 WTH844409:WTV844409 XDD844409:XDR844409 GV909945:HJ909945 QR909945:RF909945 AAN909945:ABB909945 AKJ909945:AKX909945 AUF909945:AUT909945 BEB909945:BEP909945 BNX909945:BOL909945 BXT909945:BYH909945 CHP909945:CID909945 CRL909945:CRZ909945 DBH909945:DBV909945 DLD909945:DLR909945 DUZ909945:DVN909945 EEV909945:EFJ909945 EOR909945:EPF909945 EYN909945:EZB909945 FIJ909945:FIX909945 FSF909945:FST909945 GCB909945:GCP909945 GLX909945:GML909945 GVT909945:GWH909945 HFP909945:HGD909945 HPL909945:HPZ909945 HZH909945:HZV909945 IJD909945:IJR909945 ISZ909945:ITN909945 JCV909945:JDJ909945 JMR909945:JNF909945 JWN909945:JXB909945 KGJ909945:KGX909945 KQF909945:KQT909945 LAB909945:LAP909945 LJX909945:LKL909945 LTT909945:LUH909945 MDP909945:MED909945 MNL909945:MNZ909945 MXH909945:MXV909945 NHD909945:NHR909945 NQZ909945:NRN909945 OAV909945:OBJ909945 OKR909945:OLF909945 OUN909945:OVB909945 PEJ909945:PEX909945 POF909945:POT909945 PYB909945:PYP909945 QHX909945:QIL909945 QRT909945:QSH909945 RBP909945:RCD909945 RLL909945:RLZ909945 RVH909945:RVV909945 SFD909945:SFR909945 SOZ909945:SPN909945 SYV909945:SZJ909945 TIR909945:TJF909945 TSN909945:TTB909945 UCJ909945:UCX909945 UMF909945:UMT909945 UWB909945:UWP909945 VFX909945:VGL909945 VPT909945:VQH909945 VZP909945:WAD909945 WJL909945:WJZ909945 WTH909945:WTV909945 XDD909945:XDR909945 GV975481:HJ975481 QR975481:RF975481 AAN975481:ABB975481 AKJ975481:AKX975481 AUF975481:AUT975481 BEB975481:BEP975481 BNX975481:BOL975481 BXT975481:BYH975481 CHP975481:CID975481 CRL975481:CRZ975481 DBH975481:DBV975481 DLD975481:DLR975481 DUZ975481:DVN975481 EEV975481:EFJ975481 EOR975481:EPF975481 EYN975481:EZB975481 FIJ975481:FIX975481 FSF975481:FST975481 GCB975481:GCP975481 GLX975481:GML975481 GVT975481:GWH975481 HFP975481:HGD975481 HPL975481:HPZ975481 HZH975481:HZV975481 IJD975481:IJR975481 ISZ975481:ITN975481 JCV975481:JDJ975481 JMR975481:JNF975481 JWN975481:JXB975481 KGJ975481:KGX975481 KQF975481:KQT975481 LAB975481:LAP975481 LJX975481:LKL975481 LTT975481:LUH975481 MDP975481:MED975481 MNL975481:MNZ975481 MXH975481:MXV975481 NHD975481:NHR975481 NQZ975481:NRN975481 OAV975481:OBJ975481 OKR975481:OLF975481 OUN975481:OVB975481 PEJ975481:PEX975481 POF975481:POT975481 PYB975481:PYP975481 QHX975481:QIL975481 QRT975481:QSH975481 RBP975481:RCD975481 RLL975481:RLZ975481 RVH975481:RVV975481 SFD975481:SFR975481 SOZ975481:SPN975481 SYV975481:SZJ975481 TIR975481:TJF975481 TSN975481:TTB975481 UCJ975481:UCX975481 UMF975481:UMT975481 UWB975481:UWP975481 VFX975481:VGL975481 VPT975481:VQH975481 VZP975481:WAD975481 WJL975481:WJZ975481 WTH975481:WTV975481 XDD975481:XDR975481 GV1041017:HJ1041017 QR1041017:RF1041017 AAN1041017:ABB1041017 AKJ1041017:AKX1041017 AUF1041017:AUT1041017 BEB1041017:BEP1041017 BNX1041017:BOL1041017 BXT1041017:BYH1041017 CHP1041017:CID1041017 CRL1041017:CRZ1041017 DBH1041017:DBV1041017 DLD1041017:DLR1041017 DUZ1041017:DVN1041017 EEV1041017:EFJ1041017 EOR1041017:EPF1041017 EYN1041017:EZB1041017 FIJ1041017:FIX1041017 FSF1041017:FST1041017 GCB1041017:GCP1041017 GLX1041017:GML1041017 GVT1041017:GWH1041017 HFP1041017:HGD1041017 HPL1041017:HPZ1041017 HZH1041017:HZV1041017 IJD1041017:IJR1041017 ISZ1041017:ITN1041017 JCV1041017:JDJ1041017 JMR1041017:JNF1041017 JWN1041017:JXB1041017 KGJ1041017:KGX1041017 KQF1041017:KQT1041017 LAB1041017:LAP1041017 LJX1041017:LKL1041017 LTT1041017:LUH1041017 MDP1041017:MED1041017 MNL1041017:MNZ1041017 MXH1041017:MXV1041017 NHD1041017:NHR1041017 NQZ1041017:NRN1041017 OAV1041017:OBJ1041017 OKR1041017:OLF1041017 OUN1041017:OVB1041017 PEJ1041017:PEX1041017 POF1041017:POT1041017 PYB1041017:PYP1041017 QHX1041017:QIL1041017 QRT1041017:QSH1041017 RBP1041017:RCD1041017 RLL1041017:RLZ1041017 RVH1041017:RVV1041017 SFD1041017:SFR1041017 SOZ1041017:SPN1041017 SYV1041017:SZJ1041017 TIR1041017:TJF1041017 TSN1041017:TTB1041017 UCJ1041017:UCX1041017 UMF1041017:UMT1041017 UWB1041017:UWP1041017 VFX1041017:VGL1041017 VPT1041017:VQH1041017 VZP1041017:WAD1041017 WJL1041017:WJZ1041017 WTH1041017:WTV1041017 XDD1041017:XDR1041017" xr:uid="{C94C9D41-F5E6-49F9-AFE7-6E6CC084673B}">
      <formula1>"Monthly,Quarterly,Semi-Annual,Annual"</formula1>
    </dataValidation>
    <dataValidation type="list" errorStyle="information" showInputMessage="1" showErrorMessage="1" sqref="B1 IX1 ST1 ACP1 AML1 AWH1 BGD1 BPZ1 BZV1 CJR1 CTN1 DDJ1 DNF1 DXB1 EGX1 EQT1 FAP1 FKL1 FUH1 GED1 GNZ1 GXV1 HHR1 HRN1 IBJ1 ILF1 IVB1 JEX1 JOT1 JYP1 KIL1 KSH1 LCD1 LLZ1 LVV1 MFR1 MPN1 MZJ1 NJF1 NTB1 OCX1 OMT1 OWP1 PGL1 PQH1 QAD1 QJZ1 QTV1 RDR1 RNN1 RXJ1 SHF1 SRB1 TAX1 TKT1 TUP1 UEL1 UOH1 UYD1 VHZ1 VRV1 WBR1 WLN1 WVJ1 B65537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B131073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B196609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B262145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B327681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B393217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B458753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B524289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B589825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B655361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B720897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B786433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B851969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B917505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B983041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GT1 QP1 AAL1 AKH1 AUD1 BDZ1 BNV1 BXR1 CHN1 CRJ1 DBF1 DLB1 DUX1 EET1 EOP1 EYL1 FIH1 FSD1 GBZ1 GLV1 GVR1 HFN1 HPJ1 HZF1 IJB1 ISX1 JCT1 JMP1 JWL1 KGH1 KQD1 KZZ1 LJV1 LTR1 MDN1 MNJ1 MXF1 NHB1 NQX1 OAT1 OKP1 OUL1 PEH1 POD1 PXZ1 QHV1 QRR1 RBN1 RLJ1 RVF1 SFB1 SOX1 SYT1 TIP1 TSL1 UCH1 UMD1 UVZ1 VFV1 VPR1 VZN1 WJJ1 WTF1 XDB1 GT65537 QP65537 AAL65537 AKH65537 AUD65537 BDZ65537 BNV65537 BXR65537 CHN65537 CRJ65537 DBF65537 DLB65537 DUX65537 EET65537 EOP65537 EYL65537 FIH65537 FSD65537 GBZ65537 GLV65537 GVR65537 HFN65537 HPJ65537 HZF65537 IJB65537 ISX65537 JCT65537 JMP65537 JWL65537 KGH65537 KQD65537 KZZ65537 LJV65537 LTR65537 MDN65537 MNJ65537 MXF65537 NHB65537 NQX65537 OAT65537 OKP65537 OUL65537 PEH65537 POD65537 PXZ65537 QHV65537 QRR65537 RBN65537 RLJ65537 RVF65537 SFB65537 SOX65537 SYT65537 TIP65537 TSL65537 UCH65537 UMD65537 UVZ65537 VFV65537 VPR65537 VZN65537 WJJ65537 WTF65537 XDB65537 GT131073 QP131073 AAL131073 AKH131073 AUD131073 BDZ131073 BNV131073 BXR131073 CHN131073 CRJ131073 DBF131073 DLB131073 DUX131073 EET131073 EOP131073 EYL131073 FIH131073 FSD131073 GBZ131073 GLV131073 GVR131073 HFN131073 HPJ131073 HZF131073 IJB131073 ISX131073 JCT131073 JMP131073 JWL131073 KGH131073 KQD131073 KZZ131073 LJV131073 LTR131073 MDN131073 MNJ131073 MXF131073 NHB131073 NQX131073 OAT131073 OKP131073 OUL131073 PEH131073 POD131073 PXZ131073 QHV131073 QRR131073 RBN131073 RLJ131073 RVF131073 SFB131073 SOX131073 SYT131073 TIP131073 TSL131073 UCH131073 UMD131073 UVZ131073 VFV131073 VPR131073 VZN131073 WJJ131073 WTF131073 XDB131073 GT196609 QP196609 AAL196609 AKH196609 AUD196609 BDZ196609 BNV196609 BXR196609 CHN196609 CRJ196609 DBF196609 DLB196609 DUX196609 EET196609 EOP196609 EYL196609 FIH196609 FSD196609 GBZ196609 GLV196609 GVR196609 HFN196609 HPJ196609 HZF196609 IJB196609 ISX196609 JCT196609 JMP196609 JWL196609 KGH196609 KQD196609 KZZ196609 LJV196609 LTR196609 MDN196609 MNJ196609 MXF196609 NHB196609 NQX196609 OAT196609 OKP196609 OUL196609 PEH196609 POD196609 PXZ196609 QHV196609 QRR196609 RBN196609 RLJ196609 RVF196609 SFB196609 SOX196609 SYT196609 TIP196609 TSL196609 UCH196609 UMD196609 UVZ196609 VFV196609 VPR196609 VZN196609 WJJ196609 WTF196609 XDB196609 GT262145 QP262145 AAL262145 AKH262145 AUD262145 BDZ262145 BNV262145 BXR262145 CHN262145 CRJ262145 DBF262145 DLB262145 DUX262145 EET262145 EOP262145 EYL262145 FIH262145 FSD262145 GBZ262145 GLV262145 GVR262145 HFN262145 HPJ262145 HZF262145 IJB262145 ISX262145 JCT262145 JMP262145 JWL262145 KGH262145 KQD262145 KZZ262145 LJV262145 LTR262145 MDN262145 MNJ262145 MXF262145 NHB262145 NQX262145 OAT262145 OKP262145 OUL262145 PEH262145 POD262145 PXZ262145 QHV262145 QRR262145 RBN262145 RLJ262145 RVF262145 SFB262145 SOX262145 SYT262145 TIP262145 TSL262145 UCH262145 UMD262145 UVZ262145 VFV262145 VPR262145 VZN262145 WJJ262145 WTF262145 XDB262145 GT327681 QP327681 AAL327681 AKH327681 AUD327681 BDZ327681 BNV327681 BXR327681 CHN327681 CRJ327681 DBF327681 DLB327681 DUX327681 EET327681 EOP327681 EYL327681 FIH327681 FSD327681 GBZ327681 GLV327681 GVR327681 HFN327681 HPJ327681 HZF327681 IJB327681 ISX327681 JCT327681 JMP327681 JWL327681 KGH327681 KQD327681 KZZ327681 LJV327681 LTR327681 MDN327681 MNJ327681 MXF327681 NHB327681 NQX327681 OAT327681 OKP327681 OUL327681 PEH327681 POD327681 PXZ327681 QHV327681 QRR327681 RBN327681 RLJ327681 RVF327681 SFB327681 SOX327681 SYT327681 TIP327681 TSL327681 UCH327681 UMD327681 UVZ327681 VFV327681 VPR327681 VZN327681 WJJ327681 WTF327681 XDB327681 GT393217 QP393217 AAL393217 AKH393217 AUD393217 BDZ393217 BNV393217 BXR393217 CHN393217 CRJ393217 DBF393217 DLB393217 DUX393217 EET393217 EOP393217 EYL393217 FIH393217 FSD393217 GBZ393217 GLV393217 GVR393217 HFN393217 HPJ393217 HZF393217 IJB393217 ISX393217 JCT393217 JMP393217 JWL393217 KGH393217 KQD393217 KZZ393217 LJV393217 LTR393217 MDN393217 MNJ393217 MXF393217 NHB393217 NQX393217 OAT393217 OKP393217 OUL393217 PEH393217 POD393217 PXZ393217 QHV393217 QRR393217 RBN393217 RLJ393217 RVF393217 SFB393217 SOX393217 SYT393217 TIP393217 TSL393217 UCH393217 UMD393217 UVZ393217 VFV393217 VPR393217 VZN393217 WJJ393217 WTF393217 XDB393217 GT458753 QP458753 AAL458753 AKH458753 AUD458753 BDZ458753 BNV458753 BXR458753 CHN458753 CRJ458753 DBF458753 DLB458753 DUX458753 EET458753 EOP458753 EYL458753 FIH458753 FSD458753 GBZ458753 GLV458753 GVR458753 HFN458753 HPJ458753 HZF458753 IJB458753 ISX458753 JCT458753 JMP458753 JWL458753 KGH458753 KQD458753 KZZ458753 LJV458753 LTR458753 MDN458753 MNJ458753 MXF458753 NHB458753 NQX458753 OAT458753 OKP458753 OUL458753 PEH458753 POD458753 PXZ458753 QHV458753 QRR458753 RBN458753 RLJ458753 RVF458753 SFB458753 SOX458753 SYT458753 TIP458753 TSL458753 UCH458753 UMD458753 UVZ458753 VFV458753 VPR458753 VZN458753 WJJ458753 WTF458753 XDB458753 GT524289 QP524289 AAL524289 AKH524289 AUD524289 BDZ524289 BNV524289 BXR524289 CHN524289 CRJ524289 DBF524289 DLB524289 DUX524289 EET524289 EOP524289 EYL524289 FIH524289 FSD524289 GBZ524289 GLV524289 GVR524289 HFN524289 HPJ524289 HZF524289 IJB524289 ISX524289 JCT524289 JMP524289 JWL524289 KGH524289 KQD524289 KZZ524289 LJV524289 LTR524289 MDN524289 MNJ524289 MXF524289 NHB524289 NQX524289 OAT524289 OKP524289 OUL524289 PEH524289 POD524289 PXZ524289 QHV524289 QRR524289 RBN524289 RLJ524289 RVF524289 SFB524289 SOX524289 SYT524289 TIP524289 TSL524289 UCH524289 UMD524289 UVZ524289 VFV524289 VPR524289 VZN524289 WJJ524289 WTF524289 XDB524289 GT589825 QP589825 AAL589825 AKH589825 AUD589825 BDZ589825 BNV589825 BXR589825 CHN589825 CRJ589825 DBF589825 DLB589825 DUX589825 EET589825 EOP589825 EYL589825 FIH589825 FSD589825 GBZ589825 GLV589825 GVR589825 HFN589825 HPJ589825 HZF589825 IJB589825 ISX589825 JCT589825 JMP589825 JWL589825 KGH589825 KQD589825 KZZ589825 LJV589825 LTR589825 MDN589825 MNJ589825 MXF589825 NHB589825 NQX589825 OAT589825 OKP589825 OUL589825 PEH589825 POD589825 PXZ589825 QHV589825 QRR589825 RBN589825 RLJ589825 RVF589825 SFB589825 SOX589825 SYT589825 TIP589825 TSL589825 UCH589825 UMD589825 UVZ589825 VFV589825 VPR589825 VZN589825 WJJ589825 WTF589825 XDB589825 GT655361 QP655361 AAL655361 AKH655361 AUD655361 BDZ655361 BNV655361 BXR655361 CHN655361 CRJ655361 DBF655361 DLB655361 DUX655361 EET655361 EOP655361 EYL655361 FIH655361 FSD655361 GBZ655361 GLV655361 GVR655361 HFN655361 HPJ655361 HZF655361 IJB655361 ISX655361 JCT655361 JMP655361 JWL655361 KGH655361 KQD655361 KZZ655361 LJV655361 LTR655361 MDN655361 MNJ655361 MXF655361 NHB655361 NQX655361 OAT655361 OKP655361 OUL655361 PEH655361 POD655361 PXZ655361 QHV655361 QRR655361 RBN655361 RLJ655361 RVF655361 SFB655361 SOX655361 SYT655361 TIP655361 TSL655361 UCH655361 UMD655361 UVZ655361 VFV655361 VPR655361 VZN655361 WJJ655361 WTF655361 XDB655361 GT720897 QP720897 AAL720897 AKH720897 AUD720897 BDZ720897 BNV720897 BXR720897 CHN720897 CRJ720897 DBF720897 DLB720897 DUX720897 EET720897 EOP720897 EYL720897 FIH720897 FSD720897 GBZ720897 GLV720897 GVR720897 HFN720897 HPJ720897 HZF720897 IJB720897 ISX720897 JCT720897 JMP720897 JWL720897 KGH720897 KQD720897 KZZ720897 LJV720897 LTR720897 MDN720897 MNJ720897 MXF720897 NHB720897 NQX720897 OAT720897 OKP720897 OUL720897 PEH720897 POD720897 PXZ720897 QHV720897 QRR720897 RBN720897 RLJ720897 RVF720897 SFB720897 SOX720897 SYT720897 TIP720897 TSL720897 UCH720897 UMD720897 UVZ720897 VFV720897 VPR720897 VZN720897 WJJ720897 WTF720897 XDB720897 GT786433 QP786433 AAL786433 AKH786433 AUD786433 BDZ786433 BNV786433 BXR786433 CHN786433 CRJ786433 DBF786433 DLB786433 DUX786433 EET786433 EOP786433 EYL786433 FIH786433 FSD786433 GBZ786433 GLV786433 GVR786433 HFN786433 HPJ786433 HZF786433 IJB786433 ISX786433 JCT786433 JMP786433 JWL786433 KGH786433 KQD786433 KZZ786433 LJV786433 LTR786433 MDN786433 MNJ786433 MXF786433 NHB786433 NQX786433 OAT786433 OKP786433 OUL786433 PEH786433 POD786433 PXZ786433 QHV786433 QRR786433 RBN786433 RLJ786433 RVF786433 SFB786433 SOX786433 SYT786433 TIP786433 TSL786433 UCH786433 UMD786433 UVZ786433 VFV786433 VPR786433 VZN786433 WJJ786433 WTF786433 XDB786433 GT851969 QP851969 AAL851969 AKH851969 AUD851969 BDZ851969 BNV851969 BXR851969 CHN851969 CRJ851969 DBF851969 DLB851969 DUX851969 EET851969 EOP851969 EYL851969 FIH851969 FSD851969 GBZ851969 GLV851969 GVR851969 HFN851969 HPJ851969 HZF851969 IJB851969 ISX851969 JCT851969 JMP851969 JWL851969 KGH851969 KQD851969 KZZ851969 LJV851969 LTR851969 MDN851969 MNJ851969 MXF851969 NHB851969 NQX851969 OAT851969 OKP851969 OUL851969 PEH851969 POD851969 PXZ851969 QHV851969 QRR851969 RBN851969 RLJ851969 RVF851969 SFB851969 SOX851969 SYT851969 TIP851969 TSL851969 UCH851969 UMD851969 UVZ851969 VFV851969 VPR851969 VZN851969 WJJ851969 WTF851969 XDB851969 GT917505 QP917505 AAL917505 AKH917505 AUD917505 BDZ917505 BNV917505 BXR917505 CHN917505 CRJ917505 DBF917505 DLB917505 DUX917505 EET917505 EOP917505 EYL917505 FIH917505 FSD917505 GBZ917505 GLV917505 GVR917505 HFN917505 HPJ917505 HZF917505 IJB917505 ISX917505 JCT917505 JMP917505 JWL917505 KGH917505 KQD917505 KZZ917505 LJV917505 LTR917505 MDN917505 MNJ917505 MXF917505 NHB917505 NQX917505 OAT917505 OKP917505 OUL917505 PEH917505 POD917505 PXZ917505 QHV917505 QRR917505 RBN917505 RLJ917505 RVF917505 SFB917505 SOX917505 SYT917505 TIP917505 TSL917505 UCH917505 UMD917505 UVZ917505 VFV917505 VPR917505 VZN917505 WJJ917505 WTF917505 XDB917505 GT983041 QP983041 AAL983041 AKH983041 AUD983041 BDZ983041 BNV983041 BXR983041 CHN983041 CRJ983041 DBF983041 DLB983041 DUX983041 EET983041 EOP983041 EYL983041 FIH983041 FSD983041 GBZ983041 GLV983041 GVR983041 HFN983041 HPJ983041 HZF983041 IJB983041 ISX983041 JCT983041 JMP983041 JWL983041 KGH983041 KQD983041 KZZ983041 LJV983041 LTR983041 MDN983041 MNJ983041 MXF983041 NHB983041 NQX983041 OAT983041 OKP983041 OUL983041 PEH983041 POD983041 PXZ983041 QHV983041 QRR983041 RBN983041 RLJ983041 RVF983041 SFB983041 SOX983041 SYT983041 TIP983041 TSL983041 UCH983041 UMD983041 UVZ983041 VFV983041 VPR983041 VZN983041 WJJ983041 WTF983041 XDB983041 B57968 IX57968 ST57968 ACP57968 AML57968 AWH57968 BGD57968 BPZ57968 BZV57968 CJR57968 CTN57968 DDJ57968 DNF57968 DXB57968 EGX57968 EQT57968 FAP57968 FKL57968 FUH57968 GED57968 GNZ57968 GXV57968 HHR57968 HRN57968 IBJ57968 ILF57968 IVB57968 JEX57968 JOT57968 JYP57968 KIL57968 KSH57968 LCD57968 LLZ57968 LVV57968 MFR57968 MPN57968 MZJ57968 NJF57968 NTB57968 OCX57968 OMT57968 OWP57968 PGL57968 PQH57968 QAD57968 QJZ57968 QTV57968 RDR57968 RNN57968 RXJ57968 SHF57968 SRB57968 TAX57968 TKT57968 TUP57968 UEL57968 UOH57968 UYD57968 VHZ57968 VRV57968 WBR57968 WLN57968 WVJ57968 B123504 IX123504 ST123504 ACP123504 AML123504 AWH123504 BGD123504 BPZ123504 BZV123504 CJR123504 CTN123504 DDJ123504 DNF123504 DXB123504 EGX123504 EQT123504 FAP123504 FKL123504 FUH123504 GED123504 GNZ123504 GXV123504 HHR123504 HRN123504 IBJ123504 ILF123504 IVB123504 JEX123504 JOT123504 JYP123504 KIL123504 KSH123504 LCD123504 LLZ123504 LVV123504 MFR123504 MPN123504 MZJ123504 NJF123504 NTB123504 OCX123504 OMT123504 OWP123504 PGL123504 PQH123504 QAD123504 QJZ123504 QTV123504 RDR123504 RNN123504 RXJ123504 SHF123504 SRB123504 TAX123504 TKT123504 TUP123504 UEL123504 UOH123504 UYD123504 VHZ123504 VRV123504 WBR123504 WLN123504 WVJ123504 B189040 IX189040 ST189040 ACP189040 AML189040 AWH189040 BGD189040 BPZ189040 BZV189040 CJR189040 CTN189040 DDJ189040 DNF189040 DXB189040 EGX189040 EQT189040 FAP189040 FKL189040 FUH189040 GED189040 GNZ189040 GXV189040 HHR189040 HRN189040 IBJ189040 ILF189040 IVB189040 JEX189040 JOT189040 JYP189040 KIL189040 KSH189040 LCD189040 LLZ189040 LVV189040 MFR189040 MPN189040 MZJ189040 NJF189040 NTB189040 OCX189040 OMT189040 OWP189040 PGL189040 PQH189040 QAD189040 QJZ189040 QTV189040 RDR189040 RNN189040 RXJ189040 SHF189040 SRB189040 TAX189040 TKT189040 TUP189040 UEL189040 UOH189040 UYD189040 VHZ189040 VRV189040 WBR189040 WLN189040 WVJ189040 B254576 IX254576 ST254576 ACP254576 AML254576 AWH254576 BGD254576 BPZ254576 BZV254576 CJR254576 CTN254576 DDJ254576 DNF254576 DXB254576 EGX254576 EQT254576 FAP254576 FKL254576 FUH254576 GED254576 GNZ254576 GXV254576 HHR254576 HRN254576 IBJ254576 ILF254576 IVB254576 JEX254576 JOT254576 JYP254576 KIL254576 KSH254576 LCD254576 LLZ254576 LVV254576 MFR254576 MPN254576 MZJ254576 NJF254576 NTB254576 OCX254576 OMT254576 OWP254576 PGL254576 PQH254576 QAD254576 QJZ254576 QTV254576 RDR254576 RNN254576 RXJ254576 SHF254576 SRB254576 TAX254576 TKT254576 TUP254576 UEL254576 UOH254576 UYD254576 VHZ254576 VRV254576 WBR254576 WLN254576 WVJ254576 B320112 IX320112 ST320112 ACP320112 AML320112 AWH320112 BGD320112 BPZ320112 BZV320112 CJR320112 CTN320112 DDJ320112 DNF320112 DXB320112 EGX320112 EQT320112 FAP320112 FKL320112 FUH320112 GED320112 GNZ320112 GXV320112 HHR320112 HRN320112 IBJ320112 ILF320112 IVB320112 JEX320112 JOT320112 JYP320112 KIL320112 KSH320112 LCD320112 LLZ320112 LVV320112 MFR320112 MPN320112 MZJ320112 NJF320112 NTB320112 OCX320112 OMT320112 OWP320112 PGL320112 PQH320112 QAD320112 QJZ320112 QTV320112 RDR320112 RNN320112 RXJ320112 SHF320112 SRB320112 TAX320112 TKT320112 TUP320112 UEL320112 UOH320112 UYD320112 VHZ320112 VRV320112 WBR320112 WLN320112 WVJ320112 B385648 IX385648 ST385648 ACP385648 AML385648 AWH385648 BGD385648 BPZ385648 BZV385648 CJR385648 CTN385648 DDJ385648 DNF385648 DXB385648 EGX385648 EQT385648 FAP385648 FKL385648 FUH385648 GED385648 GNZ385648 GXV385648 HHR385648 HRN385648 IBJ385648 ILF385648 IVB385648 JEX385648 JOT385648 JYP385648 KIL385648 KSH385648 LCD385648 LLZ385648 LVV385648 MFR385648 MPN385648 MZJ385648 NJF385648 NTB385648 OCX385648 OMT385648 OWP385648 PGL385648 PQH385648 QAD385648 QJZ385648 QTV385648 RDR385648 RNN385648 RXJ385648 SHF385648 SRB385648 TAX385648 TKT385648 TUP385648 UEL385648 UOH385648 UYD385648 VHZ385648 VRV385648 WBR385648 WLN385648 WVJ385648 B451184 IX451184 ST451184 ACP451184 AML451184 AWH451184 BGD451184 BPZ451184 BZV451184 CJR451184 CTN451184 DDJ451184 DNF451184 DXB451184 EGX451184 EQT451184 FAP451184 FKL451184 FUH451184 GED451184 GNZ451184 GXV451184 HHR451184 HRN451184 IBJ451184 ILF451184 IVB451184 JEX451184 JOT451184 JYP451184 KIL451184 KSH451184 LCD451184 LLZ451184 LVV451184 MFR451184 MPN451184 MZJ451184 NJF451184 NTB451184 OCX451184 OMT451184 OWP451184 PGL451184 PQH451184 QAD451184 QJZ451184 QTV451184 RDR451184 RNN451184 RXJ451184 SHF451184 SRB451184 TAX451184 TKT451184 TUP451184 UEL451184 UOH451184 UYD451184 VHZ451184 VRV451184 WBR451184 WLN451184 WVJ451184 B516720 IX516720 ST516720 ACP516720 AML516720 AWH516720 BGD516720 BPZ516720 BZV516720 CJR516720 CTN516720 DDJ516720 DNF516720 DXB516720 EGX516720 EQT516720 FAP516720 FKL516720 FUH516720 GED516720 GNZ516720 GXV516720 HHR516720 HRN516720 IBJ516720 ILF516720 IVB516720 JEX516720 JOT516720 JYP516720 KIL516720 KSH516720 LCD516720 LLZ516720 LVV516720 MFR516720 MPN516720 MZJ516720 NJF516720 NTB516720 OCX516720 OMT516720 OWP516720 PGL516720 PQH516720 QAD516720 QJZ516720 QTV516720 RDR516720 RNN516720 RXJ516720 SHF516720 SRB516720 TAX516720 TKT516720 TUP516720 UEL516720 UOH516720 UYD516720 VHZ516720 VRV516720 WBR516720 WLN516720 WVJ516720 B582256 IX582256 ST582256 ACP582256 AML582256 AWH582256 BGD582256 BPZ582256 BZV582256 CJR582256 CTN582256 DDJ582256 DNF582256 DXB582256 EGX582256 EQT582256 FAP582256 FKL582256 FUH582256 GED582256 GNZ582256 GXV582256 HHR582256 HRN582256 IBJ582256 ILF582256 IVB582256 JEX582256 JOT582256 JYP582256 KIL582256 KSH582256 LCD582256 LLZ582256 LVV582256 MFR582256 MPN582256 MZJ582256 NJF582256 NTB582256 OCX582256 OMT582256 OWP582256 PGL582256 PQH582256 QAD582256 QJZ582256 QTV582256 RDR582256 RNN582256 RXJ582256 SHF582256 SRB582256 TAX582256 TKT582256 TUP582256 UEL582256 UOH582256 UYD582256 VHZ582256 VRV582256 WBR582256 WLN582256 WVJ582256 B647792 IX647792 ST647792 ACP647792 AML647792 AWH647792 BGD647792 BPZ647792 BZV647792 CJR647792 CTN647792 DDJ647792 DNF647792 DXB647792 EGX647792 EQT647792 FAP647792 FKL647792 FUH647792 GED647792 GNZ647792 GXV647792 HHR647792 HRN647792 IBJ647792 ILF647792 IVB647792 JEX647792 JOT647792 JYP647792 KIL647792 KSH647792 LCD647792 LLZ647792 LVV647792 MFR647792 MPN647792 MZJ647792 NJF647792 NTB647792 OCX647792 OMT647792 OWP647792 PGL647792 PQH647792 QAD647792 QJZ647792 QTV647792 RDR647792 RNN647792 RXJ647792 SHF647792 SRB647792 TAX647792 TKT647792 TUP647792 UEL647792 UOH647792 UYD647792 VHZ647792 VRV647792 WBR647792 WLN647792 WVJ647792 B713328 IX713328 ST713328 ACP713328 AML713328 AWH713328 BGD713328 BPZ713328 BZV713328 CJR713328 CTN713328 DDJ713328 DNF713328 DXB713328 EGX713328 EQT713328 FAP713328 FKL713328 FUH713328 GED713328 GNZ713328 GXV713328 HHR713328 HRN713328 IBJ713328 ILF713328 IVB713328 JEX713328 JOT713328 JYP713328 KIL713328 KSH713328 LCD713328 LLZ713328 LVV713328 MFR713328 MPN713328 MZJ713328 NJF713328 NTB713328 OCX713328 OMT713328 OWP713328 PGL713328 PQH713328 QAD713328 QJZ713328 QTV713328 RDR713328 RNN713328 RXJ713328 SHF713328 SRB713328 TAX713328 TKT713328 TUP713328 UEL713328 UOH713328 UYD713328 VHZ713328 VRV713328 WBR713328 WLN713328 WVJ713328 B778864 IX778864 ST778864 ACP778864 AML778864 AWH778864 BGD778864 BPZ778864 BZV778864 CJR778864 CTN778864 DDJ778864 DNF778864 DXB778864 EGX778864 EQT778864 FAP778864 FKL778864 FUH778864 GED778864 GNZ778864 GXV778864 HHR778864 HRN778864 IBJ778864 ILF778864 IVB778864 JEX778864 JOT778864 JYP778864 KIL778864 KSH778864 LCD778864 LLZ778864 LVV778864 MFR778864 MPN778864 MZJ778864 NJF778864 NTB778864 OCX778864 OMT778864 OWP778864 PGL778864 PQH778864 QAD778864 QJZ778864 QTV778864 RDR778864 RNN778864 RXJ778864 SHF778864 SRB778864 TAX778864 TKT778864 TUP778864 UEL778864 UOH778864 UYD778864 VHZ778864 VRV778864 WBR778864 WLN778864 WVJ778864 B844400 IX844400 ST844400 ACP844400 AML844400 AWH844400 BGD844400 BPZ844400 BZV844400 CJR844400 CTN844400 DDJ844400 DNF844400 DXB844400 EGX844400 EQT844400 FAP844400 FKL844400 FUH844400 GED844400 GNZ844400 GXV844400 HHR844400 HRN844400 IBJ844400 ILF844400 IVB844400 JEX844400 JOT844400 JYP844400 KIL844400 KSH844400 LCD844400 LLZ844400 LVV844400 MFR844400 MPN844400 MZJ844400 NJF844400 NTB844400 OCX844400 OMT844400 OWP844400 PGL844400 PQH844400 QAD844400 QJZ844400 QTV844400 RDR844400 RNN844400 RXJ844400 SHF844400 SRB844400 TAX844400 TKT844400 TUP844400 UEL844400 UOH844400 UYD844400 VHZ844400 VRV844400 WBR844400 WLN844400 WVJ844400 B909936 IX909936 ST909936 ACP909936 AML909936 AWH909936 BGD909936 BPZ909936 BZV909936 CJR909936 CTN909936 DDJ909936 DNF909936 DXB909936 EGX909936 EQT909936 FAP909936 FKL909936 FUH909936 GED909936 GNZ909936 GXV909936 HHR909936 HRN909936 IBJ909936 ILF909936 IVB909936 JEX909936 JOT909936 JYP909936 KIL909936 KSH909936 LCD909936 LLZ909936 LVV909936 MFR909936 MPN909936 MZJ909936 NJF909936 NTB909936 OCX909936 OMT909936 OWP909936 PGL909936 PQH909936 QAD909936 QJZ909936 QTV909936 RDR909936 RNN909936 RXJ909936 SHF909936 SRB909936 TAX909936 TKT909936 TUP909936 UEL909936 UOH909936 UYD909936 VHZ909936 VRV909936 WBR909936 WLN909936 WVJ909936 B975472 IX975472 ST975472 ACP975472 AML975472 AWH975472 BGD975472 BPZ975472 BZV975472 CJR975472 CTN975472 DDJ975472 DNF975472 DXB975472 EGX975472 EQT975472 FAP975472 FKL975472 FUH975472 GED975472 GNZ975472 GXV975472 HHR975472 HRN975472 IBJ975472 ILF975472 IVB975472 JEX975472 JOT975472 JYP975472 KIL975472 KSH975472 LCD975472 LLZ975472 LVV975472 MFR975472 MPN975472 MZJ975472 NJF975472 NTB975472 OCX975472 OMT975472 OWP975472 PGL975472 PQH975472 QAD975472 QJZ975472 QTV975472 RDR975472 RNN975472 RXJ975472 SHF975472 SRB975472 TAX975472 TKT975472 TUP975472 UEL975472 UOH975472 UYD975472 VHZ975472 VRV975472 WBR975472 WLN975472 WVJ975472 B1041008 IX1041008 ST1041008 ACP1041008 AML1041008 AWH1041008 BGD1041008 BPZ1041008 BZV1041008 CJR1041008 CTN1041008 DDJ1041008 DNF1041008 DXB1041008 EGX1041008 EQT1041008 FAP1041008 FKL1041008 FUH1041008 GED1041008 GNZ1041008 GXV1041008 HHR1041008 HRN1041008 IBJ1041008 ILF1041008 IVB1041008 JEX1041008 JOT1041008 JYP1041008 KIL1041008 KSH1041008 LCD1041008 LLZ1041008 LVV1041008 MFR1041008 MPN1041008 MZJ1041008 NJF1041008 NTB1041008 OCX1041008 OMT1041008 OWP1041008 PGL1041008 PQH1041008 QAD1041008 QJZ1041008 QTV1041008 RDR1041008 RNN1041008 RXJ1041008 SHF1041008 SRB1041008 TAX1041008 TKT1041008 TUP1041008 UEL1041008 UOH1041008 UYD1041008 VHZ1041008 VRV1041008 WBR1041008 WLN1041008 WVJ1041008 GT57968 QP57968 AAL57968 AKH57968 AUD57968 BDZ57968 BNV57968 BXR57968 CHN57968 CRJ57968 DBF57968 DLB57968 DUX57968 EET57968 EOP57968 EYL57968 FIH57968 FSD57968 GBZ57968 GLV57968 GVR57968 HFN57968 HPJ57968 HZF57968 IJB57968 ISX57968 JCT57968 JMP57968 JWL57968 KGH57968 KQD57968 KZZ57968 LJV57968 LTR57968 MDN57968 MNJ57968 MXF57968 NHB57968 NQX57968 OAT57968 OKP57968 OUL57968 PEH57968 POD57968 PXZ57968 QHV57968 QRR57968 RBN57968 RLJ57968 RVF57968 SFB57968 SOX57968 SYT57968 TIP57968 TSL57968 UCH57968 UMD57968 UVZ57968 VFV57968 VPR57968 VZN57968 WJJ57968 WTF57968 XDB57968 GT123504 QP123504 AAL123504 AKH123504 AUD123504 BDZ123504 BNV123504 BXR123504 CHN123504 CRJ123504 DBF123504 DLB123504 DUX123504 EET123504 EOP123504 EYL123504 FIH123504 FSD123504 GBZ123504 GLV123504 GVR123504 HFN123504 HPJ123504 HZF123504 IJB123504 ISX123504 JCT123504 JMP123504 JWL123504 KGH123504 KQD123504 KZZ123504 LJV123504 LTR123504 MDN123504 MNJ123504 MXF123504 NHB123504 NQX123504 OAT123504 OKP123504 OUL123504 PEH123504 POD123504 PXZ123504 QHV123504 QRR123504 RBN123504 RLJ123504 RVF123504 SFB123504 SOX123504 SYT123504 TIP123504 TSL123504 UCH123504 UMD123504 UVZ123504 VFV123504 VPR123504 VZN123504 WJJ123504 WTF123504 XDB123504 GT189040 QP189040 AAL189040 AKH189040 AUD189040 BDZ189040 BNV189040 BXR189040 CHN189040 CRJ189040 DBF189040 DLB189040 DUX189040 EET189040 EOP189040 EYL189040 FIH189040 FSD189040 GBZ189040 GLV189040 GVR189040 HFN189040 HPJ189040 HZF189040 IJB189040 ISX189040 JCT189040 JMP189040 JWL189040 KGH189040 KQD189040 KZZ189040 LJV189040 LTR189040 MDN189040 MNJ189040 MXF189040 NHB189040 NQX189040 OAT189040 OKP189040 OUL189040 PEH189040 POD189040 PXZ189040 QHV189040 QRR189040 RBN189040 RLJ189040 RVF189040 SFB189040 SOX189040 SYT189040 TIP189040 TSL189040 UCH189040 UMD189040 UVZ189040 VFV189040 VPR189040 VZN189040 WJJ189040 WTF189040 XDB189040 GT254576 QP254576 AAL254576 AKH254576 AUD254576 BDZ254576 BNV254576 BXR254576 CHN254576 CRJ254576 DBF254576 DLB254576 DUX254576 EET254576 EOP254576 EYL254576 FIH254576 FSD254576 GBZ254576 GLV254576 GVR254576 HFN254576 HPJ254576 HZF254576 IJB254576 ISX254576 JCT254576 JMP254576 JWL254576 KGH254576 KQD254576 KZZ254576 LJV254576 LTR254576 MDN254576 MNJ254576 MXF254576 NHB254576 NQX254576 OAT254576 OKP254576 OUL254576 PEH254576 POD254576 PXZ254576 QHV254576 QRR254576 RBN254576 RLJ254576 RVF254576 SFB254576 SOX254576 SYT254576 TIP254576 TSL254576 UCH254576 UMD254576 UVZ254576 VFV254576 VPR254576 VZN254576 WJJ254576 WTF254576 XDB254576 GT320112 QP320112 AAL320112 AKH320112 AUD320112 BDZ320112 BNV320112 BXR320112 CHN320112 CRJ320112 DBF320112 DLB320112 DUX320112 EET320112 EOP320112 EYL320112 FIH320112 FSD320112 GBZ320112 GLV320112 GVR320112 HFN320112 HPJ320112 HZF320112 IJB320112 ISX320112 JCT320112 JMP320112 JWL320112 KGH320112 KQD320112 KZZ320112 LJV320112 LTR320112 MDN320112 MNJ320112 MXF320112 NHB320112 NQX320112 OAT320112 OKP320112 OUL320112 PEH320112 POD320112 PXZ320112 QHV320112 QRR320112 RBN320112 RLJ320112 RVF320112 SFB320112 SOX320112 SYT320112 TIP320112 TSL320112 UCH320112 UMD320112 UVZ320112 VFV320112 VPR320112 VZN320112 WJJ320112 WTF320112 XDB320112 GT385648 QP385648 AAL385648 AKH385648 AUD385648 BDZ385648 BNV385648 BXR385648 CHN385648 CRJ385648 DBF385648 DLB385648 DUX385648 EET385648 EOP385648 EYL385648 FIH385648 FSD385648 GBZ385648 GLV385648 GVR385648 HFN385648 HPJ385648 HZF385648 IJB385648 ISX385648 JCT385648 JMP385648 JWL385648 KGH385648 KQD385648 KZZ385648 LJV385648 LTR385648 MDN385648 MNJ385648 MXF385648 NHB385648 NQX385648 OAT385648 OKP385648 OUL385648 PEH385648 POD385648 PXZ385648 QHV385648 QRR385648 RBN385648 RLJ385648 RVF385648 SFB385648 SOX385648 SYT385648 TIP385648 TSL385648 UCH385648 UMD385648 UVZ385648 VFV385648 VPR385648 VZN385648 WJJ385648 WTF385648 XDB385648 GT451184 QP451184 AAL451184 AKH451184 AUD451184 BDZ451184 BNV451184 BXR451184 CHN451184 CRJ451184 DBF451184 DLB451184 DUX451184 EET451184 EOP451184 EYL451184 FIH451184 FSD451184 GBZ451184 GLV451184 GVR451184 HFN451184 HPJ451184 HZF451184 IJB451184 ISX451184 JCT451184 JMP451184 JWL451184 KGH451184 KQD451184 KZZ451184 LJV451184 LTR451184 MDN451184 MNJ451184 MXF451184 NHB451184 NQX451184 OAT451184 OKP451184 OUL451184 PEH451184 POD451184 PXZ451184 QHV451184 QRR451184 RBN451184 RLJ451184 RVF451184 SFB451184 SOX451184 SYT451184 TIP451184 TSL451184 UCH451184 UMD451184 UVZ451184 VFV451184 VPR451184 VZN451184 WJJ451184 WTF451184 XDB451184 GT516720 QP516720 AAL516720 AKH516720 AUD516720 BDZ516720 BNV516720 BXR516720 CHN516720 CRJ516720 DBF516720 DLB516720 DUX516720 EET516720 EOP516720 EYL516720 FIH516720 FSD516720 GBZ516720 GLV516720 GVR516720 HFN516720 HPJ516720 HZF516720 IJB516720 ISX516720 JCT516720 JMP516720 JWL516720 KGH516720 KQD516720 KZZ516720 LJV516720 LTR516720 MDN516720 MNJ516720 MXF516720 NHB516720 NQX516720 OAT516720 OKP516720 OUL516720 PEH516720 POD516720 PXZ516720 QHV516720 QRR516720 RBN516720 RLJ516720 RVF516720 SFB516720 SOX516720 SYT516720 TIP516720 TSL516720 UCH516720 UMD516720 UVZ516720 VFV516720 VPR516720 VZN516720 WJJ516720 WTF516720 XDB516720 GT582256 QP582256 AAL582256 AKH582256 AUD582256 BDZ582256 BNV582256 BXR582256 CHN582256 CRJ582256 DBF582256 DLB582256 DUX582256 EET582256 EOP582256 EYL582256 FIH582256 FSD582256 GBZ582256 GLV582256 GVR582256 HFN582256 HPJ582256 HZF582256 IJB582256 ISX582256 JCT582256 JMP582256 JWL582256 KGH582256 KQD582256 KZZ582256 LJV582256 LTR582256 MDN582256 MNJ582256 MXF582256 NHB582256 NQX582256 OAT582256 OKP582256 OUL582256 PEH582256 POD582256 PXZ582256 QHV582256 QRR582256 RBN582256 RLJ582256 RVF582256 SFB582256 SOX582256 SYT582256 TIP582256 TSL582256 UCH582256 UMD582256 UVZ582256 VFV582256 VPR582256 VZN582256 WJJ582256 WTF582256 XDB582256 GT647792 QP647792 AAL647792 AKH647792 AUD647792 BDZ647792 BNV647792 BXR647792 CHN647792 CRJ647792 DBF647792 DLB647792 DUX647792 EET647792 EOP647792 EYL647792 FIH647792 FSD647792 GBZ647792 GLV647792 GVR647792 HFN647792 HPJ647792 HZF647792 IJB647792 ISX647792 JCT647792 JMP647792 JWL647792 KGH647792 KQD647792 KZZ647792 LJV647792 LTR647792 MDN647792 MNJ647792 MXF647792 NHB647792 NQX647792 OAT647792 OKP647792 OUL647792 PEH647792 POD647792 PXZ647792 QHV647792 QRR647792 RBN647792 RLJ647792 RVF647792 SFB647792 SOX647792 SYT647792 TIP647792 TSL647792 UCH647792 UMD647792 UVZ647792 VFV647792 VPR647792 VZN647792 WJJ647792 WTF647792 XDB647792 GT713328 QP713328 AAL713328 AKH713328 AUD713328 BDZ713328 BNV713328 BXR713328 CHN713328 CRJ713328 DBF713328 DLB713328 DUX713328 EET713328 EOP713328 EYL713328 FIH713328 FSD713328 GBZ713328 GLV713328 GVR713328 HFN713328 HPJ713328 HZF713328 IJB713328 ISX713328 JCT713328 JMP713328 JWL713328 KGH713328 KQD713328 KZZ713328 LJV713328 LTR713328 MDN713328 MNJ713328 MXF713328 NHB713328 NQX713328 OAT713328 OKP713328 OUL713328 PEH713328 POD713328 PXZ713328 QHV713328 QRR713328 RBN713328 RLJ713328 RVF713328 SFB713328 SOX713328 SYT713328 TIP713328 TSL713328 UCH713328 UMD713328 UVZ713328 VFV713328 VPR713328 VZN713328 WJJ713328 WTF713328 XDB713328 GT778864 QP778864 AAL778864 AKH778864 AUD778864 BDZ778864 BNV778864 BXR778864 CHN778864 CRJ778864 DBF778864 DLB778864 DUX778864 EET778864 EOP778864 EYL778864 FIH778864 FSD778864 GBZ778864 GLV778864 GVR778864 HFN778864 HPJ778864 HZF778864 IJB778864 ISX778864 JCT778864 JMP778864 JWL778864 KGH778864 KQD778864 KZZ778864 LJV778864 LTR778864 MDN778864 MNJ778864 MXF778864 NHB778864 NQX778864 OAT778864 OKP778864 OUL778864 PEH778864 POD778864 PXZ778864 QHV778864 QRR778864 RBN778864 RLJ778864 RVF778864 SFB778864 SOX778864 SYT778864 TIP778864 TSL778864 UCH778864 UMD778864 UVZ778864 VFV778864 VPR778864 VZN778864 WJJ778864 WTF778864 XDB778864 GT844400 QP844400 AAL844400 AKH844400 AUD844400 BDZ844400 BNV844400 BXR844400 CHN844400 CRJ844400 DBF844400 DLB844400 DUX844400 EET844400 EOP844400 EYL844400 FIH844400 FSD844400 GBZ844400 GLV844400 GVR844400 HFN844400 HPJ844400 HZF844400 IJB844400 ISX844400 JCT844400 JMP844400 JWL844400 KGH844400 KQD844400 KZZ844400 LJV844400 LTR844400 MDN844400 MNJ844400 MXF844400 NHB844400 NQX844400 OAT844400 OKP844400 OUL844400 PEH844400 POD844400 PXZ844400 QHV844400 QRR844400 RBN844400 RLJ844400 RVF844400 SFB844400 SOX844400 SYT844400 TIP844400 TSL844400 UCH844400 UMD844400 UVZ844400 VFV844400 VPR844400 VZN844400 WJJ844400 WTF844400 XDB844400 GT909936 QP909936 AAL909936 AKH909936 AUD909936 BDZ909936 BNV909936 BXR909936 CHN909936 CRJ909936 DBF909936 DLB909936 DUX909936 EET909936 EOP909936 EYL909936 FIH909936 FSD909936 GBZ909936 GLV909936 GVR909936 HFN909936 HPJ909936 HZF909936 IJB909936 ISX909936 JCT909936 JMP909936 JWL909936 KGH909936 KQD909936 KZZ909936 LJV909936 LTR909936 MDN909936 MNJ909936 MXF909936 NHB909936 NQX909936 OAT909936 OKP909936 OUL909936 PEH909936 POD909936 PXZ909936 QHV909936 QRR909936 RBN909936 RLJ909936 RVF909936 SFB909936 SOX909936 SYT909936 TIP909936 TSL909936 UCH909936 UMD909936 UVZ909936 VFV909936 VPR909936 VZN909936 WJJ909936 WTF909936 XDB909936 GT975472 QP975472 AAL975472 AKH975472 AUD975472 BDZ975472 BNV975472 BXR975472 CHN975472 CRJ975472 DBF975472 DLB975472 DUX975472 EET975472 EOP975472 EYL975472 FIH975472 FSD975472 GBZ975472 GLV975472 GVR975472 HFN975472 HPJ975472 HZF975472 IJB975472 ISX975472 JCT975472 JMP975472 JWL975472 KGH975472 KQD975472 KZZ975472 LJV975472 LTR975472 MDN975472 MNJ975472 MXF975472 NHB975472 NQX975472 OAT975472 OKP975472 OUL975472 PEH975472 POD975472 PXZ975472 QHV975472 QRR975472 RBN975472 RLJ975472 RVF975472 SFB975472 SOX975472 SYT975472 TIP975472 TSL975472 UCH975472 UMD975472 UVZ975472 VFV975472 VPR975472 VZN975472 WJJ975472 WTF975472 XDB975472 GT1041008 QP1041008 AAL1041008 AKH1041008 AUD1041008 BDZ1041008 BNV1041008 BXR1041008 CHN1041008 CRJ1041008 DBF1041008 DLB1041008 DUX1041008 EET1041008 EOP1041008 EYL1041008 FIH1041008 FSD1041008 GBZ1041008 GLV1041008 GVR1041008 HFN1041008 HPJ1041008 HZF1041008 IJB1041008 ISX1041008 JCT1041008 JMP1041008 JWL1041008 KGH1041008 KQD1041008 KZZ1041008 LJV1041008 LTR1041008 MDN1041008 MNJ1041008 MXF1041008 NHB1041008 NQX1041008 OAT1041008 OKP1041008 OUL1041008 PEH1041008 POD1041008 PXZ1041008 QHV1041008 QRR1041008 RBN1041008 RLJ1041008 RVF1041008 SFB1041008 SOX1041008 SYT1041008 TIP1041008 TSL1041008 UCH1041008 UMD1041008 UVZ1041008 VFV1041008 VPR1041008 VZN1041008 WJJ1041008 WTF1041008 XDB1041008" xr:uid="{D7C46299-131B-4E19-B642-87DE324E0396}">
      <formula1>"per share,ratio,thousands,units"</formula1>
    </dataValidation>
    <dataValidation type="custom" showInputMessage="1" showErrorMessage="1" sqref="C2 IY2 SU2 ACQ2 AMM2 AWI2 BGE2 BQA2 BZW2 CJS2 CTO2 DDK2 DNG2 DXC2 EGY2 EQU2 FAQ2 FKM2 FUI2 GEE2 GOA2 GXW2 HHS2 HRO2 IBK2 ILG2 IVC2 JEY2 JOU2 JYQ2 KIM2 KSI2 LCE2 LMA2 LVW2 MFS2 MPO2 MZK2 NJG2 NTC2 OCY2 OMU2 OWQ2 PGM2 PQI2 QAE2 QKA2 QTW2 RDS2 RNO2 RXK2 SHG2 SRC2 TAY2 TKU2 TUQ2 UEM2 UOI2 UYE2 VIA2 VRW2 WBS2 WLO2 WVK2 C65538 IY65538 SU65538 ACQ65538 AMM65538 AWI65538 BGE65538 BQA65538 BZW65538 CJS65538 CTO65538 DDK65538 DNG65538 DXC65538 EGY65538 EQU65538 FAQ65538 FKM65538 FUI65538 GEE65538 GOA65538 GXW65538 HHS65538 HRO65538 IBK65538 ILG65538 IVC65538 JEY65538 JOU65538 JYQ65538 KIM65538 KSI65538 LCE65538 LMA65538 LVW65538 MFS65538 MPO65538 MZK65538 NJG65538 NTC65538 OCY65538 OMU65538 OWQ65538 PGM65538 PQI65538 QAE65538 QKA65538 QTW65538 RDS65538 RNO65538 RXK65538 SHG65538 SRC65538 TAY65538 TKU65538 TUQ65538 UEM65538 UOI65538 UYE65538 VIA65538 VRW65538 WBS65538 WLO65538 WVK65538 C131074 IY131074 SU131074 ACQ131074 AMM131074 AWI131074 BGE131074 BQA131074 BZW131074 CJS131074 CTO131074 DDK131074 DNG131074 DXC131074 EGY131074 EQU131074 FAQ131074 FKM131074 FUI131074 GEE131074 GOA131074 GXW131074 HHS131074 HRO131074 IBK131074 ILG131074 IVC131074 JEY131074 JOU131074 JYQ131074 KIM131074 KSI131074 LCE131074 LMA131074 LVW131074 MFS131074 MPO131074 MZK131074 NJG131074 NTC131074 OCY131074 OMU131074 OWQ131074 PGM131074 PQI131074 QAE131074 QKA131074 QTW131074 RDS131074 RNO131074 RXK131074 SHG131074 SRC131074 TAY131074 TKU131074 TUQ131074 UEM131074 UOI131074 UYE131074 VIA131074 VRW131074 WBS131074 WLO131074 WVK131074 C196610 IY196610 SU196610 ACQ196610 AMM196610 AWI196610 BGE196610 BQA196610 BZW196610 CJS196610 CTO196610 DDK196610 DNG196610 DXC196610 EGY196610 EQU196610 FAQ196610 FKM196610 FUI196610 GEE196610 GOA196610 GXW196610 HHS196610 HRO196610 IBK196610 ILG196610 IVC196610 JEY196610 JOU196610 JYQ196610 KIM196610 KSI196610 LCE196610 LMA196610 LVW196610 MFS196610 MPO196610 MZK196610 NJG196610 NTC196610 OCY196610 OMU196610 OWQ196610 PGM196610 PQI196610 QAE196610 QKA196610 QTW196610 RDS196610 RNO196610 RXK196610 SHG196610 SRC196610 TAY196610 TKU196610 TUQ196610 UEM196610 UOI196610 UYE196610 VIA196610 VRW196610 WBS196610 WLO196610 WVK196610 C262146 IY262146 SU262146 ACQ262146 AMM262146 AWI262146 BGE262146 BQA262146 BZW262146 CJS262146 CTO262146 DDK262146 DNG262146 DXC262146 EGY262146 EQU262146 FAQ262146 FKM262146 FUI262146 GEE262146 GOA262146 GXW262146 HHS262146 HRO262146 IBK262146 ILG262146 IVC262146 JEY262146 JOU262146 JYQ262146 KIM262146 KSI262146 LCE262146 LMA262146 LVW262146 MFS262146 MPO262146 MZK262146 NJG262146 NTC262146 OCY262146 OMU262146 OWQ262146 PGM262146 PQI262146 QAE262146 QKA262146 QTW262146 RDS262146 RNO262146 RXK262146 SHG262146 SRC262146 TAY262146 TKU262146 TUQ262146 UEM262146 UOI262146 UYE262146 VIA262146 VRW262146 WBS262146 WLO262146 WVK262146 C327682 IY327682 SU327682 ACQ327682 AMM327682 AWI327682 BGE327682 BQA327682 BZW327682 CJS327682 CTO327682 DDK327682 DNG327682 DXC327682 EGY327682 EQU327682 FAQ327682 FKM327682 FUI327682 GEE327682 GOA327682 GXW327682 HHS327682 HRO327682 IBK327682 ILG327682 IVC327682 JEY327682 JOU327682 JYQ327682 KIM327682 KSI327682 LCE327682 LMA327682 LVW327682 MFS327682 MPO327682 MZK327682 NJG327682 NTC327682 OCY327682 OMU327682 OWQ327682 PGM327682 PQI327682 QAE327682 QKA327682 QTW327682 RDS327682 RNO327682 RXK327682 SHG327682 SRC327682 TAY327682 TKU327682 TUQ327682 UEM327682 UOI327682 UYE327682 VIA327682 VRW327682 WBS327682 WLO327682 WVK327682 C393218 IY393218 SU393218 ACQ393218 AMM393218 AWI393218 BGE393218 BQA393218 BZW393218 CJS393218 CTO393218 DDK393218 DNG393218 DXC393218 EGY393218 EQU393218 FAQ393218 FKM393218 FUI393218 GEE393218 GOA393218 GXW393218 HHS393218 HRO393218 IBK393218 ILG393218 IVC393218 JEY393218 JOU393218 JYQ393218 KIM393218 KSI393218 LCE393218 LMA393218 LVW393218 MFS393218 MPO393218 MZK393218 NJG393218 NTC393218 OCY393218 OMU393218 OWQ393218 PGM393218 PQI393218 QAE393218 QKA393218 QTW393218 RDS393218 RNO393218 RXK393218 SHG393218 SRC393218 TAY393218 TKU393218 TUQ393218 UEM393218 UOI393218 UYE393218 VIA393218 VRW393218 WBS393218 WLO393218 WVK393218 C458754 IY458754 SU458754 ACQ458754 AMM458754 AWI458754 BGE458754 BQA458754 BZW458754 CJS458754 CTO458754 DDK458754 DNG458754 DXC458754 EGY458754 EQU458754 FAQ458754 FKM458754 FUI458754 GEE458754 GOA458754 GXW458754 HHS458754 HRO458754 IBK458754 ILG458754 IVC458754 JEY458754 JOU458754 JYQ458754 KIM458754 KSI458754 LCE458754 LMA458754 LVW458754 MFS458754 MPO458754 MZK458754 NJG458754 NTC458754 OCY458754 OMU458754 OWQ458754 PGM458754 PQI458754 QAE458754 QKA458754 QTW458754 RDS458754 RNO458754 RXK458754 SHG458754 SRC458754 TAY458754 TKU458754 TUQ458754 UEM458754 UOI458754 UYE458754 VIA458754 VRW458754 WBS458754 WLO458754 WVK458754 C524290 IY524290 SU524290 ACQ524290 AMM524290 AWI524290 BGE524290 BQA524290 BZW524290 CJS524290 CTO524290 DDK524290 DNG524290 DXC524290 EGY524290 EQU524290 FAQ524290 FKM524290 FUI524290 GEE524290 GOA524290 GXW524290 HHS524290 HRO524290 IBK524290 ILG524290 IVC524290 JEY524290 JOU524290 JYQ524290 KIM524290 KSI524290 LCE524290 LMA524290 LVW524290 MFS524290 MPO524290 MZK524290 NJG524290 NTC524290 OCY524290 OMU524290 OWQ524290 PGM524290 PQI524290 QAE524290 QKA524290 QTW524290 RDS524290 RNO524290 RXK524290 SHG524290 SRC524290 TAY524290 TKU524290 TUQ524290 UEM524290 UOI524290 UYE524290 VIA524290 VRW524290 WBS524290 WLO524290 WVK524290 C589826 IY589826 SU589826 ACQ589826 AMM589826 AWI589826 BGE589826 BQA589826 BZW589826 CJS589826 CTO589826 DDK589826 DNG589826 DXC589826 EGY589826 EQU589826 FAQ589826 FKM589826 FUI589826 GEE589826 GOA589826 GXW589826 HHS589826 HRO589826 IBK589826 ILG589826 IVC589826 JEY589826 JOU589826 JYQ589826 KIM589826 KSI589826 LCE589826 LMA589826 LVW589826 MFS589826 MPO589826 MZK589826 NJG589826 NTC589826 OCY589826 OMU589826 OWQ589826 PGM589826 PQI589826 QAE589826 QKA589826 QTW589826 RDS589826 RNO589826 RXK589826 SHG589826 SRC589826 TAY589826 TKU589826 TUQ589826 UEM589826 UOI589826 UYE589826 VIA589826 VRW589826 WBS589826 WLO589826 WVK589826 C655362 IY655362 SU655362 ACQ655362 AMM655362 AWI655362 BGE655362 BQA655362 BZW655362 CJS655362 CTO655362 DDK655362 DNG655362 DXC655362 EGY655362 EQU655362 FAQ655362 FKM655362 FUI655362 GEE655362 GOA655362 GXW655362 HHS655362 HRO655362 IBK655362 ILG655362 IVC655362 JEY655362 JOU655362 JYQ655362 KIM655362 KSI655362 LCE655362 LMA655362 LVW655362 MFS655362 MPO655362 MZK655362 NJG655362 NTC655362 OCY655362 OMU655362 OWQ655362 PGM655362 PQI655362 QAE655362 QKA655362 QTW655362 RDS655362 RNO655362 RXK655362 SHG655362 SRC655362 TAY655362 TKU655362 TUQ655362 UEM655362 UOI655362 UYE655362 VIA655362 VRW655362 WBS655362 WLO655362 WVK655362 C720898 IY720898 SU720898 ACQ720898 AMM720898 AWI720898 BGE720898 BQA720898 BZW720898 CJS720898 CTO720898 DDK720898 DNG720898 DXC720898 EGY720898 EQU720898 FAQ720898 FKM720898 FUI720898 GEE720898 GOA720898 GXW720898 HHS720898 HRO720898 IBK720898 ILG720898 IVC720898 JEY720898 JOU720898 JYQ720898 KIM720898 KSI720898 LCE720898 LMA720898 LVW720898 MFS720898 MPO720898 MZK720898 NJG720898 NTC720898 OCY720898 OMU720898 OWQ720898 PGM720898 PQI720898 QAE720898 QKA720898 QTW720898 RDS720898 RNO720898 RXK720898 SHG720898 SRC720898 TAY720898 TKU720898 TUQ720898 UEM720898 UOI720898 UYE720898 VIA720898 VRW720898 WBS720898 WLO720898 WVK720898 C786434 IY786434 SU786434 ACQ786434 AMM786434 AWI786434 BGE786434 BQA786434 BZW786434 CJS786434 CTO786434 DDK786434 DNG786434 DXC786434 EGY786434 EQU786434 FAQ786434 FKM786434 FUI786434 GEE786434 GOA786434 GXW786434 HHS786434 HRO786434 IBK786434 ILG786434 IVC786434 JEY786434 JOU786434 JYQ786434 KIM786434 KSI786434 LCE786434 LMA786434 LVW786434 MFS786434 MPO786434 MZK786434 NJG786434 NTC786434 OCY786434 OMU786434 OWQ786434 PGM786434 PQI786434 QAE786434 QKA786434 QTW786434 RDS786434 RNO786434 RXK786434 SHG786434 SRC786434 TAY786434 TKU786434 TUQ786434 UEM786434 UOI786434 UYE786434 VIA786434 VRW786434 WBS786434 WLO786434 WVK786434 C851970 IY851970 SU851970 ACQ851970 AMM851970 AWI851970 BGE851970 BQA851970 BZW851970 CJS851970 CTO851970 DDK851970 DNG851970 DXC851970 EGY851970 EQU851970 FAQ851970 FKM851970 FUI851970 GEE851970 GOA851970 GXW851970 HHS851970 HRO851970 IBK851970 ILG851970 IVC851970 JEY851970 JOU851970 JYQ851970 KIM851970 KSI851970 LCE851970 LMA851970 LVW851970 MFS851970 MPO851970 MZK851970 NJG851970 NTC851970 OCY851970 OMU851970 OWQ851970 PGM851970 PQI851970 QAE851970 QKA851970 QTW851970 RDS851970 RNO851970 RXK851970 SHG851970 SRC851970 TAY851970 TKU851970 TUQ851970 UEM851970 UOI851970 UYE851970 VIA851970 VRW851970 WBS851970 WLO851970 WVK851970 C917506 IY917506 SU917506 ACQ917506 AMM917506 AWI917506 BGE917506 BQA917506 BZW917506 CJS917506 CTO917506 DDK917506 DNG917506 DXC917506 EGY917506 EQU917506 FAQ917506 FKM917506 FUI917506 GEE917506 GOA917506 GXW917506 HHS917506 HRO917506 IBK917506 ILG917506 IVC917506 JEY917506 JOU917506 JYQ917506 KIM917506 KSI917506 LCE917506 LMA917506 LVW917506 MFS917506 MPO917506 MZK917506 NJG917506 NTC917506 OCY917506 OMU917506 OWQ917506 PGM917506 PQI917506 QAE917506 QKA917506 QTW917506 RDS917506 RNO917506 RXK917506 SHG917506 SRC917506 TAY917506 TKU917506 TUQ917506 UEM917506 UOI917506 UYE917506 VIA917506 VRW917506 WBS917506 WLO917506 WVK917506 C983042 IY983042 SU983042 ACQ983042 AMM983042 AWI983042 BGE983042 BQA983042 BZW983042 CJS983042 CTO983042 DDK983042 DNG983042 DXC983042 EGY983042 EQU983042 FAQ983042 FKM983042 FUI983042 GEE983042 GOA983042 GXW983042 HHS983042 HRO983042 IBK983042 ILG983042 IVC983042 JEY983042 JOU983042 JYQ983042 KIM983042 KSI983042 LCE983042 LMA983042 LVW983042 MFS983042 MPO983042 MZK983042 NJG983042 NTC983042 OCY983042 OMU983042 OWQ983042 PGM983042 PQI983042 QAE983042 QKA983042 QTW983042 RDS983042 RNO983042 RXK983042 SHG983042 SRC983042 TAY983042 TKU983042 TUQ983042 UEM983042 UOI983042 UYE983042 VIA983042 VRW983042 WBS983042 WLO983042 WVK983042 GU2 QQ2 AAM2 AKI2 AUE2 BEA2 BNW2 BXS2 CHO2 CRK2 DBG2 DLC2 DUY2 EEU2 EOQ2 EYM2 FII2 FSE2 GCA2 GLW2 GVS2 HFO2 HPK2 HZG2 IJC2 ISY2 JCU2 JMQ2 JWM2 KGI2 KQE2 LAA2 LJW2 LTS2 MDO2 MNK2 MXG2 NHC2 NQY2 OAU2 OKQ2 OUM2 PEI2 POE2 PYA2 QHW2 QRS2 RBO2 RLK2 RVG2 SFC2 SOY2 SYU2 TIQ2 TSM2 UCI2 UME2 UWA2 VFW2 VPS2 VZO2 WJK2 WTG2 XDC2 GU65538 QQ65538 AAM65538 AKI65538 AUE65538 BEA65538 BNW65538 BXS65538 CHO65538 CRK65538 DBG65538 DLC65538 DUY65538 EEU65538 EOQ65538 EYM65538 FII65538 FSE65538 GCA65538 GLW65538 GVS65538 HFO65538 HPK65538 HZG65538 IJC65538 ISY65538 JCU65538 JMQ65538 JWM65538 KGI65538 KQE65538 LAA65538 LJW65538 LTS65538 MDO65538 MNK65538 MXG65538 NHC65538 NQY65538 OAU65538 OKQ65538 OUM65538 PEI65538 POE65538 PYA65538 QHW65538 QRS65538 RBO65538 RLK65538 RVG65538 SFC65538 SOY65538 SYU65538 TIQ65538 TSM65538 UCI65538 UME65538 UWA65538 VFW65538 VPS65538 VZO65538 WJK65538 WTG65538 XDC65538 GU131074 QQ131074 AAM131074 AKI131074 AUE131074 BEA131074 BNW131074 BXS131074 CHO131074 CRK131074 DBG131074 DLC131074 DUY131074 EEU131074 EOQ131074 EYM131074 FII131074 FSE131074 GCA131074 GLW131074 GVS131074 HFO131074 HPK131074 HZG131074 IJC131074 ISY131074 JCU131074 JMQ131074 JWM131074 KGI131074 KQE131074 LAA131074 LJW131074 LTS131074 MDO131074 MNK131074 MXG131074 NHC131074 NQY131074 OAU131074 OKQ131074 OUM131074 PEI131074 POE131074 PYA131074 QHW131074 QRS131074 RBO131074 RLK131074 RVG131074 SFC131074 SOY131074 SYU131074 TIQ131074 TSM131074 UCI131074 UME131074 UWA131074 VFW131074 VPS131074 VZO131074 WJK131074 WTG131074 XDC131074 GU196610 QQ196610 AAM196610 AKI196610 AUE196610 BEA196610 BNW196610 BXS196610 CHO196610 CRK196610 DBG196610 DLC196610 DUY196610 EEU196610 EOQ196610 EYM196610 FII196610 FSE196610 GCA196610 GLW196610 GVS196610 HFO196610 HPK196610 HZG196610 IJC196610 ISY196610 JCU196610 JMQ196610 JWM196610 KGI196610 KQE196610 LAA196610 LJW196610 LTS196610 MDO196610 MNK196610 MXG196610 NHC196610 NQY196610 OAU196610 OKQ196610 OUM196610 PEI196610 POE196610 PYA196610 QHW196610 QRS196610 RBO196610 RLK196610 RVG196610 SFC196610 SOY196610 SYU196610 TIQ196610 TSM196610 UCI196610 UME196610 UWA196610 VFW196610 VPS196610 VZO196610 WJK196610 WTG196610 XDC196610 GU262146 QQ262146 AAM262146 AKI262146 AUE262146 BEA262146 BNW262146 BXS262146 CHO262146 CRK262146 DBG262146 DLC262146 DUY262146 EEU262146 EOQ262146 EYM262146 FII262146 FSE262146 GCA262146 GLW262146 GVS262146 HFO262146 HPK262146 HZG262146 IJC262146 ISY262146 JCU262146 JMQ262146 JWM262146 KGI262146 KQE262146 LAA262146 LJW262146 LTS262146 MDO262146 MNK262146 MXG262146 NHC262146 NQY262146 OAU262146 OKQ262146 OUM262146 PEI262146 POE262146 PYA262146 QHW262146 QRS262146 RBO262146 RLK262146 RVG262146 SFC262146 SOY262146 SYU262146 TIQ262146 TSM262146 UCI262146 UME262146 UWA262146 VFW262146 VPS262146 VZO262146 WJK262146 WTG262146 XDC262146 GU327682 QQ327682 AAM327682 AKI327682 AUE327682 BEA327682 BNW327682 BXS327682 CHO327682 CRK327682 DBG327682 DLC327682 DUY327682 EEU327682 EOQ327682 EYM327682 FII327682 FSE327682 GCA327682 GLW327682 GVS327682 HFO327682 HPK327682 HZG327682 IJC327682 ISY327682 JCU327682 JMQ327682 JWM327682 KGI327682 KQE327682 LAA327682 LJW327682 LTS327682 MDO327682 MNK327682 MXG327682 NHC327682 NQY327682 OAU327682 OKQ327682 OUM327682 PEI327682 POE327682 PYA327682 QHW327682 QRS327682 RBO327682 RLK327682 RVG327682 SFC327682 SOY327682 SYU327682 TIQ327682 TSM327682 UCI327682 UME327682 UWA327682 VFW327682 VPS327682 VZO327682 WJK327682 WTG327682 XDC327682 GU393218 QQ393218 AAM393218 AKI393218 AUE393218 BEA393218 BNW393218 BXS393218 CHO393218 CRK393218 DBG393218 DLC393218 DUY393218 EEU393218 EOQ393218 EYM393218 FII393218 FSE393218 GCA393218 GLW393218 GVS393218 HFO393218 HPK393218 HZG393218 IJC393218 ISY393218 JCU393218 JMQ393218 JWM393218 KGI393218 KQE393218 LAA393218 LJW393218 LTS393218 MDO393218 MNK393218 MXG393218 NHC393218 NQY393218 OAU393218 OKQ393218 OUM393218 PEI393218 POE393218 PYA393218 QHW393218 QRS393218 RBO393218 RLK393218 RVG393218 SFC393218 SOY393218 SYU393218 TIQ393218 TSM393218 UCI393218 UME393218 UWA393218 VFW393218 VPS393218 VZO393218 WJK393218 WTG393218 XDC393218 GU458754 QQ458754 AAM458754 AKI458754 AUE458754 BEA458754 BNW458754 BXS458754 CHO458754 CRK458754 DBG458754 DLC458754 DUY458754 EEU458754 EOQ458754 EYM458754 FII458754 FSE458754 GCA458754 GLW458754 GVS458754 HFO458754 HPK458754 HZG458754 IJC458754 ISY458754 JCU458754 JMQ458754 JWM458754 KGI458754 KQE458754 LAA458754 LJW458754 LTS458754 MDO458754 MNK458754 MXG458754 NHC458754 NQY458754 OAU458754 OKQ458754 OUM458754 PEI458754 POE458754 PYA458754 QHW458754 QRS458754 RBO458754 RLK458754 RVG458754 SFC458754 SOY458754 SYU458754 TIQ458754 TSM458754 UCI458754 UME458754 UWA458754 VFW458754 VPS458754 VZO458754 WJK458754 WTG458754 XDC458754 GU524290 QQ524290 AAM524290 AKI524290 AUE524290 BEA524290 BNW524290 BXS524290 CHO524290 CRK524290 DBG524290 DLC524290 DUY524290 EEU524290 EOQ524290 EYM524290 FII524290 FSE524290 GCA524290 GLW524290 GVS524290 HFO524290 HPK524290 HZG524290 IJC524290 ISY524290 JCU524290 JMQ524290 JWM524290 KGI524290 KQE524290 LAA524290 LJW524290 LTS524290 MDO524290 MNK524290 MXG524290 NHC524290 NQY524290 OAU524290 OKQ524290 OUM524290 PEI524290 POE524290 PYA524290 QHW524290 QRS524290 RBO524290 RLK524290 RVG524290 SFC524290 SOY524290 SYU524290 TIQ524290 TSM524290 UCI524290 UME524290 UWA524290 VFW524290 VPS524290 VZO524290 WJK524290 WTG524290 XDC524290 GU589826 QQ589826 AAM589826 AKI589826 AUE589826 BEA589826 BNW589826 BXS589826 CHO589826 CRK589826 DBG589826 DLC589826 DUY589826 EEU589826 EOQ589826 EYM589826 FII589826 FSE589826 GCA589826 GLW589826 GVS589826 HFO589826 HPK589826 HZG589826 IJC589826 ISY589826 JCU589826 JMQ589826 JWM589826 KGI589826 KQE589826 LAA589826 LJW589826 LTS589826 MDO589826 MNK589826 MXG589826 NHC589826 NQY589826 OAU589826 OKQ589826 OUM589826 PEI589826 POE589826 PYA589826 QHW589826 QRS589826 RBO589826 RLK589826 RVG589826 SFC589826 SOY589826 SYU589826 TIQ589826 TSM589826 UCI589826 UME589826 UWA589826 VFW589826 VPS589826 VZO589826 WJK589826 WTG589826 XDC589826 GU655362 QQ655362 AAM655362 AKI655362 AUE655362 BEA655362 BNW655362 BXS655362 CHO655362 CRK655362 DBG655362 DLC655362 DUY655362 EEU655362 EOQ655362 EYM655362 FII655362 FSE655362 GCA655362 GLW655362 GVS655362 HFO655362 HPK655362 HZG655362 IJC655362 ISY655362 JCU655362 JMQ655362 JWM655362 KGI655362 KQE655362 LAA655362 LJW655362 LTS655362 MDO655362 MNK655362 MXG655362 NHC655362 NQY655362 OAU655362 OKQ655362 OUM655362 PEI655362 POE655362 PYA655362 QHW655362 QRS655362 RBO655362 RLK655362 RVG655362 SFC655362 SOY655362 SYU655362 TIQ655362 TSM655362 UCI655362 UME655362 UWA655362 VFW655362 VPS655362 VZO655362 WJK655362 WTG655362 XDC655362 GU720898 QQ720898 AAM720898 AKI720898 AUE720898 BEA720898 BNW720898 BXS720898 CHO720898 CRK720898 DBG720898 DLC720898 DUY720898 EEU720898 EOQ720898 EYM720898 FII720898 FSE720898 GCA720898 GLW720898 GVS720898 HFO720898 HPK720898 HZG720898 IJC720898 ISY720898 JCU720898 JMQ720898 JWM720898 KGI720898 KQE720898 LAA720898 LJW720898 LTS720898 MDO720898 MNK720898 MXG720898 NHC720898 NQY720898 OAU720898 OKQ720898 OUM720898 PEI720898 POE720898 PYA720898 QHW720898 QRS720898 RBO720898 RLK720898 RVG720898 SFC720898 SOY720898 SYU720898 TIQ720898 TSM720898 UCI720898 UME720898 UWA720898 VFW720898 VPS720898 VZO720898 WJK720898 WTG720898 XDC720898 GU786434 QQ786434 AAM786434 AKI786434 AUE786434 BEA786434 BNW786434 BXS786434 CHO786434 CRK786434 DBG786434 DLC786434 DUY786434 EEU786434 EOQ786434 EYM786434 FII786434 FSE786434 GCA786434 GLW786434 GVS786434 HFO786434 HPK786434 HZG786434 IJC786434 ISY786434 JCU786434 JMQ786434 JWM786434 KGI786434 KQE786434 LAA786434 LJW786434 LTS786434 MDO786434 MNK786434 MXG786434 NHC786434 NQY786434 OAU786434 OKQ786434 OUM786434 PEI786434 POE786434 PYA786434 QHW786434 QRS786434 RBO786434 RLK786434 RVG786434 SFC786434 SOY786434 SYU786434 TIQ786434 TSM786434 UCI786434 UME786434 UWA786434 VFW786434 VPS786434 VZO786434 WJK786434 WTG786434 XDC786434 GU851970 QQ851970 AAM851970 AKI851970 AUE851970 BEA851970 BNW851970 BXS851970 CHO851970 CRK851970 DBG851970 DLC851970 DUY851970 EEU851970 EOQ851970 EYM851970 FII851970 FSE851970 GCA851970 GLW851970 GVS851970 HFO851970 HPK851970 HZG851970 IJC851970 ISY851970 JCU851970 JMQ851970 JWM851970 KGI851970 KQE851970 LAA851970 LJW851970 LTS851970 MDO851970 MNK851970 MXG851970 NHC851970 NQY851970 OAU851970 OKQ851970 OUM851970 PEI851970 POE851970 PYA851970 QHW851970 QRS851970 RBO851970 RLK851970 RVG851970 SFC851970 SOY851970 SYU851970 TIQ851970 TSM851970 UCI851970 UME851970 UWA851970 VFW851970 VPS851970 VZO851970 WJK851970 WTG851970 XDC851970 GU917506 QQ917506 AAM917506 AKI917506 AUE917506 BEA917506 BNW917506 BXS917506 CHO917506 CRK917506 DBG917506 DLC917506 DUY917506 EEU917506 EOQ917506 EYM917506 FII917506 FSE917506 GCA917506 GLW917506 GVS917506 HFO917506 HPK917506 HZG917506 IJC917506 ISY917506 JCU917506 JMQ917506 JWM917506 KGI917506 KQE917506 LAA917506 LJW917506 LTS917506 MDO917506 MNK917506 MXG917506 NHC917506 NQY917506 OAU917506 OKQ917506 OUM917506 PEI917506 POE917506 PYA917506 QHW917506 QRS917506 RBO917506 RLK917506 RVG917506 SFC917506 SOY917506 SYU917506 TIQ917506 TSM917506 UCI917506 UME917506 UWA917506 VFW917506 VPS917506 VZO917506 WJK917506 WTG917506 XDC917506 GU983042 QQ983042 AAM983042 AKI983042 AUE983042 BEA983042 BNW983042 BXS983042 CHO983042 CRK983042 DBG983042 DLC983042 DUY983042 EEU983042 EOQ983042 EYM983042 FII983042 FSE983042 GCA983042 GLW983042 GVS983042 HFO983042 HPK983042 HZG983042 IJC983042 ISY983042 JCU983042 JMQ983042 JWM983042 KGI983042 KQE983042 LAA983042 LJW983042 LTS983042 MDO983042 MNK983042 MXG983042 NHC983042 NQY983042 OAU983042 OKQ983042 OUM983042 PEI983042 POE983042 PYA983042 QHW983042 QRS983042 RBO983042 RLK983042 RVG983042 SFC983042 SOY983042 SYU983042 TIQ983042 TSM983042 UCI983042 UME983042 UWA983042 VFW983042 VPS983042 VZO983042 WJK983042 WTG983042 XDC983042 C57969 IY57969 SU57969 ACQ57969 AMM57969 AWI57969 BGE57969 BQA57969 BZW57969 CJS57969 CTO57969 DDK57969 DNG57969 DXC57969 EGY57969 EQU57969 FAQ57969 FKM57969 FUI57969 GEE57969 GOA57969 GXW57969 HHS57969 HRO57969 IBK57969 ILG57969 IVC57969 JEY57969 JOU57969 JYQ57969 KIM57969 KSI57969 LCE57969 LMA57969 LVW57969 MFS57969 MPO57969 MZK57969 NJG57969 NTC57969 OCY57969 OMU57969 OWQ57969 PGM57969 PQI57969 QAE57969 QKA57969 QTW57969 RDS57969 RNO57969 RXK57969 SHG57969 SRC57969 TAY57969 TKU57969 TUQ57969 UEM57969 UOI57969 UYE57969 VIA57969 VRW57969 WBS57969 WLO57969 WVK57969 C123505 IY123505 SU123505 ACQ123505 AMM123505 AWI123505 BGE123505 BQA123505 BZW123505 CJS123505 CTO123505 DDK123505 DNG123505 DXC123505 EGY123505 EQU123505 FAQ123505 FKM123505 FUI123505 GEE123505 GOA123505 GXW123505 HHS123505 HRO123505 IBK123505 ILG123505 IVC123505 JEY123505 JOU123505 JYQ123505 KIM123505 KSI123505 LCE123505 LMA123505 LVW123505 MFS123505 MPO123505 MZK123505 NJG123505 NTC123505 OCY123505 OMU123505 OWQ123505 PGM123505 PQI123505 QAE123505 QKA123505 QTW123505 RDS123505 RNO123505 RXK123505 SHG123505 SRC123505 TAY123505 TKU123505 TUQ123505 UEM123505 UOI123505 UYE123505 VIA123505 VRW123505 WBS123505 WLO123505 WVK123505 C189041 IY189041 SU189041 ACQ189041 AMM189041 AWI189041 BGE189041 BQA189041 BZW189041 CJS189041 CTO189041 DDK189041 DNG189041 DXC189041 EGY189041 EQU189041 FAQ189041 FKM189041 FUI189041 GEE189041 GOA189041 GXW189041 HHS189041 HRO189041 IBK189041 ILG189041 IVC189041 JEY189041 JOU189041 JYQ189041 KIM189041 KSI189041 LCE189041 LMA189041 LVW189041 MFS189041 MPO189041 MZK189041 NJG189041 NTC189041 OCY189041 OMU189041 OWQ189041 PGM189041 PQI189041 QAE189041 QKA189041 QTW189041 RDS189041 RNO189041 RXK189041 SHG189041 SRC189041 TAY189041 TKU189041 TUQ189041 UEM189041 UOI189041 UYE189041 VIA189041 VRW189041 WBS189041 WLO189041 WVK189041 C254577 IY254577 SU254577 ACQ254577 AMM254577 AWI254577 BGE254577 BQA254577 BZW254577 CJS254577 CTO254577 DDK254577 DNG254577 DXC254577 EGY254577 EQU254577 FAQ254577 FKM254577 FUI254577 GEE254577 GOA254577 GXW254577 HHS254577 HRO254577 IBK254577 ILG254577 IVC254577 JEY254577 JOU254577 JYQ254577 KIM254577 KSI254577 LCE254577 LMA254577 LVW254577 MFS254577 MPO254577 MZK254577 NJG254577 NTC254577 OCY254577 OMU254577 OWQ254577 PGM254577 PQI254577 QAE254577 QKA254577 QTW254577 RDS254577 RNO254577 RXK254577 SHG254577 SRC254577 TAY254577 TKU254577 TUQ254577 UEM254577 UOI254577 UYE254577 VIA254577 VRW254577 WBS254577 WLO254577 WVK254577 C320113 IY320113 SU320113 ACQ320113 AMM320113 AWI320113 BGE320113 BQA320113 BZW320113 CJS320113 CTO320113 DDK320113 DNG320113 DXC320113 EGY320113 EQU320113 FAQ320113 FKM320113 FUI320113 GEE320113 GOA320113 GXW320113 HHS320113 HRO320113 IBK320113 ILG320113 IVC320113 JEY320113 JOU320113 JYQ320113 KIM320113 KSI320113 LCE320113 LMA320113 LVW320113 MFS320113 MPO320113 MZK320113 NJG320113 NTC320113 OCY320113 OMU320113 OWQ320113 PGM320113 PQI320113 QAE320113 QKA320113 QTW320113 RDS320113 RNO320113 RXK320113 SHG320113 SRC320113 TAY320113 TKU320113 TUQ320113 UEM320113 UOI320113 UYE320113 VIA320113 VRW320113 WBS320113 WLO320113 WVK320113 C385649 IY385649 SU385649 ACQ385649 AMM385649 AWI385649 BGE385649 BQA385649 BZW385649 CJS385649 CTO385649 DDK385649 DNG385649 DXC385649 EGY385649 EQU385649 FAQ385649 FKM385649 FUI385649 GEE385649 GOA385649 GXW385649 HHS385649 HRO385649 IBK385649 ILG385649 IVC385649 JEY385649 JOU385649 JYQ385649 KIM385649 KSI385649 LCE385649 LMA385649 LVW385649 MFS385649 MPO385649 MZK385649 NJG385649 NTC385649 OCY385649 OMU385649 OWQ385649 PGM385649 PQI385649 QAE385649 QKA385649 QTW385649 RDS385649 RNO385649 RXK385649 SHG385649 SRC385649 TAY385649 TKU385649 TUQ385649 UEM385649 UOI385649 UYE385649 VIA385649 VRW385649 WBS385649 WLO385649 WVK385649 C451185 IY451185 SU451185 ACQ451185 AMM451185 AWI451185 BGE451185 BQA451185 BZW451185 CJS451185 CTO451185 DDK451185 DNG451185 DXC451185 EGY451185 EQU451185 FAQ451185 FKM451185 FUI451185 GEE451185 GOA451185 GXW451185 HHS451185 HRO451185 IBK451185 ILG451185 IVC451185 JEY451185 JOU451185 JYQ451185 KIM451185 KSI451185 LCE451185 LMA451185 LVW451185 MFS451185 MPO451185 MZK451185 NJG451185 NTC451185 OCY451185 OMU451185 OWQ451185 PGM451185 PQI451185 QAE451185 QKA451185 QTW451185 RDS451185 RNO451185 RXK451185 SHG451185 SRC451185 TAY451185 TKU451185 TUQ451185 UEM451185 UOI451185 UYE451185 VIA451185 VRW451185 WBS451185 WLO451185 WVK451185 C516721 IY516721 SU516721 ACQ516721 AMM516721 AWI516721 BGE516721 BQA516721 BZW516721 CJS516721 CTO516721 DDK516721 DNG516721 DXC516721 EGY516721 EQU516721 FAQ516721 FKM516721 FUI516721 GEE516721 GOA516721 GXW516721 HHS516721 HRO516721 IBK516721 ILG516721 IVC516721 JEY516721 JOU516721 JYQ516721 KIM516721 KSI516721 LCE516721 LMA516721 LVW516721 MFS516721 MPO516721 MZK516721 NJG516721 NTC516721 OCY516721 OMU516721 OWQ516721 PGM516721 PQI516721 QAE516721 QKA516721 QTW516721 RDS516721 RNO516721 RXK516721 SHG516721 SRC516721 TAY516721 TKU516721 TUQ516721 UEM516721 UOI516721 UYE516721 VIA516721 VRW516721 WBS516721 WLO516721 WVK516721 C582257 IY582257 SU582257 ACQ582257 AMM582257 AWI582257 BGE582257 BQA582257 BZW582257 CJS582257 CTO582257 DDK582257 DNG582257 DXC582257 EGY582257 EQU582257 FAQ582257 FKM582257 FUI582257 GEE582257 GOA582257 GXW582257 HHS582257 HRO582257 IBK582257 ILG582257 IVC582257 JEY582257 JOU582257 JYQ582257 KIM582257 KSI582257 LCE582257 LMA582257 LVW582257 MFS582257 MPO582257 MZK582257 NJG582257 NTC582257 OCY582257 OMU582257 OWQ582257 PGM582257 PQI582257 QAE582257 QKA582257 QTW582257 RDS582257 RNO582257 RXK582257 SHG582257 SRC582257 TAY582257 TKU582257 TUQ582257 UEM582257 UOI582257 UYE582257 VIA582257 VRW582257 WBS582257 WLO582257 WVK582257 C647793 IY647793 SU647793 ACQ647793 AMM647793 AWI647793 BGE647793 BQA647793 BZW647793 CJS647793 CTO647793 DDK647793 DNG647793 DXC647793 EGY647793 EQU647793 FAQ647793 FKM647793 FUI647793 GEE647793 GOA647793 GXW647793 HHS647793 HRO647793 IBK647793 ILG647793 IVC647793 JEY647793 JOU647793 JYQ647793 KIM647793 KSI647793 LCE647793 LMA647793 LVW647793 MFS647793 MPO647793 MZK647793 NJG647793 NTC647793 OCY647793 OMU647793 OWQ647793 PGM647793 PQI647793 QAE647793 QKA647793 QTW647793 RDS647793 RNO647793 RXK647793 SHG647793 SRC647793 TAY647793 TKU647793 TUQ647793 UEM647793 UOI647793 UYE647793 VIA647793 VRW647793 WBS647793 WLO647793 WVK647793 C713329 IY713329 SU713329 ACQ713329 AMM713329 AWI713329 BGE713329 BQA713329 BZW713329 CJS713329 CTO713329 DDK713329 DNG713329 DXC713329 EGY713329 EQU713329 FAQ713329 FKM713329 FUI713329 GEE713329 GOA713329 GXW713329 HHS713329 HRO713329 IBK713329 ILG713329 IVC713329 JEY713329 JOU713329 JYQ713329 KIM713329 KSI713329 LCE713329 LMA713329 LVW713329 MFS713329 MPO713329 MZK713329 NJG713329 NTC713329 OCY713329 OMU713329 OWQ713329 PGM713329 PQI713329 QAE713329 QKA713329 QTW713329 RDS713329 RNO713329 RXK713329 SHG713329 SRC713329 TAY713329 TKU713329 TUQ713329 UEM713329 UOI713329 UYE713329 VIA713329 VRW713329 WBS713329 WLO713329 WVK713329 C778865 IY778865 SU778865 ACQ778865 AMM778865 AWI778865 BGE778865 BQA778865 BZW778865 CJS778865 CTO778865 DDK778865 DNG778865 DXC778865 EGY778865 EQU778865 FAQ778865 FKM778865 FUI778865 GEE778865 GOA778865 GXW778865 HHS778865 HRO778865 IBK778865 ILG778865 IVC778865 JEY778865 JOU778865 JYQ778865 KIM778865 KSI778865 LCE778865 LMA778865 LVW778865 MFS778865 MPO778865 MZK778865 NJG778865 NTC778865 OCY778865 OMU778865 OWQ778865 PGM778865 PQI778865 QAE778865 QKA778865 QTW778865 RDS778865 RNO778865 RXK778865 SHG778865 SRC778865 TAY778865 TKU778865 TUQ778865 UEM778865 UOI778865 UYE778865 VIA778865 VRW778865 WBS778865 WLO778865 WVK778865 C844401 IY844401 SU844401 ACQ844401 AMM844401 AWI844401 BGE844401 BQA844401 BZW844401 CJS844401 CTO844401 DDK844401 DNG844401 DXC844401 EGY844401 EQU844401 FAQ844401 FKM844401 FUI844401 GEE844401 GOA844401 GXW844401 HHS844401 HRO844401 IBK844401 ILG844401 IVC844401 JEY844401 JOU844401 JYQ844401 KIM844401 KSI844401 LCE844401 LMA844401 LVW844401 MFS844401 MPO844401 MZK844401 NJG844401 NTC844401 OCY844401 OMU844401 OWQ844401 PGM844401 PQI844401 QAE844401 QKA844401 QTW844401 RDS844401 RNO844401 RXK844401 SHG844401 SRC844401 TAY844401 TKU844401 TUQ844401 UEM844401 UOI844401 UYE844401 VIA844401 VRW844401 WBS844401 WLO844401 WVK844401 C909937 IY909937 SU909937 ACQ909937 AMM909937 AWI909937 BGE909937 BQA909937 BZW909937 CJS909937 CTO909937 DDK909937 DNG909937 DXC909937 EGY909937 EQU909937 FAQ909937 FKM909937 FUI909937 GEE909937 GOA909937 GXW909937 HHS909937 HRO909937 IBK909937 ILG909937 IVC909937 JEY909937 JOU909937 JYQ909937 KIM909937 KSI909937 LCE909937 LMA909937 LVW909937 MFS909937 MPO909937 MZK909937 NJG909937 NTC909937 OCY909937 OMU909937 OWQ909937 PGM909937 PQI909937 QAE909937 QKA909937 QTW909937 RDS909937 RNO909937 RXK909937 SHG909937 SRC909937 TAY909937 TKU909937 TUQ909937 UEM909937 UOI909937 UYE909937 VIA909937 VRW909937 WBS909937 WLO909937 WVK909937 C975473 IY975473 SU975473 ACQ975473 AMM975473 AWI975473 BGE975473 BQA975473 BZW975473 CJS975473 CTO975473 DDK975473 DNG975473 DXC975473 EGY975473 EQU975473 FAQ975473 FKM975473 FUI975473 GEE975473 GOA975473 GXW975473 HHS975473 HRO975473 IBK975473 ILG975473 IVC975473 JEY975473 JOU975473 JYQ975473 KIM975473 KSI975473 LCE975473 LMA975473 LVW975473 MFS975473 MPO975473 MZK975473 NJG975473 NTC975473 OCY975473 OMU975473 OWQ975473 PGM975473 PQI975473 QAE975473 QKA975473 QTW975473 RDS975473 RNO975473 RXK975473 SHG975473 SRC975473 TAY975473 TKU975473 TUQ975473 UEM975473 UOI975473 UYE975473 VIA975473 VRW975473 WBS975473 WLO975473 WVK975473 C1041009 IY1041009 SU1041009 ACQ1041009 AMM1041009 AWI1041009 BGE1041009 BQA1041009 BZW1041009 CJS1041009 CTO1041009 DDK1041009 DNG1041009 DXC1041009 EGY1041009 EQU1041009 FAQ1041009 FKM1041009 FUI1041009 GEE1041009 GOA1041009 GXW1041009 HHS1041009 HRO1041009 IBK1041009 ILG1041009 IVC1041009 JEY1041009 JOU1041009 JYQ1041009 KIM1041009 KSI1041009 LCE1041009 LMA1041009 LVW1041009 MFS1041009 MPO1041009 MZK1041009 NJG1041009 NTC1041009 OCY1041009 OMU1041009 OWQ1041009 PGM1041009 PQI1041009 QAE1041009 QKA1041009 QTW1041009 RDS1041009 RNO1041009 RXK1041009 SHG1041009 SRC1041009 TAY1041009 TKU1041009 TUQ1041009 UEM1041009 UOI1041009 UYE1041009 VIA1041009 VRW1041009 WBS1041009 WLO1041009 WVK1041009 GU57969 QQ57969 AAM57969 AKI57969 AUE57969 BEA57969 BNW57969 BXS57969 CHO57969 CRK57969 DBG57969 DLC57969 DUY57969 EEU57969 EOQ57969 EYM57969 FII57969 FSE57969 GCA57969 GLW57969 GVS57969 HFO57969 HPK57969 HZG57969 IJC57969 ISY57969 JCU57969 JMQ57969 JWM57969 KGI57969 KQE57969 LAA57969 LJW57969 LTS57969 MDO57969 MNK57969 MXG57969 NHC57969 NQY57969 OAU57969 OKQ57969 OUM57969 PEI57969 POE57969 PYA57969 QHW57969 QRS57969 RBO57969 RLK57969 RVG57969 SFC57969 SOY57969 SYU57969 TIQ57969 TSM57969 UCI57969 UME57969 UWA57969 VFW57969 VPS57969 VZO57969 WJK57969 WTG57969 XDC57969 GU123505 QQ123505 AAM123505 AKI123505 AUE123505 BEA123505 BNW123505 BXS123505 CHO123505 CRK123505 DBG123505 DLC123505 DUY123505 EEU123505 EOQ123505 EYM123505 FII123505 FSE123505 GCA123505 GLW123505 GVS123505 HFO123505 HPK123505 HZG123505 IJC123505 ISY123505 JCU123505 JMQ123505 JWM123505 KGI123505 KQE123505 LAA123505 LJW123505 LTS123505 MDO123505 MNK123505 MXG123505 NHC123505 NQY123505 OAU123505 OKQ123505 OUM123505 PEI123505 POE123505 PYA123505 QHW123505 QRS123505 RBO123505 RLK123505 RVG123505 SFC123505 SOY123505 SYU123505 TIQ123505 TSM123505 UCI123505 UME123505 UWA123505 VFW123505 VPS123505 VZO123505 WJK123505 WTG123505 XDC123505 GU189041 QQ189041 AAM189041 AKI189041 AUE189041 BEA189041 BNW189041 BXS189041 CHO189041 CRK189041 DBG189041 DLC189041 DUY189041 EEU189041 EOQ189041 EYM189041 FII189041 FSE189041 GCA189041 GLW189041 GVS189041 HFO189041 HPK189041 HZG189041 IJC189041 ISY189041 JCU189041 JMQ189041 JWM189041 KGI189041 KQE189041 LAA189041 LJW189041 LTS189041 MDO189041 MNK189041 MXG189041 NHC189041 NQY189041 OAU189041 OKQ189041 OUM189041 PEI189041 POE189041 PYA189041 QHW189041 QRS189041 RBO189041 RLK189041 RVG189041 SFC189041 SOY189041 SYU189041 TIQ189041 TSM189041 UCI189041 UME189041 UWA189041 VFW189041 VPS189041 VZO189041 WJK189041 WTG189041 XDC189041 GU254577 QQ254577 AAM254577 AKI254577 AUE254577 BEA254577 BNW254577 BXS254577 CHO254577 CRK254577 DBG254577 DLC254577 DUY254577 EEU254577 EOQ254577 EYM254577 FII254577 FSE254577 GCA254577 GLW254577 GVS254577 HFO254577 HPK254577 HZG254577 IJC254577 ISY254577 JCU254577 JMQ254577 JWM254577 KGI254577 KQE254577 LAA254577 LJW254577 LTS254577 MDO254577 MNK254577 MXG254577 NHC254577 NQY254577 OAU254577 OKQ254577 OUM254577 PEI254577 POE254577 PYA254577 QHW254577 QRS254577 RBO254577 RLK254577 RVG254577 SFC254577 SOY254577 SYU254577 TIQ254577 TSM254577 UCI254577 UME254577 UWA254577 VFW254577 VPS254577 VZO254577 WJK254577 WTG254577 XDC254577 GU320113 QQ320113 AAM320113 AKI320113 AUE320113 BEA320113 BNW320113 BXS320113 CHO320113 CRK320113 DBG320113 DLC320113 DUY320113 EEU320113 EOQ320113 EYM320113 FII320113 FSE320113 GCA320113 GLW320113 GVS320113 HFO320113 HPK320113 HZG320113 IJC320113 ISY320113 JCU320113 JMQ320113 JWM320113 KGI320113 KQE320113 LAA320113 LJW320113 LTS320113 MDO320113 MNK320113 MXG320113 NHC320113 NQY320113 OAU320113 OKQ320113 OUM320113 PEI320113 POE320113 PYA320113 QHW320113 QRS320113 RBO320113 RLK320113 RVG320113 SFC320113 SOY320113 SYU320113 TIQ320113 TSM320113 UCI320113 UME320113 UWA320113 VFW320113 VPS320113 VZO320113 WJK320113 WTG320113 XDC320113 GU385649 QQ385649 AAM385649 AKI385649 AUE385649 BEA385649 BNW385649 BXS385649 CHO385649 CRK385649 DBG385649 DLC385649 DUY385649 EEU385649 EOQ385649 EYM385649 FII385649 FSE385649 GCA385649 GLW385649 GVS385649 HFO385649 HPK385649 HZG385649 IJC385649 ISY385649 JCU385649 JMQ385649 JWM385649 KGI385649 KQE385649 LAA385649 LJW385649 LTS385649 MDO385649 MNK385649 MXG385649 NHC385649 NQY385649 OAU385649 OKQ385649 OUM385649 PEI385649 POE385649 PYA385649 QHW385649 QRS385649 RBO385649 RLK385649 RVG385649 SFC385649 SOY385649 SYU385649 TIQ385649 TSM385649 UCI385649 UME385649 UWA385649 VFW385649 VPS385649 VZO385649 WJK385649 WTG385649 XDC385649 GU451185 QQ451185 AAM451185 AKI451185 AUE451185 BEA451185 BNW451185 BXS451185 CHO451185 CRK451185 DBG451185 DLC451185 DUY451185 EEU451185 EOQ451185 EYM451185 FII451185 FSE451185 GCA451185 GLW451185 GVS451185 HFO451185 HPK451185 HZG451185 IJC451185 ISY451185 JCU451185 JMQ451185 JWM451185 KGI451185 KQE451185 LAA451185 LJW451185 LTS451185 MDO451185 MNK451185 MXG451185 NHC451185 NQY451185 OAU451185 OKQ451185 OUM451185 PEI451185 POE451185 PYA451185 QHW451185 QRS451185 RBO451185 RLK451185 RVG451185 SFC451185 SOY451185 SYU451185 TIQ451185 TSM451185 UCI451185 UME451185 UWA451185 VFW451185 VPS451185 VZO451185 WJK451185 WTG451185 XDC451185 GU516721 QQ516721 AAM516721 AKI516721 AUE516721 BEA516721 BNW516721 BXS516721 CHO516721 CRK516721 DBG516721 DLC516721 DUY516721 EEU516721 EOQ516721 EYM516721 FII516721 FSE516721 GCA516721 GLW516721 GVS516721 HFO516721 HPK516721 HZG516721 IJC516721 ISY516721 JCU516721 JMQ516721 JWM516721 KGI516721 KQE516721 LAA516721 LJW516721 LTS516721 MDO516721 MNK516721 MXG516721 NHC516721 NQY516721 OAU516721 OKQ516721 OUM516721 PEI516721 POE516721 PYA516721 QHW516721 QRS516721 RBO516721 RLK516721 RVG516721 SFC516721 SOY516721 SYU516721 TIQ516721 TSM516721 UCI516721 UME516721 UWA516721 VFW516721 VPS516721 VZO516721 WJK516721 WTG516721 XDC516721 GU582257 QQ582257 AAM582257 AKI582257 AUE582257 BEA582257 BNW582257 BXS582257 CHO582257 CRK582257 DBG582257 DLC582257 DUY582257 EEU582257 EOQ582257 EYM582257 FII582257 FSE582257 GCA582257 GLW582257 GVS582257 HFO582257 HPK582257 HZG582257 IJC582257 ISY582257 JCU582257 JMQ582257 JWM582257 KGI582257 KQE582257 LAA582257 LJW582257 LTS582257 MDO582257 MNK582257 MXG582257 NHC582257 NQY582257 OAU582257 OKQ582257 OUM582257 PEI582257 POE582257 PYA582257 QHW582257 QRS582257 RBO582257 RLK582257 RVG582257 SFC582257 SOY582257 SYU582257 TIQ582257 TSM582257 UCI582257 UME582257 UWA582257 VFW582257 VPS582257 VZO582257 WJK582257 WTG582257 XDC582257 GU647793 QQ647793 AAM647793 AKI647793 AUE647793 BEA647793 BNW647793 BXS647793 CHO647793 CRK647793 DBG647793 DLC647793 DUY647793 EEU647793 EOQ647793 EYM647793 FII647793 FSE647793 GCA647793 GLW647793 GVS647793 HFO647793 HPK647793 HZG647793 IJC647793 ISY647793 JCU647793 JMQ647793 JWM647793 KGI647793 KQE647793 LAA647793 LJW647793 LTS647793 MDO647793 MNK647793 MXG647793 NHC647793 NQY647793 OAU647793 OKQ647793 OUM647793 PEI647793 POE647793 PYA647793 QHW647793 QRS647793 RBO647793 RLK647793 RVG647793 SFC647793 SOY647793 SYU647793 TIQ647793 TSM647793 UCI647793 UME647793 UWA647793 VFW647793 VPS647793 VZO647793 WJK647793 WTG647793 XDC647793 GU713329 QQ713329 AAM713329 AKI713329 AUE713329 BEA713329 BNW713329 BXS713329 CHO713329 CRK713329 DBG713329 DLC713329 DUY713329 EEU713329 EOQ713329 EYM713329 FII713329 FSE713329 GCA713329 GLW713329 GVS713329 HFO713329 HPK713329 HZG713329 IJC713329 ISY713329 JCU713329 JMQ713329 JWM713329 KGI713329 KQE713329 LAA713329 LJW713329 LTS713329 MDO713329 MNK713329 MXG713329 NHC713329 NQY713329 OAU713329 OKQ713329 OUM713329 PEI713329 POE713329 PYA713329 QHW713329 QRS713329 RBO713329 RLK713329 RVG713329 SFC713329 SOY713329 SYU713329 TIQ713329 TSM713329 UCI713329 UME713329 UWA713329 VFW713329 VPS713329 VZO713329 WJK713329 WTG713329 XDC713329 GU778865 QQ778865 AAM778865 AKI778865 AUE778865 BEA778865 BNW778865 BXS778865 CHO778865 CRK778865 DBG778865 DLC778865 DUY778865 EEU778865 EOQ778865 EYM778865 FII778865 FSE778865 GCA778865 GLW778865 GVS778865 HFO778865 HPK778865 HZG778865 IJC778865 ISY778865 JCU778865 JMQ778865 JWM778865 KGI778865 KQE778865 LAA778865 LJW778865 LTS778865 MDO778865 MNK778865 MXG778865 NHC778865 NQY778865 OAU778865 OKQ778865 OUM778865 PEI778865 POE778865 PYA778865 QHW778865 QRS778865 RBO778865 RLK778865 RVG778865 SFC778865 SOY778865 SYU778865 TIQ778865 TSM778865 UCI778865 UME778865 UWA778865 VFW778865 VPS778865 VZO778865 WJK778865 WTG778865 XDC778865 GU844401 QQ844401 AAM844401 AKI844401 AUE844401 BEA844401 BNW844401 BXS844401 CHO844401 CRK844401 DBG844401 DLC844401 DUY844401 EEU844401 EOQ844401 EYM844401 FII844401 FSE844401 GCA844401 GLW844401 GVS844401 HFO844401 HPK844401 HZG844401 IJC844401 ISY844401 JCU844401 JMQ844401 JWM844401 KGI844401 KQE844401 LAA844401 LJW844401 LTS844401 MDO844401 MNK844401 MXG844401 NHC844401 NQY844401 OAU844401 OKQ844401 OUM844401 PEI844401 POE844401 PYA844401 QHW844401 QRS844401 RBO844401 RLK844401 RVG844401 SFC844401 SOY844401 SYU844401 TIQ844401 TSM844401 UCI844401 UME844401 UWA844401 VFW844401 VPS844401 VZO844401 WJK844401 WTG844401 XDC844401 GU909937 QQ909937 AAM909937 AKI909937 AUE909937 BEA909937 BNW909937 BXS909937 CHO909937 CRK909937 DBG909937 DLC909937 DUY909937 EEU909937 EOQ909937 EYM909937 FII909937 FSE909937 GCA909937 GLW909937 GVS909937 HFO909937 HPK909937 HZG909937 IJC909937 ISY909937 JCU909937 JMQ909937 JWM909937 KGI909937 KQE909937 LAA909937 LJW909937 LTS909937 MDO909937 MNK909937 MXG909937 NHC909937 NQY909937 OAU909937 OKQ909937 OUM909937 PEI909937 POE909937 PYA909937 QHW909937 QRS909937 RBO909937 RLK909937 RVG909937 SFC909937 SOY909937 SYU909937 TIQ909937 TSM909937 UCI909937 UME909937 UWA909937 VFW909937 VPS909937 VZO909937 WJK909937 WTG909937 XDC909937 GU975473 QQ975473 AAM975473 AKI975473 AUE975473 BEA975473 BNW975473 BXS975473 CHO975473 CRK975473 DBG975473 DLC975473 DUY975473 EEU975473 EOQ975473 EYM975473 FII975473 FSE975473 GCA975473 GLW975473 GVS975473 HFO975473 HPK975473 HZG975473 IJC975473 ISY975473 JCU975473 JMQ975473 JWM975473 KGI975473 KQE975473 LAA975473 LJW975473 LTS975473 MDO975473 MNK975473 MXG975473 NHC975473 NQY975473 OAU975473 OKQ975473 OUM975473 PEI975473 POE975473 PYA975473 QHW975473 QRS975473 RBO975473 RLK975473 RVG975473 SFC975473 SOY975473 SYU975473 TIQ975473 TSM975473 UCI975473 UME975473 UWA975473 VFW975473 VPS975473 VZO975473 WJK975473 WTG975473 XDC975473 GU1041009 QQ1041009 AAM1041009 AKI1041009 AUE1041009 BEA1041009 BNW1041009 BXS1041009 CHO1041009 CRK1041009 DBG1041009 DLC1041009 DUY1041009 EEU1041009 EOQ1041009 EYM1041009 FII1041009 FSE1041009 GCA1041009 GLW1041009 GVS1041009 HFO1041009 HPK1041009 HZG1041009 IJC1041009 ISY1041009 JCU1041009 JMQ1041009 JWM1041009 KGI1041009 KQE1041009 LAA1041009 LJW1041009 LTS1041009 MDO1041009 MNK1041009 MXG1041009 NHC1041009 NQY1041009 OAU1041009 OKQ1041009 OUM1041009 PEI1041009 POE1041009 PYA1041009 QHW1041009 QRS1041009 RBO1041009 RLK1041009 RVG1041009 SFC1041009 SOY1041009 SYU1041009 TIQ1041009 TSM1041009 UCI1041009 UME1041009 UWA1041009 VFW1041009 VPS1041009 VZO1041009 WJK1041009 WTG1041009 XDC1041009" xr:uid="{E1F15578-4AAF-4F23-8D58-CFC2C6F7BD4C}">
      <formula1>"CORE Estimates Upload"</formula1>
    </dataValidation>
    <dataValidation type="custom" showInputMessage="1" showErrorMessage="1" sqref="C6 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C65542 IY65542 SU65542 ACQ65542 AMM65542 AWI65542 BGE65542 BQA65542 BZW65542 CJS65542 CTO65542 DDK65542 DNG65542 DXC65542 EGY65542 EQU65542 FAQ65542 FKM65542 FUI65542 GEE65542 GOA65542 GXW65542 HHS65542 HRO65542 IBK65542 ILG65542 IVC65542 JEY65542 JOU65542 JYQ65542 KIM65542 KSI65542 LCE65542 LMA65542 LVW65542 MFS65542 MPO65542 MZK65542 NJG65542 NTC65542 OCY65542 OMU65542 OWQ65542 PGM65542 PQI65542 QAE65542 QKA65542 QTW65542 RDS65542 RNO65542 RXK65542 SHG65542 SRC65542 TAY65542 TKU65542 TUQ65542 UEM65542 UOI65542 UYE65542 VIA65542 VRW65542 WBS65542 WLO65542 WVK65542 C131078 IY131078 SU131078 ACQ131078 AMM131078 AWI131078 BGE131078 BQA131078 BZW131078 CJS131078 CTO131078 DDK131078 DNG131078 DXC131078 EGY131078 EQU131078 FAQ131078 FKM131078 FUI131078 GEE131078 GOA131078 GXW131078 HHS131078 HRO131078 IBK131078 ILG131078 IVC131078 JEY131078 JOU131078 JYQ131078 KIM131078 KSI131078 LCE131078 LMA131078 LVW131078 MFS131078 MPO131078 MZK131078 NJG131078 NTC131078 OCY131078 OMU131078 OWQ131078 PGM131078 PQI131078 QAE131078 QKA131078 QTW131078 RDS131078 RNO131078 RXK131078 SHG131078 SRC131078 TAY131078 TKU131078 TUQ131078 UEM131078 UOI131078 UYE131078 VIA131078 VRW131078 WBS131078 WLO131078 WVK131078 C196614 IY196614 SU196614 ACQ196614 AMM196614 AWI196614 BGE196614 BQA196614 BZW196614 CJS196614 CTO196614 DDK196614 DNG196614 DXC196614 EGY196614 EQU196614 FAQ196614 FKM196614 FUI196614 GEE196614 GOA196614 GXW196614 HHS196614 HRO196614 IBK196614 ILG196614 IVC196614 JEY196614 JOU196614 JYQ196614 KIM196614 KSI196614 LCE196614 LMA196614 LVW196614 MFS196614 MPO196614 MZK196614 NJG196614 NTC196614 OCY196614 OMU196614 OWQ196614 PGM196614 PQI196614 QAE196614 QKA196614 QTW196614 RDS196614 RNO196614 RXK196614 SHG196614 SRC196614 TAY196614 TKU196614 TUQ196614 UEM196614 UOI196614 UYE196614 VIA196614 VRW196614 WBS196614 WLO196614 WVK196614 C262150 IY262150 SU262150 ACQ262150 AMM262150 AWI262150 BGE262150 BQA262150 BZW262150 CJS262150 CTO262150 DDK262150 DNG262150 DXC262150 EGY262150 EQU262150 FAQ262150 FKM262150 FUI262150 GEE262150 GOA262150 GXW262150 HHS262150 HRO262150 IBK262150 ILG262150 IVC262150 JEY262150 JOU262150 JYQ262150 KIM262150 KSI262150 LCE262150 LMA262150 LVW262150 MFS262150 MPO262150 MZK262150 NJG262150 NTC262150 OCY262150 OMU262150 OWQ262150 PGM262150 PQI262150 QAE262150 QKA262150 QTW262150 RDS262150 RNO262150 RXK262150 SHG262150 SRC262150 TAY262150 TKU262150 TUQ262150 UEM262150 UOI262150 UYE262150 VIA262150 VRW262150 WBS262150 WLO262150 WVK262150 C327686 IY327686 SU327686 ACQ327686 AMM327686 AWI327686 BGE327686 BQA327686 BZW327686 CJS327686 CTO327686 DDK327686 DNG327686 DXC327686 EGY327686 EQU327686 FAQ327686 FKM327686 FUI327686 GEE327686 GOA327686 GXW327686 HHS327686 HRO327686 IBK327686 ILG327686 IVC327686 JEY327686 JOU327686 JYQ327686 KIM327686 KSI327686 LCE327686 LMA327686 LVW327686 MFS327686 MPO327686 MZK327686 NJG327686 NTC327686 OCY327686 OMU327686 OWQ327686 PGM327686 PQI327686 QAE327686 QKA327686 QTW327686 RDS327686 RNO327686 RXK327686 SHG327686 SRC327686 TAY327686 TKU327686 TUQ327686 UEM327686 UOI327686 UYE327686 VIA327686 VRW327686 WBS327686 WLO327686 WVK327686 C393222 IY393222 SU393222 ACQ393222 AMM393222 AWI393222 BGE393222 BQA393222 BZW393222 CJS393222 CTO393222 DDK393222 DNG393222 DXC393222 EGY393222 EQU393222 FAQ393222 FKM393222 FUI393222 GEE393222 GOA393222 GXW393222 HHS393222 HRO393222 IBK393222 ILG393222 IVC393222 JEY393222 JOU393222 JYQ393222 KIM393222 KSI393222 LCE393222 LMA393222 LVW393222 MFS393222 MPO393222 MZK393222 NJG393222 NTC393222 OCY393222 OMU393222 OWQ393222 PGM393222 PQI393222 QAE393222 QKA393222 QTW393222 RDS393222 RNO393222 RXK393222 SHG393222 SRC393222 TAY393222 TKU393222 TUQ393222 UEM393222 UOI393222 UYE393222 VIA393222 VRW393222 WBS393222 WLO393222 WVK393222 C458758 IY458758 SU458758 ACQ458758 AMM458758 AWI458758 BGE458758 BQA458758 BZW458758 CJS458758 CTO458758 DDK458758 DNG458758 DXC458758 EGY458758 EQU458758 FAQ458758 FKM458758 FUI458758 GEE458758 GOA458758 GXW458758 HHS458758 HRO458758 IBK458758 ILG458758 IVC458758 JEY458758 JOU458758 JYQ458758 KIM458758 KSI458758 LCE458758 LMA458758 LVW458758 MFS458758 MPO458758 MZK458758 NJG458758 NTC458758 OCY458758 OMU458758 OWQ458758 PGM458758 PQI458758 QAE458758 QKA458758 QTW458758 RDS458758 RNO458758 RXK458758 SHG458758 SRC458758 TAY458758 TKU458758 TUQ458758 UEM458758 UOI458758 UYE458758 VIA458758 VRW458758 WBS458758 WLO458758 WVK458758 C524294 IY524294 SU524294 ACQ524294 AMM524294 AWI524294 BGE524294 BQA524294 BZW524294 CJS524294 CTO524294 DDK524294 DNG524294 DXC524294 EGY524294 EQU524294 FAQ524294 FKM524294 FUI524294 GEE524294 GOA524294 GXW524294 HHS524294 HRO524294 IBK524294 ILG524294 IVC524294 JEY524294 JOU524294 JYQ524294 KIM524294 KSI524294 LCE524294 LMA524294 LVW524294 MFS524294 MPO524294 MZK524294 NJG524294 NTC524294 OCY524294 OMU524294 OWQ524294 PGM524294 PQI524294 QAE524294 QKA524294 QTW524294 RDS524294 RNO524294 RXK524294 SHG524294 SRC524294 TAY524294 TKU524294 TUQ524294 UEM524294 UOI524294 UYE524294 VIA524294 VRW524294 WBS524294 WLO524294 WVK524294 C589830 IY589830 SU589830 ACQ589830 AMM589830 AWI589830 BGE589830 BQA589830 BZW589830 CJS589830 CTO589830 DDK589830 DNG589830 DXC589830 EGY589830 EQU589830 FAQ589830 FKM589830 FUI589830 GEE589830 GOA589830 GXW589830 HHS589830 HRO589830 IBK589830 ILG589830 IVC589830 JEY589830 JOU589830 JYQ589830 KIM589830 KSI589830 LCE589830 LMA589830 LVW589830 MFS589830 MPO589830 MZK589830 NJG589830 NTC589830 OCY589830 OMU589830 OWQ589830 PGM589830 PQI589830 QAE589830 QKA589830 QTW589830 RDS589830 RNO589830 RXK589830 SHG589830 SRC589830 TAY589830 TKU589830 TUQ589830 UEM589830 UOI589830 UYE589830 VIA589830 VRW589830 WBS589830 WLO589830 WVK589830 C655366 IY655366 SU655366 ACQ655366 AMM655366 AWI655366 BGE655366 BQA655366 BZW655366 CJS655366 CTO655366 DDK655366 DNG655366 DXC655366 EGY655366 EQU655366 FAQ655366 FKM655366 FUI655366 GEE655366 GOA655366 GXW655366 HHS655366 HRO655366 IBK655366 ILG655366 IVC655366 JEY655366 JOU655366 JYQ655366 KIM655366 KSI655366 LCE655366 LMA655366 LVW655366 MFS655366 MPO655366 MZK655366 NJG655366 NTC655366 OCY655366 OMU655366 OWQ655366 PGM655366 PQI655366 QAE655366 QKA655366 QTW655366 RDS655366 RNO655366 RXK655366 SHG655366 SRC655366 TAY655366 TKU655366 TUQ655366 UEM655366 UOI655366 UYE655366 VIA655366 VRW655366 WBS655366 WLO655366 WVK655366 C720902 IY720902 SU720902 ACQ720902 AMM720902 AWI720902 BGE720902 BQA720902 BZW720902 CJS720902 CTO720902 DDK720902 DNG720902 DXC720902 EGY720902 EQU720902 FAQ720902 FKM720902 FUI720902 GEE720902 GOA720902 GXW720902 HHS720902 HRO720902 IBK720902 ILG720902 IVC720902 JEY720902 JOU720902 JYQ720902 KIM720902 KSI720902 LCE720902 LMA720902 LVW720902 MFS720902 MPO720902 MZK720902 NJG720902 NTC720902 OCY720902 OMU720902 OWQ720902 PGM720902 PQI720902 QAE720902 QKA720902 QTW720902 RDS720902 RNO720902 RXK720902 SHG720902 SRC720902 TAY720902 TKU720902 TUQ720902 UEM720902 UOI720902 UYE720902 VIA720902 VRW720902 WBS720902 WLO720902 WVK720902 C786438 IY786438 SU786438 ACQ786438 AMM786438 AWI786438 BGE786438 BQA786438 BZW786438 CJS786438 CTO786438 DDK786438 DNG786438 DXC786438 EGY786438 EQU786438 FAQ786438 FKM786438 FUI786438 GEE786438 GOA786438 GXW786438 HHS786438 HRO786438 IBK786438 ILG786438 IVC786438 JEY786438 JOU786438 JYQ786438 KIM786438 KSI786438 LCE786438 LMA786438 LVW786438 MFS786438 MPO786438 MZK786438 NJG786438 NTC786438 OCY786438 OMU786438 OWQ786438 PGM786438 PQI786438 QAE786438 QKA786438 QTW786438 RDS786438 RNO786438 RXK786438 SHG786438 SRC786438 TAY786438 TKU786438 TUQ786438 UEM786438 UOI786438 UYE786438 VIA786438 VRW786438 WBS786438 WLO786438 WVK786438 C851974 IY851974 SU851974 ACQ851974 AMM851974 AWI851974 BGE851974 BQA851974 BZW851974 CJS851974 CTO851974 DDK851974 DNG851974 DXC851974 EGY851974 EQU851974 FAQ851974 FKM851974 FUI851974 GEE851974 GOA851974 GXW851974 HHS851974 HRO851974 IBK851974 ILG851974 IVC851974 JEY851974 JOU851974 JYQ851974 KIM851974 KSI851974 LCE851974 LMA851974 LVW851974 MFS851974 MPO851974 MZK851974 NJG851974 NTC851974 OCY851974 OMU851974 OWQ851974 PGM851974 PQI851974 QAE851974 QKA851974 QTW851974 RDS851974 RNO851974 RXK851974 SHG851974 SRC851974 TAY851974 TKU851974 TUQ851974 UEM851974 UOI851974 UYE851974 VIA851974 VRW851974 WBS851974 WLO851974 WVK851974 C917510 IY917510 SU917510 ACQ917510 AMM917510 AWI917510 BGE917510 BQA917510 BZW917510 CJS917510 CTO917510 DDK917510 DNG917510 DXC917510 EGY917510 EQU917510 FAQ917510 FKM917510 FUI917510 GEE917510 GOA917510 GXW917510 HHS917510 HRO917510 IBK917510 ILG917510 IVC917510 JEY917510 JOU917510 JYQ917510 KIM917510 KSI917510 LCE917510 LMA917510 LVW917510 MFS917510 MPO917510 MZK917510 NJG917510 NTC917510 OCY917510 OMU917510 OWQ917510 PGM917510 PQI917510 QAE917510 QKA917510 QTW917510 RDS917510 RNO917510 RXK917510 SHG917510 SRC917510 TAY917510 TKU917510 TUQ917510 UEM917510 UOI917510 UYE917510 VIA917510 VRW917510 WBS917510 WLO917510 WVK917510 C983046 IY983046 SU983046 ACQ983046 AMM983046 AWI983046 BGE983046 BQA983046 BZW983046 CJS983046 CTO983046 DDK983046 DNG983046 DXC983046 EGY983046 EQU983046 FAQ983046 FKM983046 FUI983046 GEE983046 GOA983046 GXW983046 HHS983046 HRO983046 IBK983046 ILG983046 IVC983046 JEY983046 JOU983046 JYQ983046 KIM983046 KSI983046 LCE983046 LMA983046 LVW983046 MFS983046 MPO983046 MZK983046 NJG983046 NTC983046 OCY983046 OMU983046 OWQ983046 PGM983046 PQI983046 QAE983046 QKA983046 QTW983046 RDS983046 RNO983046 RXK983046 SHG983046 SRC983046 TAY983046 TKU983046 TUQ983046 UEM983046 UOI983046 UYE983046 VIA983046 VRW983046 WBS983046 WLO983046 WVK983046 GU6 QQ6 AAM6 AKI6 AUE6 BEA6 BNW6 BXS6 CHO6 CRK6 DBG6 DLC6 DUY6 EEU6 EOQ6 EYM6 FII6 FSE6 GCA6 GLW6 GVS6 HFO6 HPK6 HZG6 IJC6 ISY6 JCU6 JMQ6 JWM6 KGI6 KQE6 LAA6 LJW6 LTS6 MDO6 MNK6 MXG6 NHC6 NQY6 OAU6 OKQ6 OUM6 PEI6 POE6 PYA6 QHW6 QRS6 RBO6 RLK6 RVG6 SFC6 SOY6 SYU6 TIQ6 TSM6 UCI6 UME6 UWA6 VFW6 VPS6 VZO6 WJK6 WTG6 XDC6 GU65542 QQ65542 AAM65542 AKI65542 AUE65542 BEA65542 BNW65542 BXS65542 CHO65542 CRK65542 DBG65542 DLC65542 DUY65542 EEU65542 EOQ65542 EYM65542 FII65542 FSE65542 GCA65542 GLW65542 GVS65542 HFO65542 HPK65542 HZG65542 IJC65542 ISY65542 JCU65542 JMQ65542 JWM65542 KGI65542 KQE65542 LAA65542 LJW65542 LTS65542 MDO65542 MNK65542 MXG65542 NHC65542 NQY65542 OAU65542 OKQ65542 OUM65542 PEI65542 POE65542 PYA65542 QHW65542 QRS65542 RBO65542 RLK65542 RVG65542 SFC65542 SOY65542 SYU65542 TIQ65542 TSM65542 UCI65542 UME65542 UWA65542 VFW65542 VPS65542 VZO65542 WJK65542 WTG65542 XDC65542 GU131078 QQ131078 AAM131078 AKI131078 AUE131078 BEA131078 BNW131078 BXS131078 CHO131078 CRK131078 DBG131078 DLC131078 DUY131078 EEU131078 EOQ131078 EYM131078 FII131078 FSE131078 GCA131078 GLW131078 GVS131078 HFO131078 HPK131078 HZG131078 IJC131078 ISY131078 JCU131078 JMQ131078 JWM131078 KGI131078 KQE131078 LAA131078 LJW131078 LTS131078 MDO131078 MNK131078 MXG131078 NHC131078 NQY131078 OAU131078 OKQ131078 OUM131078 PEI131078 POE131078 PYA131078 QHW131078 QRS131078 RBO131078 RLK131078 RVG131078 SFC131078 SOY131078 SYU131078 TIQ131078 TSM131078 UCI131078 UME131078 UWA131078 VFW131078 VPS131078 VZO131078 WJK131078 WTG131078 XDC131078 GU196614 QQ196614 AAM196614 AKI196614 AUE196614 BEA196614 BNW196614 BXS196614 CHO196614 CRK196614 DBG196614 DLC196614 DUY196614 EEU196614 EOQ196614 EYM196614 FII196614 FSE196614 GCA196614 GLW196614 GVS196614 HFO196614 HPK196614 HZG196614 IJC196614 ISY196614 JCU196614 JMQ196614 JWM196614 KGI196614 KQE196614 LAA196614 LJW196614 LTS196614 MDO196614 MNK196614 MXG196614 NHC196614 NQY196614 OAU196614 OKQ196614 OUM196614 PEI196614 POE196614 PYA196614 QHW196614 QRS196614 RBO196614 RLK196614 RVG196614 SFC196614 SOY196614 SYU196614 TIQ196614 TSM196614 UCI196614 UME196614 UWA196614 VFW196614 VPS196614 VZO196614 WJK196614 WTG196614 XDC196614 GU262150 QQ262150 AAM262150 AKI262150 AUE262150 BEA262150 BNW262150 BXS262150 CHO262150 CRK262150 DBG262150 DLC262150 DUY262150 EEU262150 EOQ262150 EYM262150 FII262150 FSE262150 GCA262150 GLW262150 GVS262150 HFO262150 HPK262150 HZG262150 IJC262150 ISY262150 JCU262150 JMQ262150 JWM262150 KGI262150 KQE262150 LAA262150 LJW262150 LTS262150 MDO262150 MNK262150 MXG262150 NHC262150 NQY262150 OAU262150 OKQ262150 OUM262150 PEI262150 POE262150 PYA262150 QHW262150 QRS262150 RBO262150 RLK262150 RVG262150 SFC262150 SOY262150 SYU262150 TIQ262150 TSM262150 UCI262150 UME262150 UWA262150 VFW262150 VPS262150 VZO262150 WJK262150 WTG262150 XDC262150 GU327686 QQ327686 AAM327686 AKI327686 AUE327686 BEA327686 BNW327686 BXS327686 CHO327686 CRK327686 DBG327686 DLC327686 DUY327686 EEU327686 EOQ327686 EYM327686 FII327686 FSE327686 GCA327686 GLW327686 GVS327686 HFO327686 HPK327686 HZG327686 IJC327686 ISY327686 JCU327686 JMQ327686 JWM327686 KGI327686 KQE327686 LAA327686 LJW327686 LTS327686 MDO327686 MNK327686 MXG327686 NHC327686 NQY327686 OAU327686 OKQ327686 OUM327686 PEI327686 POE327686 PYA327686 QHW327686 QRS327686 RBO327686 RLK327686 RVG327686 SFC327686 SOY327686 SYU327686 TIQ327686 TSM327686 UCI327686 UME327686 UWA327686 VFW327686 VPS327686 VZO327686 WJK327686 WTG327686 XDC327686 GU393222 QQ393222 AAM393222 AKI393222 AUE393222 BEA393222 BNW393222 BXS393222 CHO393222 CRK393222 DBG393222 DLC393222 DUY393222 EEU393222 EOQ393222 EYM393222 FII393222 FSE393222 GCA393222 GLW393222 GVS393222 HFO393222 HPK393222 HZG393222 IJC393222 ISY393222 JCU393222 JMQ393222 JWM393222 KGI393222 KQE393222 LAA393222 LJW393222 LTS393222 MDO393222 MNK393222 MXG393222 NHC393222 NQY393222 OAU393222 OKQ393222 OUM393222 PEI393222 POE393222 PYA393222 QHW393222 QRS393222 RBO393222 RLK393222 RVG393222 SFC393222 SOY393222 SYU393222 TIQ393222 TSM393222 UCI393222 UME393222 UWA393222 VFW393222 VPS393222 VZO393222 WJK393222 WTG393222 XDC393222 GU458758 QQ458758 AAM458758 AKI458758 AUE458758 BEA458758 BNW458758 BXS458758 CHO458758 CRK458758 DBG458758 DLC458758 DUY458758 EEU458758 EOQ458758 EYM458758 FII458758 FSE458758 GCA458758 GLW458758 GVS458758 HFO458758 HPK458758 HZG458758 IJC458758 ISY458758 JCU458758 JMQ458758 JWM458758 KGI458758 KQE458758 LAA458758 LJW458758 LTS458758 MDO458758 MNK458758 MXG458758 NHC458758 NQY458758 OAU458758 OKQ458758 OUM458758 PEI458758 POE458758 PYA458758 QHW458758 QRS458758 RBO458758 RLK458758 RVG458758 SFC458758 SOY458758 SYU458758 TIQ458758 TSM458758 UCI458758 UME458758 UWA458758 VFW458758 VPS458758 VZO458758 WJK458758 WTG458758 XDC458758 GU524294 QQ524294 AAM524294 AKI524294 AUE524294 BEA524294 BNW524294 BXS524294 CHO524294 CRK524294 DBG524294 DLC524294 DUY524294 EEU524294 EOQ524294 EYM524294 FII524294 FSE524294 GCA524294 GLW524294 GVS524294 HFO524294 HPK524294 HZG524294 IJC524294 ISY524294 JCU524294 JMQ524294 JWM524294 KGI524294 KQE524294 LAA524294 LJW524294 LTS524294 MDO524294 MNK524294 MXG524294 NHC524294 NQY524294 OAU524294 OKQ524294 OUM524294 PEI524294 POE524294 PYA524294 QHW524294 QRS524294 RBO524294 RLK524294 RVG524294 SFC524294 SOY524294 SYU524294 TIQ524294 TSM524294 UCI524294 UME524294 UWA524294 VFW524294 VPS524294 VZO524294 WJK524294 WTG524294 XDC524294 GU589830 QQ589830 AAM589830 AKI589830 AUE589830 BEA589830 BNW589830 BXS589830 CHO589830 CRK589830 DBG589830 DLC589830 DUY589830 EEU589830 EOQ589830 EYM589830 FII589830 FSE589830 GCA589830 GLW589830 GVS589830 HFO589830 HPK589830 HZG589830 IJC589830 ISY589830 JCU589830 JMQ589830 JWM589830 KGI589830 KQE589830 LAA589830 LJW589830 LTS589830 MDO589830 MNK589830 MXG589830 NHC589830 NQY589830 OAU589830 OKQ589830 OUM589830 PEI589830 POE589830 PYA589830 QHW589830 QRS589830 RBO589830 RLK589830 RVG589830 SFC589830 SOY589830 SYU589830 TIQ589830 TSM589830 UCI589830 UME589830 UWA589830 VFW589830 VPS589830 VZO589830 WJK589830 WTG589830 XDC589830 GU655366 QQ655366 AAM655366 AKI655366 AUE655366 BEA655366 BNW655366 BXS655366 CHO655366 CRK655366 DBG655366 DLC655366 DUY655366 EEU655366 EOQ655366 EYM655366 FII655366 FSE655366 GCA655366 GLW655366 GVS655366 HFO655366 HPK655366 HZG655366 IJC655366 ISY655366 JCU655366 JMQ655366 JWM655366 KGI655366 KQE655366 LAA655366 LJW655366 LTS655366 MDO655366 MNK655366 MXG655366 NHC655366 NQY655366 OAU655366 OKQ655366 OUM655366 PEI655366 POE655366 PYA655366 QHW655366 QRS655366 RBO655366 RLK655366 RVG655366 SFC655366 SOY655366 SYU655366 TIQ655366 TSM655366 UCI655366 UME655366 UWA655366 VFW655366 VPS655366 VZO655366 WJK655366 WTG655366 XDC655366 GU720902 QQ720902 AAM720902 AKI720902 AUE720902 BEA720902 BNW720902 BXS720902 CHO720902 CRK720902 DBG720902 DLC720902 DUY720902 EEU720902 EOQ720902 EYM720902 FII720902 FSE720902 GCA720902 GLW720902 GVS720902 HFO720902 HPK720902 HZG720902 IJC720902 ISY720902 JCU720902 JMQ720902 JWM720902 KGI720902 KQE720902 LAA720902 LJW720902 LTS720902 MDO720902 MNK720902 MXG720902 NHC720902 NQY720902 OAU720902 OKQ720902 OUM720902 PEI720902 POE720902 PYA720902 QHW720902 QRS720902 RBO720902 RLK720902 RVG720902 SFC720902 SOY720902 SYU720902 TIQ720902 TSM720902 UCI720902 UME720902 UWA720902 VFW720902 VPS720902 VZO720902 WJK720902 WTG720902 XDC720902 GU786438 QQ786438 AAM786438 AKI786438 AUE786438 BEA786438 BNW786438 BXS786438 CHO786438 CRK786438 DBG786438 DLC786438 DUY786438 EEU786438 EOQ786438 EYM786438 FII786438 FSE786438 GCA786438 GLW786438 GVS786438 HFO786438 HPK786438 HZG786438 IJC786438 ISY786438 JCU786438 JMQ786438 JWM786438 KGI786438 KQE786438 LAA786438 LJW786438 LTS786438 MDO786438 MNK786438 MXG786438 NHC786438 NQY786438 OAU786438 OKQ786438 OUM786438 PEI786438 POE786438 PYA786438 QHW786438 QRS786438 RBO786438 RLK786438 RVG786438 SFC786438 SOY786438 SYU786438 TIQ786438 TSM786438 UCI786438 UME786438 UWA786438 VFW786438 VPS786438 VZO786438 WJK786438 WTG786438 XDC786438 GU851974 QQ851974 AAM851974 AKI851974 AUE851974 BEA851974 BNW851974 BXS851974 CHO851974 CRK851974 DBG851974 DLC851974 DUY851974 EEU851974 EOQ851974 EYM851974 FII851974 FSE851974 GCA851974 GLW851974 GVS851974 HFO851974 HPK851974 HZG851974 IJC851974 ISY851974 JCU851974 JMQ851974 JWM851974 KGI851974 KQE851974 LAA851974 LJW851974 LTS851974 MDO851974 MNK851974 MXG851974 NHC851974 NQY851974 OAU851974 OKQ851974 OUM851974 PEI851974 POE851974 PYA851974 QHW851974 QRS851974 RBO851974 RLK851974 RVG851974 SFC851974 SOY851974 SYU851974 TIQ851974 TSM851974 UCI851974 UME851974 UWA851974 VFW851974 VPS851974 VZO851974 WJK851974 WTG851974 XDC851974 GU917510 QQ917510 AAM917510 AKI917510 AUE917510 BEA917510 BNW917510 BXS917510 CHO917510 CRK917510 DBG917510 DLC917510 DUY917510 EEU917510 EOQ917510 EYM917510 FII917510 FSE917510 GCA917510 GLW917510 GVS917510 HFO917510 HPK917510 HZG917510 IJC917510 ISY917510 JCU917510 JMQ917510 JWM917510 KGI917510 KQE917510 LAA917510 LJW917510 LTS917510 MDO917510 MNK917510 MXG917510 NHC917510 NQY917510 OAU917510 OKQ917510 OUM917510 PEI917510 POE917510 PYA917510 QHW917510 QRS917510 RBO917510 RLK917510 RVG917510 SFC917510 SOY917510 SYU917510 TIQ917510 TSM917510 UCI917510 UME917510 UWA917510 VFW917510 VPS917510 VZO917510 WJK917510 WTG917510 XDC917510 GU983046 QQ983046 AAM983046 AKI983046 AUE983046 BEA983046 BNW983046 BXS983046 CHO983046 CRK983046 DBG983046 DLC983046 DUY983046 EEU983046 EOQ983046 EYM983046 FII983046 FSE983046 GCA983046 GLW983046 GVS983046 HFO983046 HPK983046 HZG983046 IJC983046 ISY983046 JCU983046 JMQ983046 JWM983046 KGI983046 KQE983046 LAA983046 LJW983046 LTS983046 MDO983046 MNK983046 MXG983046 NHC983046 NQY983046 OAU983046 OKQ983046 OUM983046 PEI983046 POE983046 PYA983046 QHW983046 QRS983046 RBO983046 RLK983046 RVG983046 SFC983046 SOY983046 SYU983046 TIQ983046 TSM983046 UCI983046 UME983046 UWA983046 VFW983046 VPS983046 VZO983046 WJK983046 WTG983046 XDC983046 C57973 IY57973 SU57973 ACQ57973 AMM57973 AWI57973 BGE57973 BQA57973 BZW57973 CJS57973 CTO57973 DDK57973 DNG57973 DXC57973 EGY57973 EQU57973 FAQ57973 FKM57973 FUI57973 GEE57973 GOA57973 GXW57973 HHS57973 HRO57973 IBK57973 ILG57973 IVC57973 JEY57973 JOU57973 JYQ57973 KIM57973 KSI57973 LCE57973 LMA57973 LVW57973 MFS57973 MPO57973 MZK57973 NJG57973 NTC57973 OCY57973 OMU57973 OWQ57973 PGM57973 PQI57973 QAE57973 QKA57973 QTW57973 RDS57973 RNO57973 RXK57973 SHG57973 SRC57973 TAY57973 TKU57973 TUQ57973 UEM57973 UOI57973 UYE57973 VIA57973 VRW57973 WBS57973 WLO57973 WVK57973 C123509 IY123509 SU123509 ACQ123509 AMM123509 AWI123509 BGE123509 BQA123509 BZW123509 CJS123509 CTO123509 DDK123509 DNG123509 DXC123509 EGY123509 EQU123509 FAQ123509 FKM123509 FUI123509 GEE123509 GOA123509 GXW123509 HHS123509 HRO123509 IBK123509 ILG123509 IVC123509 JEY123509 JOU123509 JYQ123509 KIM123509 KSI123509 LCE123509 LMA123509 LVW123509 MFS123509 MPO123509 MZK123509 NJG123509 NTC123509 OCY123509 OMU123509 OWQ123509 PGM123509 PQI123509 QAE123509 QKA123509 QTW123509 RDS123509 RNO123509 RXK123509 SHG123509 SRC123509 TAY123509 TKU123509 TUQ123509 UEM123509 UOI123509 UYE123509 VIA123509 VRW123509 WBS123509 WLO123509 WVK123509 C189045 IY189045 SU189045 ACQ189045 AMM189045 AWI189045 BGE189045 BQA189045 BZW189045 CJS189045 CTO189045 DDK189045 DNG189045 DXC189045 EGY189045 EQU189045 FAQ189045 FKM189045 FUI189045 GEE189045 GOA189045 GXW189045 HHS189045 HRO189045 IBK189045 ILG189045 IVC189045 JEY189045 JOU189045 JYQ189045 KIM189045 KSI189045 LCE189045 LMA189045 LVW189045 MFS189045 MPO189045 MZK189045 NJG189045 NTC189045 OCY189045 OMU189045 OWQ189045 PGM189045 PQI189045 QAE189045 QKA189045 QTW189045 RDS189045 RNO189045 RXK189045 SHG189045 SRC189045 TAY189045 TKU189045 TUQ189045 UEM189045 UOI189045 UYE189045 VIA189045 VRW189045 WBS189045 WLO189045 WVK189045 C254581 IY254581 SU254581 ACQ254581 AMM254581 AWI254581 BGE254581 BQA254581 BZW254581 CJS254581 CTO254581 DDK254581 DNG254581 DXC254581 EGY254581 EQU254581 FAQ254581 FKM254581 FUI254581 GEE254581 GOA254581 GXW254581 HHS254581 HRO254581 IBK254581 ILG254581 IVC254581 JEY254581 JOU254581 JYQ254581 KIM254581 KSI254581 LCE254581 LMA254581 LVW254581 MFS254581 MPO254581 MZK254581 NJG254581 NTC254581 OCY254581 OMU254581 OWQ254581 PGM254581 PQI254581 QAE254581 QKA254581 QTW254581 RDS254581 RNO254581 RXK254581 SHG254581 SRC254581 TAY254581 TKU254581 TUQ254581 UEM254581 UOI254581 UYE254581 VIA254581 VRW254581 WBS254581 WLO254581 WVK254581 C320117 IY320117 SU320117 ACQ320117 AMM320117 AWI320117 BGE320117 BQA320117 BZW320117 CJS320117 CTO320117 DDK320117 DNG320117 DXC320117 EGY320117 EQU320117 FAQ320117 FKM320117 FUI320117 GEE320117 GOA320117 GXW320117 HHS320117 HRO320117 IBK320117 ILG320117 IVC320117 JEY320117 JOU320117 JYQ320117 KIM320117 KSI320117 LCE320117 LMA320117 LVW320117 MFS320117 MPO320117 MZK320117 NJG320117 NTC320117 OCY320117 OMU320117 OWQ320117 PGM320117 PQI320117 QAE320117 QKA320117 QTW320117 RDS320117 RNO320117 RXK320117 SHG320117 SRC320117 TAY320117 TKU320117 TUQ320117 UEM320117 UOI320117 UYE320117 VIA320117 VRW320117 WBS320117 WLO320117 WVK320117 C385653 IY385653 SU385653 ACQ385653 AMM385653 AWI385653 BGE385653 BQA385653 BZW385653 CJS385653 CTO385653 DDK385653 DNG385653 DXC385653 EGY385653 EQU385653 FAQ385653 FKM385653 FUI385653 GEE385653 GOA385653 GXW385653 HHS385653 HRO385653 IBK385653 ILG385653 IVC385653 JEY385653 JOU385653 JYQ385653 KIM385653 KSI385653 LCE385653 LMA385653 LVW385653 MFS385653 MPO385653 MZK385653 NJG385653 NTC385653 OCY385653 OMU385653 OWQ385653 PGM385653 PQI385653 QAE385653 QKA385653 QTW385653 RDS385653 RNO385653 RXK385653 SHG385653 SRC385653 TAY385653 TKU385653 TUQ385653 UEM385653 UOI385653 UYE385653 VIA385653 VRW385653 WBS385653 WLO385653 WVK385653 C451189 IY451189 SU451189 ACQ451189 AMM451189 AWI451189 BGE451189 BQA451189 BZW451189 CJS451189 CTO451189 DDK451189 DNG451189 DXC451189 EGY451189 EQU451189 FAQ451189 FKM451189 FUI451189 GEE451189 GOA451189 GXW451189 HHS451189 HRO451189 IBK451189 ILG451189 IVC451189 JEY451189 JOU451189 JYQ451189 KIM451189 KSI451189 LCE451189 LMA451189 LVW451189 MFS451189 MPO451189 MZK451189 NJG451189 NTC451189 OCY451189 OMU451189 OWQ451189 PGM451189 PQI451189 QAE451189 QKA451189 QTW451189 RDS451189 RNO451189 RXK451189 SHG451189 SRC451189 TAY451189 TKU451189 TUQ451189 UEM451189 UOI451189 UYE451189 VIA451189 VRW451189 WBS451189 WLO451189 WVK451189 C516725 IY516725 SU516725 ACQ516725 AMM516725 AWI516725 BGE516725 BQA516725 BZW516725 CJS516725 CTO516725 DDK516725 DNG516725 DXC516725 EGY516725 EQU516725 FAQ516725 FKM516725 FUI516725 GEE516725 GOA516725 GXW516725 HHS516725 HRO516725 IBK516725 ILG516725 IVC516725 JEY516725 JOU516725 JYQ516725 KIM516725 KSI516725 LCE516725 LMA516725 LVW516725 MFS516725 MPO516725 MZK516725 NJG516725 NTC516725 OCY516725 OMU516725 OWQ516725 PGM516725 PQI516725 QAE516725 QKA516725 QTW516725 RDS516725 RNO516725 RXK516725 SHG516725 SRC516725 TAY516725 TKU516725 TUQ516725 UEM516725 UOI516725 UYE516725 VIA516725 VRW516725 WBS516725 WLO516725 WVK516725 C582261 IY582261 SU582261 ACQ582261 AMM582261 AWI582261 BGE582261 BQA582261 BZW582261 CJS582261 CTO582261 DDK582261 DNG582261 DXC582261 EGY582261 EQU582261 FAQ582261 FKM582261 FUI582261 GEE582261 GOA582261 GXW582261 HHS582261 HRO582261 IBK582261 ILG582261 IVC582261 JEY582261 JOU582261 JYQ582261 KIM582261 KSI582261 LCE582261 LMA582261 LVW582261 MFS582261 MPO582261 MZK582261 NJG582261 NTC582261 OCY582261 OMU582261 OWQ582261 PGM582261 PQI582261 QAE582261 QKA582261 QTW582261 RDS582261 RNO582261 RXK582261 SHG582261 SRC582261 TAY582261 TKU582261 TUQ582261 UEM582261 UOI582261 UYE582261 VIA582261 VRW582261 WBS582261 WLO582261 WVK582261 C647797 IY647797 SU647797 ACQ647797 AMM647797 AWI647797 BGE647797 BQA647797 BZW647797 CJS647797 CTO647797 DDK647797 DNG647797 DXC647797 EGY647797 EQU647797 FAQ647797 FKM647797 FUI647797 GEE647797 GOA647797 GXW647797 HHS647797 HRO647797 IBK647797 ILG647797 IVC647797 JEY647797 JOU647797 JYQ647797 KIM647797 KSI647797 LCE647797 LMA647797 LVW647797 MFS647797 MPO647797 MZK647797 NJG647797 NTC647797 OCY647797 OMU647797 OWQ647797 PGM647797 PQI647797 QAE647797 QKA647797 QTW647797 RDS647797 RNO647797 RXK647797 SHG647797 SRC647797 TAY647797 TKU647797 TUQ647797 UEM647797 UOI647797 UYE647797 VIA647797 VRW647797 WBS647797 WLO647797 WVK647797 C713333 IY713333 SU713333 ACQ713333 AMM713333 AWI713333 BGE713333 BQA713333 BZW713333 CJS713333 CTO713333 DDK713333 DNG713333 DXC713333 EGY713333 EQU713333 FAQ713333 FKM713333 FUI713333 GEE713333 GOA713333 GXW713333 HHS713333 HRO713333 IBK713333 ILG713333 IVC713333 JEY713333 JOU713333 JYQ713333 KIM713333 KSI713333 LCE713333 LMA713333 LVW713333 MFS713333 MPO713333 MZK713333 NJG713333 NTC713333 OCY713333 OMU713333 OWQ713333 PGM713333 PQI713333 QAE713333 QKA713333 QTW713333 RDS713333 RNO713333 RXK713333 SHG713333 SRC713333 TAY713333 TKU713333 TUQ713333 UEM713333 UOI713333 UYE713333 VIA713333 VRW713333 WBS713333 WLO713333 WVK713333 C778869 IY778869 SU778869 ACQ778869 AMM778869 AWI778869 BGE778869 BQA778869 BZW778869 CJS778869 CTO778869 DDK778869 DNG778869 DXC778869 EGY778869 EQU778869 FAQ778869 FKM778869 FUI778869 GEE778869 GOA778869 GXW778869 HHS778869 HRO778869 IBK778869 ILG778869 IVC778869 JEY778869 JOU778869 JYQ778869 KIM778869 KSI778869 LCE778869 LMA778869 LVW778869 MFS778869 MPO778869 MZK778869 NJG778869 NTC778869 OCY778869 OMU778869 OWQ778869 PGM778869 PQI778869 QAE778869 QKA778869 QTW778869 RDS778869 RNO778869 RXK778869 SHG778869 SRC778869 TAY778869 TKU778869 TUQ778869 UEM778869 UOI778869 UYE778869 VIA778869 VRW778869 WBS778869 WLO778869 WVK778869 C844405 IY844405 SU844405 ACQ844405 AMM844405 AWI844405 BGE844405 BQA844405 BZW844405 CJS844405 CTO844405 DDK844405 DNG844405 DXC844405 EGY844405 EQU844405 FAQ844405 FKM844405 FUI844405 GEE844405 GOA844405 GXW844405 HHS844405 HRO844405 IBK844405 ILG844405 IVC844405 JEY844405 JOU844405 JYQ844405 KIM844405 KSI844405 LCE844405 LMA844405 LVW844405 MFS844405 MPO844405 MZK844405 NJG844405 NTC844405 OCY844405 OMU844405 OWQ844405 PGM844405 PQI844405 QAE844405 QKA844405 QTW844405 RDS844405 RNO844405 RXK844405 SHG844405 SRC844405 TAY844405 TKU844405 TUQ844405 UEM844405 UOI844405 UYE844405 VIA844405 VRW844405 WBS844405 WLO844405 WVK844405 C909941 IY909941 SU909941 ACQ909941 AMM909941 AWI909941 BGE909941 BQA909941 BZW909941 CJS909941 CTO909941 DDK909941 DNG909941 DXC909941 EGY909941 EQU909941 FAQ909941 FKM909941 FUI909941 GEE909941 GOA909941 GXW909941 HHS909941 HRO909941 IBK909941 ILG909941 IVC909941 JEY909941 JOU909941 JYQ909941 KIM909941 KSI909941 LCE909941 LMA909941 LVW909941 MFS909941 MPO909941 MZK909941 NJG909941 NTC909941 OCY909941 OMU909941 OWQ909941 PGM909941 PQI909941 QAE909941 QKA909941 QTW909941 RDS909941 RNO909941 RXK909941 SHG909941 SRC909941 TAY909941 TKU909941 TUQ909941 UEM909941 UOI909941 UYE909941 VIA909941 VRW909941 WBS909941 WLO909941 WVK909941 C975477 IY975477 SU975477 ACQ975477 AMM975477 AWI975477 BGE975477 BQA975477 BZW975477 CJS975477 CTO975477 DDK975477 DNG975477 DXC975477 EGY975477 EQU975477 FAQ975477 FKM975477 FUI975477 GEE975477 GOA975477 GXW975477 HHS975477 HRO975477 IBK975477 ILG975477 IVC975477 JEY975477 JOU975477 JYQ975477 KIM975477 KSI975477 LCE975477 LMA975477 LVW975477 MFS975477 MPO975477 MZK975477 NJG975477 NTC975477 OCY975477 OMU975477 OWQ975477 PGM975477 PQI975477 QAE975477 QKA975477 QTW975477 RDS975477 RNO975477 RXK975477 SHG975477 SRC975477 TAY975477 TKU975477 TUQ975477 UEM975477 UOI975477 UYE975477 VIA975477 VRW975477 WBS975477 WLO975477 WVK975477 C1041013 IY1041013 SU1041013 ACQ1041013 AMM1041013 AWI1041013 BGE1041013 BQA1041013 BZW1041013 CJS1041013 CTO1041013 DDK1041013 DNG1041013 DXC1041013 EGY1041013 EQU1041013 FAQ1041013 FKM1041013 FUI1041013 GEE1041013 GOA1041013 GXW1041013 HHS1041013 HRO1041013 IBK1041013 ILG1041013 IVC1041013 JEY1041013 JOU1041013 JYQ1041013 KIM1041013 KSI1041013 LCE1041013 LMA1041013 LVW1041013 MFS1041013 MPO1041013 MZK1041013 NJG1041013 NTC1041013 OCY1041013 OMU1041013 OWQ1041013 PGM1041013 PQI1041013 QAE1041013 QKA1041013 QTW1041013 RDS1041013 RNO1041013 RXK1041013 SHG1041013 SRC1041013 TAY1041013 TKU1041013 TUQ1041013 UEM1041013 UOI1041013 UYE1041013 VIA1041013 VRW1041013 WBS1041013 WLO1041013 WVK1041013 GU57973 QQ57973 AAM57973 AKI57973 AUE57973 BEA57973 BNW57973 BXS57973 CHO57973 CRK57973 DBG57973 DLC57973 DUY57973 EEU57973 EOQ57973 EYM57973 FII57973 FSE57973 GCA57973 GLW57973 GVS57973 HFO57973 HPK57973 HZG57973 IJC57973 ISY57973 JCU57973 JMQ57973 JWM57973 KGI57973 KQE57973 LAA57973 LJW57973 LTS57973 MDO57973 MNK57973 MXG57973 NHC57973 NQY57973 OAU57973 OKQ57973 OUM57973 PEI57973 POE57973 PYA57973 QHW57973 QRS57973 RBO57973 RLK57973 RVG57973 SFC57973 SOY57973 SYU57973 TIQ57973 TSM57973 UCI57973 UME57973 UWA57973 VFW57973 VPS57973 VZO57973 WJK57973 WTG57973 XDC57973 GU123509 QQ123509 AAM123509 AKI123509 AUE123509 BEA123509 BNW123509 BXS123509 CHO123509 CRK123509 DBG123509 DLC123509 DUY123509 EEU123509 EOQ123509 EYM123509 FII123509 FSE123509 GCA123509 GLW123509 GVS123509 HFO123509 HPK123509 HZG123509 IJC123509 ISY123509 JCU123509 JMQ123509 JWM123509 KGI123509 KQE123509 LAA123509 LJW123509 LTS123509 MDO123509 MNK123509 MXG123509 NHC123509 NQY123509 OAU123509 OKQ123509 OUM123509 PEI123509 POE123509 PYA123509 QHW123509 QRS123509 RBO123509 RLK123509 RVG123509 SFC123509 SOY123509 SYU123509 TIQ123509 TSM123509 UCI123509 UME123509 UWA123509 VFW123509 VPS123509 VZO123509 WJK123509 WTG123509 XDC123509 GU189045 QQ189045 AAM189045 AKI189045 AUE189045 BEA189045 BNW189045 BXS189045 CHO189045 CRK189045 DBG189045 DLC189045 DUY189045 EEU189045 EOQ189045 EYM189045 FII189045 FSE189045 GCA189045 GLW189045 GVS189045 HFO189045 HPK189045 HZG189045 IJC189045 ISY189045 JCU189045 JMQ189045 JWM189045 KGI189045 KQE189045 LAA189045 LJW189045 LTS189045 MDO189045 MNK189045 MXG189045 NHC189045 NQY189045 OAU189045 OKQ189045 OUM189045 PEI189045 POE189045 PYA189045 QHW189045 QRS189045 RBO189045 RLK189045 RVG189045 SFC189045 SOY189045 SYU189045 TIQ189045 TSM189045 UCI189045 UME189045 UWA189045 VFW189045 VPS189045 VZO189045 WJK189045 WTG189045 XDC189045 GU254581 QQ254581 AAM254581 AKI254581 AUE254581 BEA254581 BNW254581 BXS254581 CHO254581 CRK254581 DBG254581 DLC254581 DUY254581 EEU254581 EOQ254581 EYM254581 FII254581 FSE254581 GCA254581 GLW254581 GVS254581 HFO254581 HPK254581 HZG254581 IJC254581 ISY254581 JCU254581 JMQ254581 JWM254581 KGI254581 KQE254581 LAA254581 LJW254581 LTS254581 MDO254581 MNK254581 MXG254581 NHC254581 NQY254581 OAU254581 OKQ254581 OUM254581 PEI254581 POE254581 PYA254581 QHW254581 QRS254581 RBO254581 RLK254581 RVG254581 SFC254581 SOY254581 SYU254581 TIQ254581 TSM254581 UCI254581 UME254581 UWA254581 VFW254581 VPS254581 VZO254581 WJK254581 WTG254581 XDC254581 GU320117 QQ320117 AAM320117 AKI320117 AUE320117 BEA320117 BNW320117 BXS320117 CHO320117 CRK320117 DBG320117 DLC320117 DUY320117 EEU320117 EOQ320117 EYM320117 FII320117 FSE320117 GCA320117 GLW320117 GVS320117 HFO320117 HPK320117 HZG320117 IJC320117 ISY320117 JCU320117 JMQ320117 JWM320117 KGI320117 KQE320117 LAA320117 LJW320117 LTS320117 MDO320117 MNK320117 MXG320117 NHC320117 NQY320117 OAU320117 OKQ320117 OUM320117 PEI320117 POE320117 PYA320117 QHW320117 QRS320117 RBO320117 RLK320117 RVG320117 SFC320117 SOY320117 SYU320117 TIQ320117 TSM320117 UCI320117 UME320117 UWA320117 VFW320117 VPS320117 VZO320117 WJK320117 WTG320117 XDC320117 GU385653 QQ385653 AAM385653 AKI385653 AUE385653 BEA385653 BNW385653 BXS385653 CHO385653 CRK385653 DBG385653 DLC385653 DUY385653 EEU385653 EOQ385653 EYM385653 FII385653 FSE385653 GCA385653 GLW385653 GVS385653 HFO385653 HPK385653 HZG385653 IJC385653 ISY385653 JCU385653 JMQ385653 JWM385653 KGI385653 KQE385653 LAA385653 LJW385653 LTS385653 MDO385653 MNK385653 MXG385653 NHC385653 NQY385653 OAU385653 OKQ385653 OUM385653 PEI385653 POE385653 PYA385653 QHW385653 QRS385653 RBO385653 RLK385653 RVG385653 SFC385653 SOY385653 SYU385653 TIQ385653 TSM385653 UCI385653 UME385653 UWA385653 VFW385653 VPS385653 VZO385653 WJK385653 WTG385653 XDC385653 GU451189 QQ451189 AAM451189 AKI451189 AUE451189 BEA451189 BNW451189 BXS451189 CHO451189 CRK451189 DBG451189 DLC451189 DUY451189 EEU451189 EOQ451189 EYM451189 FII451189 FSE451189 GCA451189 GLW451189 GVS451189 HFO451189 HPK451189 HZG451189 IJC451189 ISY451189 JCU451189 JMQ451189 JWM451189 KGI451189 KQE451189 LAA451189 LJW451189 LTS451189 MDO451189 MNK451189 MXG451189 NHC451189 NQY451189 OAU451189 OKQ451189 OUM451189 PEI451189 POE451189 PYA451189 QHW451189 QRS451189 RBO451189 RLK451189 RVG451189 SFC451189 SOY451189 SYU451189 TIQ451189 TSM451189 UCI451189 UME451189 UWA451189 VFW451189 VPS451189 VZO451189 WJK451189 WTG451189 XDC451189 GU516725 QQ516725 AAM516725 AKI516725 AUE516725 BEA516725 BNW516725 BXS516725 CHO516725 CRK516725 DBG516725 DLC516725 DUY516725 EEU516725 EOQ516725 EYM516725 FII516725 FSE516725 GCA516725 GLW516725 GVS516725 HFO516725 HPK516725 HZG516725 IJC516725 ISY516725 JCU516725 JMQ516725 JWM516725 KGI516725 KQE516725 LAA516725 LJW516725 LTS516725 MDO516725 MNK516725 MXG516725 NHC516725 NQY516725 OAU516725 OKQ516725 OUM516725 PEI516725 POE516725 PYA516725 QHW516725 QRS516725 RBO516725 RLK516725 RVG516725 SFC516725 SOY516725 SYU516725 TIQ516725 TSM516725 UCI516725 UME516725 UWA516725 VFW516725 VPS516725 VZO516725 WJK516725 WTG516725 XDC516725 GU582261 QQ582261 AAM582261 AKI582261 AUE582261 BEA582261 BNW582261 BXS582261 CHO582261 CRK582261 DBG582261 DLC582261 DUY582261 EEU582261 EOQ582261 EYM582261 FII582261 FSE582261 GCA582261 GLW582261 GVS582261 HFO582261 HPK582261 HZG582261 IJC582261 ISY582261 JCU582261 JMQ582261 JWM582261 KGI582261 KQE582261 LAA582261 LJW582261 LTS582261 MDO582261 MNK582261 MXG582261 NHC582261 NQY582261 OAU582261 OKQ582261 OUM582261 PEI582261 POE582261 PYA582261 QHW582261 QRS582261 RBO582261 RLK582261 RVG582261 SFC582261 SOY582261 SYU582261 TIQ582261 TSM582261 UCI582261 UME582261 UWA582261 VFW582261 VPS582261 VZO582261 WJK582261 WTG582261 XDC582261 GU647797 QQ647797 AAM647797 AKI647797 AUE647797 BEA647797 BNW647797 BXS647797 CHO647797 CRK647797 DBG647797 DLC647797 DUY647797 EEU647797 EOQ647797 EYM647797 FII647797 FSE647797 GCA647797 GLW647797 GVS647797 HFO647797 HPK647797 HZG647797 IJC647797 ISY647797 JCU647797 JMQ647797 JWM647797 KGI647797 KQE647797 LAA647797 LJW647797 LTS647797 MDO647797 MNK647797 MXG647797 NHC647797 NQY647797 OAU647797 OKQ647797 OUM647797 PEI647797 POE647797 PYA647797 QHW647797 QRS647797 RBO647797 RLK647797 RVG647797 SFC647797 SOY647797 SYU647797 TIQ647797 TSM647797 UCI647797 UME647797 UWA647797 VFW647797 VPS647797 VZO647797 WJK647797 WTG647797 XDC647797 GU713333 QQ713333 AAM713333 AKI713333 AUE713333 BEA713333 BNW713333 BXS713333 CHO713333 CRK713333 DBG713333 DLC713333 DUY713333 EEU713333 EOQ713333 EYM713333 FII713333 FSE713333 GCA713333 GLW713333 GVS713333 HFO713333 HPK713333 HZG713333 IJC713333 ISY713333 JCU713333 JMQ713333 JWM713333 KGI713333 KQE713333 LAA713333 LJW713333 LTS713333 MDO713333 MNK713333 MXG713333 NHC713333 NQY713333 OAU713333 OKQ713333 OUM713333 PEI713333 POE713333 PYA713333 QHW713333 QRS713333 RBO713333 RLK713333 RVG713333 SFC713333 SOY713333 SYU713333 TIQ713333 TSM713333 UCI713333 UME713333 UWA713333 VFW713333 VPS713333 VZO713333 WJK713333 WTG713333 XDC713333 GU778869 QQ778869 AAM778869 AKI778869 AUE778869 BEA778869 BNW778869 BXS778869 CHO778869 CRK778869 DBG778869 DLC778869 DUY778869 EEU778869 EOQ778869 EYM778869 FII778869 FSE778869 GCA778869 GLW778869 GVS778869 HFO778869 HPK778869 HZG778869 IJC778869 ISY778869 JCU778869 JMQ778869 JWM778869 KGI778869 KQE778869 LAA778869 LJW778869 LTS778869 MDO778869 MNK778869 MXG778869 NHC778869 NQY778869 OAU778869 OKQ778869 OUM778869 PEI778869 POE778869 PYA778869 QHW778869 QRS778869 RBO778869 RLK778869 RVG778869 SFC778869 SOY778869 SYU778869 TIQ778869 TSM778869 UCI778869 UME778869 UWA778869 VFW778869 VPS778869 VZO778869 WJK778869 WTG778869 XDC778869 GU844405 QQ844405 AAM844405 AKI844405 AUE844405 BEA844405 BNW844405 BXS844405 CHO844405 CRK844405 DBG844405 DLC844405 DUY844405 EEU844405 EOQ844405 EYM844405 FII844405 FSE844405 GCA844405 GLW844405 GVS844405 HFO844405 HPK844405 HZG844405 IJC844405 ISY844405 JCU844405 JMQ844405 JWM844405 KGI844405 KQE844405 LAA844405 LJW844405 LTS844405 MDO844405 MNK844405 MXG844405 NHC844405 NQY844405 OAU844405 OKQ844405 OUM844405 PEI844405 POE844405 PYA844405 QHW844405 QRS844405 RBO844405 RLK844405 RVG844405 SFC844405 SOY844405 SYU844405 TIQ844405 TSM844405 UCI844405 UME844405 UWA844405 VFW844405 VPS844405 VZO844405 WJK844405 WTG844405 XDC844405 GU909941 QQ909941 AAM909941 AKI909941 AUE909941 BEA909941 BNW909941 BXS909941 CHO909941 CRK909941 DBG909941 DLC909941 DUY909941 EEU909941 EOQ909941 EYM909941 FII909941 FSE909941 GCA909941 GLW909941 GVS909941 HFO909941 HPK909941 HZG909941 IJC909941 ISY909941 JCU909941 JMQ909941 JWM909941 KGI909941 KQE909941 LAA909941 LJW909941 LTS909941 MDO909941 MNK909941 MXG909941 NHC909941 NQY909941 OAU909941 OKQ909941 OUM909941 PEI909941 POE909941 PYA909941 QHW909941 QRS909941 RBO909941 RLK909941 RVG909941 SFC909941 SOY909941 SYU909941 TIQ909941 TSM909941 UCI909941 UME909941 UWA909941 VFW909941 VPS909941 VZO909941 WJK909941 WTG909941 XDC909941 GU975477 QQ975477 AAM975477 AKI975477 AUE975477 BEA975477 BNW975477 BXS975477 CHO975477 CRK975477 DBG975477 DLC975477 DUY975477 EEU975477 EOQ975477 EYM975477 FII975477 FSE975477 GCA975477 GLW975477 GVS975477 HFO975477 HPK975477 HZG975477 IJC975477 ISY975477 JCU975477 JMQ975477 JWM975477 KGI975477 KQE975477 LAA975477 LJW975477 LTS975477 MDO975477 MNK975477 MXG975477 NHC975477 NQY975477 OAU975477 OKQ975477 OUM975477 PEI975477 POE975477 PYA975477 QHW975477 QRS975477 RBO975477 RLK975477 RVG975477 SFC975477 SOY975477 SYU975477 TIQ975477 TSM975477 UCI975477 UME975477 UWA975477 VFW975477 VPS975477 VZO975477 WJK975477 WTG975477 XDC975477 GU1041013 QQ1041013 AAM1041013 AKI1041013 AUE1041013 BEA1041013 BNW1041013 BXS1041013 CHO1041013 CRK1041013 DBG1041013 DLC1041013 DUY1041013 EEU1041013 EOQ1041013 EYM1041013 FII1041013 FSE1041013 GCA1041013 GLW1041013 GVS1041013 HFO1041013 HPK1041013 HZG1041013 IJC1041013 ISY1041013 JCU1041013 JMQ1041013 JWM1041013 KGI1041013 KQE1041013 LAA1041013 LJW1041013 LTS1041013 MDO1041013 MNK1041013 MXG1041013 NHC1041013 NQY1041013 OAU1041013 OKQ1041013 OUM1041013 PEI1041013 POE1041013 PYA1041013 QHW1041013 QRS1041013 RBO1041013 RLK1041013 RVG1041013 SFC1041013 SOY1041013 SYU1041013 TIQ1041013 TSM1041013 UCI1041013 UME1041013 UWA1041013 VFW1041013 VPS1041013 VZO1041013 WJK1041013 WTG1041013 XDC1041013" xr:uid="{79EE1BD7-4D0C-479D-9210-9FE2A342E1A7}">
      <formula1>"Ticker"</formula1>
    </dataValidation>
    <dataValidation type="custom"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GU8 QQ8 AAM8 AKI8 AUE8 BEA8 BNW8 BXS8 CHO8 CRK8 DBG8 DLC8 DUY8 EEU8 EOQ8 EYM8 FII8 FSE8 GCA8 GLW8 GVS8 HFO8 HPK8 HZG8 IJC8 ISY8 JCU8 JMQ8 JWM8 KGI8 KQE8 LAA8 LJW8 LTS8 MDO8 MNK8 MXG8 NHC8 NQY8 OAU8 OKQ8 OUM8 PEI8 POE8 PYA8 QHW8 QRS8 RBO8 RLK8 RVG8 SFC8 SOY8 SYU8 TIQ8 TSM8 UCI8 UME8 UWA8 VFW8 VPS8 VZO8 WJK8 WTG8 XDC8 GU65544 QQ65544 AAM65544 AKI65544 AUE65544 BEA65544 BNW65544 BXS65544 CHO65544 CRK65544 DBG65544 DLC65544 DUY65544 EEU65544 EOQ65544 EYM65544 FII65544 FSE65544 GCA65544 GLW65544 GVS65544 HFO65544 HPK65544 HZG65544 IJC65544 ISY65544 JCU65544 JMQ65544 JWM65544 KGI65544 KQE65544 LAA65544 LJW65544 LTS65544 MDO65544 MNK65544 MXG65544 NHC65544 NQY65544 OAU65544 OKQ65544 OUM65544 PEI65544 POE65544 PYA65544 QHW65544 QRS65544 RBO65544 RLK65544 RVG65544 SFC65544 SOY65544 SYU65544 TIQ65544 TSM65544 UCI65544 UME65544 UWA65544 VFW65544 VPS65544 VZO65544 WJK65544 WTG65544 XDC65544 GU131080 QQ131080 AAM131080 AKI131080 AUE131080 BEA131080 BNW131080 BXS131080 CHO131080 CRK131080 DBG131080 DLC131080 DUY131080 EEU131080 EOQ131080 EYM131080 FII131080 FSE131080 GCA131080 GLW131080 GVS131080 HFO131080 HPK131080 HZG131080 IJC131080 ISY131080 JCU131080 JMQ131080 JWM131080 KGI131080 KQE131080 LAA131080 LJW131080 LTS131080 MDO131080 MNK131080 MXG131080 NHC131080 NQY131080 OAU131080 OKQ131080 OUM131080 PEI131080 POE131080 PYA131080 QHW131080 QRS131080 RBO131080 RLK131080 RVG131080 SFC131080 SOY131080 SYU131080 TIQ131080 TSM131080 UCI131080 UME131080 UWA131080 VFW131080 VPS131080 VZO131080 WJK131080 WTG131080 XDC131080 GU196616 QQ196616 AAM196616 AKI196616 AUE196616 BEA196616 BNW196616 BXS196616 CHO196616 CRK196616 DBG196616 DLC196616 DUY196616 EEU196616 EOQ196616 EYM196616 FII196616 FSE196616 GCA196616 GLW196616 GVS196616 HFO196616 HPK196616 HZG196616 IJC196616 ISY196616 JCU196616 JMQ196616 JWM196616 KGI196616 KQE196616 LAA196616 LJW196616 LTS196616 MDO196616 MNK196616 MXG196616 NHC196616 NQY196616 OAU196616 OKQ196616 OUM196616 PEI196616 POE196616 PYA196616 QHW196616 QRS196616 RBO196616 RLK196616 RVG196616 SFC196616 SOY196616 SYU196616 TIQ196616 TSM196616 UCI196616 UME196616 UWA196616 VFW196616 VPS196616 VZO196616 WJK196616 WTG196616 XDC196616 GU262152 QQ262152 AAM262152 AKI262152 AUE262152 BEA262152 BNW262152 BXS262152 CHO262152 CRK262152 DBG262152 DLC262152 DUY262152 EEU262152 EOQ262152 EYM262152 FII262152 FSE262152 GCA262152 GLW262152 GVS262152 HFO262152 HPK262152 HZG262152 IJC262152 ISY262152 JCU262152 JMQ262152 JWM262152 KGI262152 KQE262152 LAA262152 LJW262152 LTS262152 MDO262152 MNK262152 MXG262152 NHC262152 NQY262152 OAU262152 OKQ262152 OUM262152 PEI262152 POE262152 PYA262152 QHW262152 QRS262152 RBO262152 RLK262152 RVG262152 SFC262152 SOY262152 SYU262152 TIQ262152 TSM262152 UCI262152 UME262152 UWA262152 VFW262152 VPS262152 VZO262152 WJK262152 WTG262152 XDC262152 GU327688 QQ327688 AAM327688 AKI327688 AUE327688 BEA327688 BNW327688 BXS327688 CHO327688 CRK327688 DBG327688 DLC327688 DUY327688 EEU327688 EOQ327688 EYM327688 FII327688 FSE327688 GCA327688 GLW327688 GVS327688 HFO327688 HPK327688 HZG327688 IJC327688 ISY327688 JCU327688 JMQ327688 JWM327688 KGI327688 KQE327688 LAA327688 LJW327688 LTS327688 MDO327688 MNK327688 MXG327688 NHC327688 NQY327688 OAU327688 OKQ327688 OUM327688 PEI327688 POE327688 PYA327688 QHW327688 QRS327688 RBO327688 RLK327688 RVG327688 SFC327688 SOY327688 SYU327688 TIQ327688 TSM327688 UCI327688 UME327688 UWA327688 VFW327688 VPS327688 VZO327688 WJK327688 WTG327688 XDC327688 GU393224 QQ393224 AAM393224 AKI393224 AUE393224 BEA393224 BNW393224 BXS393224 CHO393224 CRK393224 DBG393224 DLC393224 DUY393224 EEU393224 EOQ393224 EYM393224 FII393224 FSE393224 GCA393224 GLW393224 GVS393224 HFO393224 HPK393224 HZG393224 IJC393224 ISY393224 JCU393224 JMQ393224 JWM393224 KGI393224 KQE393224 LAA393224 LJW393224 LTS393224 MDO393224 MNK393224 MXG393224 NHC393224 NQY393224 OAU393224 OKQ393224 OUM393224 PEI393224 POE393224 PYA393224 QHW393224 QRS393224 RBO393224 RLK393224 RVG393224 SFC393224 SOY393224 SYU393224 TIQ393224 TSM393224 UCI393224 UME393224 UWA393224 VFW393224 VPS393224 VZO393224 WJK393224 WTG393224 XDC393224 GU458760 QQ458760 AAM458760 AKI458760 AUE458760 BEA458760 BNW458760 BXS458760 CHO458760 CRK458760 DBG458760 DLC458760 DUY458760 EEU458760 EOQ458760 EYM458760 FII458760 FSE458760 GCA458760 GLW458760 GVS458760 HFO458760 HPK458760 HZG458760 IJC458760 ISY458760 JCU458760 JMQ458760 JWM458760 KGI458760 KQE458760 LAA458760 LJW458760 LTS458760 MDO458760 MNK458760 MXG458760 NHC458760 NQY458760 OAU458760 OKQ458760 OUM458760 PEI458760 POE458760 PYA458760 QHW458760 QRS458760 RBO458760 RLK458760 RVG458760 SFC458760 SOY458760 SYU458760 TIQ458760 TSM458760 UCI458760 UME458760 UWA458760 VFW458760 VPS458760 VZO458760 WJK458760 WTG458760 XDC458760 GU524296 QQ524296 AAM524296 AKI524296 AUE524296 BEA524296 BNW524296 BXS524296 CHO524296 CRK524296 DBG524296 DLC524296 DUY524296 EEU524296 EOQ524296 EYM524296 FII524296 FSE524296 GCA524296 GLW524296 GVS524296 HFO524296 HPK524296 HZG524296 IJC524296 ISY524296 JCU524296 JMQ524296 JWM524296 KGI524296 KQE524296 LAA524296 LJW524296 LTS524296 MDO524296 MNK524296 MXG524296 NHC524296 NQY524296 OAU524296 OKQ524296 OUM524296 PEI524296 POE524296 PYA524296 QHW524296 QRS524296 RBO524296 RLK524296 RVG524296 SFC524296 SOY524296 SYU524296 TIQ524296 TSM524296 UCI524296 UME524296 UWA524296 VFW524296 VPS524296 VZO524296 WJK524296 WTG524296 XDC524296 GU589832 QQ589832 AAM589832 AKI589832 AUE589832 BEA589832 BNW589832 BXS589832 CHO589832 CRK589832 DBG589832 DLC589832 DUY589832 EEU589832 EOQ589832 EYM589832 FII589832 FSE589832 GCA589832 GLW589832 GVS589832 HFO589832 HPK589832 HZG589832 IJC589832 ISY589832 JCU589832 JMQ589832 JWM589832 KGI589832 KQE589832 LAA589832 LJW589832 LTS589832 MDO589832 MNK589832 MXG589832 NHC589832 NQY589832 OAU589832 OKQ589832 OUM589832 PEI589832 POE589832 PYA589832 QHW589832 QRS589832 RBO589832 RLK589832 RVG589832 SFC589832 SOY589832 SYU589832 TIQ589832 TSM589832 UCI589832 UME589832 UWA589832 VFW589832 VPS589832 VZO589832 WJK589832 WTG589832 XDC589832 GU655368 QQ655368 AAM655368 AKI655368 AUE655368 BEA655368 BNW655368 BXS655368 CHO655368 CRK655368 DBG655368 DLC655368 DUY655368 EEU655368 EOQ655368 EYM655368 FII655368 FSE655368 GCA655368 GLW655368 GVS655368 HFO655368 HPK655368 HZG655368 IJC655368 ISY655368 JCU655368 JMQ655368 JWM655368 KGI655368 KQE655368 LAA655368 LJW655368 LTS655368 MDO655368 MNK655368 MXG655368 NHC655368 NQY655368 OAU655368 OKQ655368 OUM655368 PEI655368 POE655368 PYA655368 QHW655368 QRS655368 RBO655368 RLK655368 RVG655368 SFC655368 SOY655368 SYU655368 TIQ655368 TSM655368 UCI655368 UME655368 UWA655368 VFW655368 VPS655368 VZO655368 WJK655368 WTG655368 XDC655368 GU720904 QQ720904 AAM720904 AKI720904 AUE720904 BEA720904 BNW720904 BXS720904 CHO720904 CRK720904 DBG720904 DLC720904 DUY720904 EEU720904 EOQ720904 EYM720904 FII720904 FSE720904 GCA720904 GLW720904 GVS720904 HFO720904 HPK720904 HZG720904 IJC720904 ISY720904 JCU720904 JMQ720904 JWM720904 KGI720904 KQE720904 LAA720904 LJW720904 LTS720904 MDO720904 MNK720904 MXG720904 NHC720904 NQY720904 OAU720904 OKQ720904 OUM720904 PEI720904 POE720904 PYA720904 QHW720904 QRS720904 RBO720904 RLK720904 RVG720904 SFC720904 SOY720904 SYU720904 TIQ720904 TSM720904 UCI720904 UME720904 UWA720904 VFW720904 VPS720904 VZO720904 WJK720904 WTG720904 XDC720904 GU786440 QQ786440 AAM786440 AKI786440 AUE786440 BEA786440 BNW786440 BXS786440 CHO786440 CRK786440 DBG786440 DLC786440 DUY786440 EEU786440 EOQ786440 EYM786440 FII786440 FSE786440 GCA786440 GLW786440 GVS786440 HFO786440 HPK786440 HZG786440 IJC786440 ISY786440 JCU786440 JMQ786440 JWM786440 KGI786440 KQE786440 LAA786440 LJW786440 LTS786440 MDO786440 MNK786440 MXG786440 NHC786440 NQY786440 OAU786440 OKQ786440 OUM786440 PEI786440 POE786440 PYA786440 QHW786440 QRS786440 RBO786440 RLK786440 RVG786440 SFC786440 SOY786440 SYU786440 TIQ786440 TSM786440 UCI786440 UME786440 UWA786440 VFW786440 VPS786440 VZO786440 WJK786440 WTG786440 XDC786440 GU851976 QQ851976 AAM851976 AKI851976 AUE851976 BEA851976 BNW851976 BXS851976 CHO851976 CRK851976 DBG851976 DLC851976 DUY851976 EEU851976 EOQ851976 EYM851976 FII851976 FSE851976 GCA851976 GLW851976 GVS851976 HFO851976 HPK851976 HZG851976 IJC851976 ISY851976 JCU851976 JMQ851976 JWM851976 KGI851976 KQE851976 LAA851976 LJW851976 LTS851976 MDO851976 MNK851976 MXG851976 NHC851976 NQY851976 OAU851976 OKQ851976 OUM851976 PEI851976 POE851976 PYA851976 QHW851976 QRS851976 RBO851976 RLK851976 RVG851976 SFC851976 SOY851976 SYU851976 TIQ851976 TSM851976 UCI851976 UME851976 UWA851976 VFW851976 VPS851976 VZO851976 WJK851976 WTG851976 XDC851976 GU917512 QQ917512 AAM917512 AKI917512 AUE917512 BEA917512 BNW917512 BXS917512 CHO917512 CRK917512 DBG917512 DLC917512 DUY917512 EEU917512 EOQ917512 EYM917512 FII917512 FSE917512 GCA917512 GLW917512 GVS917512 HFO917512 HPK917512 HZG917512 IJC917512 ISY917512 JCU917512 JMQ917512 JWM917512 KGI917512 KQE917512 LAA917512 LJW917512 LTS917512 MDO917512 MNK917512 MXG917512 NHC917512 NQY917512 OAU917512 OKQ917512 OUM917512 PEI917512 POE917512 PYA917512 QHW917512 QRS917512 RBO917512 RLK917512 RVG917512 SFC917512 SOY917512 SYU917512 TIQ917512 TSM917512 UCI917512 UME917512 UWA917512 VFW917512 VPS917512 VZO917512 WJK917512 WTG917512 XDC917512 GU983048 QQ983048 AAM983048 AKI983048 AUE983048 BEA983048 BNW983048 BXS983048 CHO983048 CRK983048 DBG983048 DLC983048 DUY983048 EEU983048 EOQ983048 EYM983048 FII983048 FSE983048 GCA983048 GLW983048 GVS983048 HFO983048 HPK983048 HZG983048 IJC983048 ISY983048 JCU983048 JMQ983048 JWM983048 KGI983048 KQE983048 LAA983048 LJW983048 LTS983048 MDO983048 MNK983048 MXG983048 NHC983048 NQY983048 OAU983048 OKQ983048 OUM983048 PEI983048 POE983048 PYA983048 QHW983048 QRS983048 RBO983048 RLK983048 RVG983048 SFC983048 SOY983048 SYU983048 TIQ983048 TSM983048 UCI983048 UME983048 UWA983048 VFW983048 VPS983048 VZO983048 WJK983048 WTG983048 XDC983048 C57975 IY57975 SU57975 ACQ57975 AMM57975 AWI57975 BGE57975 BQA57975 BZW57975 CJS57975 CTO57975 DDK57975 DNG57975 DXC57975 EGY57975 EQU57975 FAQ57975 FKM57975 FUI57975 GEE57975 GOA57975 GXW57975 HHS57975 HRO57975 IBK57975 ILG57975 IVC57975 JEY57975 JOU57975 JYQ57975 KIM57975 KSI57975 LCE57975 LMA57975 LVW57975 MFS57975 MPO57975 MZK57975 NJG57975 NTC57975 OCY57975 OMU57975 OWQ57975 PGM57975 PQI57975 QAE57975 QKA57975 QTW57975 RDS57975 RNO57975 RXK57975 SHG57975 SRC57975 TAY57975 TKU57975 TUQ57975 UEM57975 UOI57975 UYE57975 VIA57975 VRW57975 WBS57975 WLO57975 WVK57975 C123511 IY123511 SU123511 ACQ123511 AMM123511 AWI123511 BGE123511 BQA123511 BZW123511 CJS123511 CTO123511 DDK123511 DNG123511 DXC123511 EGY123511 EQU123511 FAQ123511 FKM123511 FUI123511 GEE123511 GOA123511 GXW123511 HHS123511 HRO123511 IBK123511 ILG123511 IVC123511 JEY123511 JOU123511 JYQ123511 KIM123511 KSI123511 LCE123511 LMA123511 LVW123511 MFS123511 MPO123511 MZK123511 NJG123511 NTC123511 OCY123511 OMU123511 OWQ123511 PGM123511 PQI123511 QAE123511 QKA123511 QTW123511 RDS123511 RNO123511 RXK123511 SHG123511 SRC123511 TAY123511 TKU123511 TUQ123511 UEM123511 UOI123511 UYE123511 VIA123511 VRW123511 WBS123511 WLO123511 WVK123511 C189047 IY189047 SU189047 ACQ189047 AMM189047 AWI189047 BGE189047 BQA189047 BZW189047 CJS189047 CTO189047 DDK189047 DNG189047 DXC189047 EGY189047 EQU189047 FAQ189047 FKM189047 FUI189047 GEE189047 GOA189047 GXW189047 HHS189047 HRO189047 IBK189047 ILG189047 IVC189047 JEY189047 JOU189047 JYQ189047 KIM189047 KSI189047 LCE189047 LMA189047 LVW189047 MFS189047 MPO189047 MZK189047 NJG189047 NTC189047 OCY189047 OMU189047 OWQ189047 PGM189047 PQI189047 QAE189047 QKA189047 QTW189047 RDS189047 RNO189047 RXK189047 SHG189047 SRC189047 TAY189047 TKU189047 TUQ189047 UEM189047 UOI189047 UYE189047 VIA189047 VRW189047 WBS189047 WLO189047 WVK189047 C254583 IY254583 SU254583 ACQ254583 AMM254583 AWI254583 BGE254583 BQA254583 BZW254583 CJS254583 CTO254583 DDK254583 DNG254583 DXC254583 EGY254583 EQU254583 FAQ254583 FKM254583 FUI254583 GEE254583 GOA254583 GXW254583 HHS254583 HRO254583 IBK254583 ILG254583 IVC254583 JEY254583 JOU254583 JYQ254583 KIM254583 KSI254583 LCE254583 LMA254583 LVW254583 MFS254583 MPO254583 MZK254583 NJG254583 NTC254583 OCY254583 OMU254583 OWQ254583 PGM254583 PQI254583 QAE254583 QKA254583 QTW254583 RDS254583 RNO254583 RXK254583 SHG254583 SRC254583 TAY254583 TKU254583 TUQ254583 UEM254583 UOI254583 UYE254583 VIA254583 VRW254583 WBS254583 WLO254583 WVK254583 C320119 IY320119 SU320119 ACQ320119 AMM320119 AWI320119 BGE320119 BQA320119 BZW320119 CJS320119 CTO320119 DDK320119 DNG320119 DXC320119 EGY320119 EQU320119 FAQ320119 FKM320119 FUI320119 GEE320119 GOA320119 GXW320119 HHS320119 HRO320119 IBK320119 ILG320119 IVC320119 JEY320119 JOU320119 JYQ320119 KIM320119 KSI320119 LCE320119 LMA320119 LVW320119 MFS320119 MPO320119 MZK320119 NJG320119 NTC320119 OCY320119 OMU320119 OWQ320119 PGM320119 PQI320119 QAE320119 QKA320119 QTW320119 RDS320119 RNO320119 RXK320119 SHG320119 SRC320119 TAY320119 TKU320119 TUQ320119 UEM320119 UOI320119 UYE320119 VIA320119 VRW320119 WBS320119 WLO320119 WVK320119 C385655 IY385655 SU385655 ACQ385655 AMM385655 AWI385655 BGE385655 BQA385655 BZW385655 CJS385655 CTO385655 DDK385655 DNG385655 DXC385655 EGY385655 EQU385655 FAQ385655 FKM385655 FUI385655 GEE385655 GOA385655 GXW385655 HHS385655 HRO385655 IBK385655 ILG385655 IVC385655 JEY385655 JOU385655 JYQ385655 KIM385655 KSI385655 LCE385655 LMA385655 LVW385655 MFS385655 MPO385655 MZK385655 NJG385655 NTC385655 OCY385655 OMU385655 OWQ385655 PGM385655 PQI385655 QAE385655 QKA385655 QTW385655 RDS385655 RNO385655 RXK385655 SHG385655 SRC385655 TAY385655 TKU385655 TUQ385655 UEM385655 UOI385655 UYE385655 VIA385655 VRW385655 WBS385655 WLO385655 WVK385655 C451191 IY451191 SU451191 ACQ451191 AMM451191 AWI451191 BGE451191 BQA451191 BZW451191 CJS451191 CTO451191 DDK451191 DNG451191 DXC451191 EGY451191 EQU451191 FAQ451191 FKM451191 FUI451191 GEE451191 GOA451191 GXW451191 HHS451191 HRO451191 IBK451191 ILG451191 IVC451191 JEY451191 JOU451191 JYQ451191 KIM451191 KSI451191 LCE451191 LMA451191 LVW451191 MFS451191 MPO451191 MZK451191 NJG451191 NTC451191 OCY451191 OMU451191 OWQ451191 PGM451191 PQI451191 QAE451191 QKA451191 QTW451191 RDS451191 RNO451191 RXK451191 SHG451191 SRC451191 TAY451191 TKU451191 TUQ451191 UEM451191 UOI451191 UYE451191 VIA451191 VRW451191 WBS451191 WLO451191 WVK451191 C516727 IY516727 SU516727 ACQ516727 AMM516727 AWI516727 BGE516727 BQA516727 BZW516727 CJS516727 CTO516727 DDK516727 DNG516727 DXC516727 EGY516727 EQU516727 FAQ516727 FKM516727 FUI516727 GEE516727 GOA516727 GXW516727 HHS516727 HRO516727 IBK516727 ILG516727 IVC516727 JEY516727 JOU516727 JYQ516727 KIM516727 KSI516727 LCE516727 LMA516727 LVW516727 MFS516727 MPO516727 MZK516727 NJG516727 NTC516727 OCY516727 OMU516727 OWQ516727 PGM516727 PQI516727 QAE516727 QKA516727 QTW516727 RDS516727 RNO516727 RXK516727 SHG516727 SRC516727 TAY516727 TKU516727 TUQ516727 UEM516727 UOI516727 UYE516727 VIA516727 VRW516727 WBS516727 WLO516727 WVK516727 C582263 IY582263 SU582263 ACQ582263 AMM582263 AWI582263 BGE582263 BQA582263 BZW582263 CJS582263 CTO582263 DDK582263 DNG582263 DXC582263 EGY582263 EQU582263 FAQ582263 FKM582263 FUI582263 GEE582263 GOA582263 GXW582263 HHS582263 HRO582263 IBK582263 ILG582263 IVC582263 JEY582263 JOU582263 JYQ582263 KIM582263 KSI582263 LCE582263 LMA582263 LVW582263 MFS582263 MPO582263 MZK582263 NJG582263 NTC582263 OCY582263 OMU582263 OWQ582263 PGM582263 PQI582263 QAE582263 QKA582263 QTW582263 RDS582263 RNO582263 RXK582263 SHG582263 SRC582263 TAY582263 TKU582263 TUQ582263 UEM582263 UOI582263 UYE582263 VIA582263 VRW582263 WBS582263 WLO582263 WVK582263 C647799 IY647799 SU647799 ACQ647799 AMM647799 AWI647799 BGE647799 BQA647799 BZW647799 CJS647799 CTO647799 DDK647799 DNG647799 DXC647799 EGY647799 EQU647799 FAQ647799 FKM647799 FUI647799 GEE647799 GOA647799 GXW647799 HHS647799 HRO647799 IBK647799 ILG647799 IVC647799 JEY647799 JOU647799 JYQ647799 KIM647799 KSI647799 LCE647799 LMA647799 LVW647799 MFS647799 MPO647799 MZK647799 NJG647799 NTC647799 OCY647799 OMU647799 OWQ647799 PGM647799 PQI647799 QAE647799 QKA647799 QTW647799 RDS647799 RNO647799 RXK647799 SHG647799 SRC647799 TAY647799 TKU647799 TUQ647799 UEM647799 UOI647799 UYE647799 VIA647799 VRW647799 WBS647799 WLO647799 WVK647799 C713335 IY713335 SU713335 ACQ713335 AMM713335 AWI713335 BGE713335 BQA713335 BZW713335 CJS713335 CTO713335 DDK713335 DNG713335 DXC713335 EGY713335 EQU713335 FAQ713335 FKM713335 FUI713335 GEE713335 GOA713335 GXW713335 HHS713335 HRO713335 IBK713335 ILG713335 IVC713335 JEY713335 JOU713335 JYQ713335 KIM713335 KSI713335 LCE713335 LMA713335 LVW713335 MFS713335 MPO713335 MZK713335 NJG713335 NTC713335 OCY713335 OMU713335 OWQ713335 PGM713335 PQI713335 QAE713335 QKA713335 QTW713335 RDS713335 RNO713335 RXK713335 SHG713335 SRC713335 TAY713335 TKU713335 TUQ713335 UEM713335 UOI713335 UYE713335 VIA713335 VRW713335 WBS713335 WLO713335 WVK713335 C778871 IY778871 SU778871 ACQ778871 AMM778871 AWI778871 BGE778871 BQA778871 BZW778871 CJS778871 CTO778871 DDK778871 DNG778871 DXC778871 EGY778871 EQU778871 FAQ778871 FKM778871 FUI778871 GEE778871 GOA778871 GXW778871 HHS778871 HRO778871 IBK778871 ILG778871 IVC778871 JEY778871 JOU778871 JYQ778871 KIM778871 KSI778871 LCE778871 LMA778871 LVW778871 MFS778871 MPO778871 MZK778871 NJG778871 NTC778871 OCY778871 OMU778871 OWQ778871 PGM778871 PQI778871 QAE778871 QKA778871 QTW778871 RDS778871 RNO778871 RXK778871 SHG778871 SRC778871 TAY778871 TKU778871 TUQ778871 UEM778871 UOI778871 UYE778871 VIA778871 VRW778871 WBS778871 WLO778871 WVK778871 C844407 IY844407 SU844407 ACQ844407 AMM844407 AWI844407 BGE844407 BQA844407 BZW844407 CJS844407 CTO844407 DDK844407 DNG844407 DXC844407 EGY844407 EQU844407 FAQ844407 FKM844407 FUI844407 GEE844407 GOA844407 GXW844407 HHS844407 HRO844407 IBK844407 ILG844407 IVC844407 JEY844407 JOU844407 JYQ844407 KIM844407 KSI844407 LCE844407 LMA844407 LVW844407 MFS844407 MPO844407 MZK844407 NJG844407 NTC844407 OCY844407 OMU844407 OWQ844407 PGM844407 PQI844407 QAE844407 QKA844407 QTW844407 RDS844407 RNO844407 RXK844407 SHG844407 SRC844407 TAY844407 TKU844407 TUQ844407 UEM844407 UOI844407 UYE844407 VIA844407 VRW844407 WBS844407 WLO844407 WVK844407 C909943 IY909943 SU909943 ACQ909943 AMM909943 AWI909943 BGE909943 BQA909943 BZW909943 CJS909943 CTO909943 DDK909943 DNG909943 DXC909943 EGY909943 EQU909943 FAQ909943 FKM909943 FUI909943 GEE909943 GOA909943 GXW909943 HHS909943 HRO909943 IBK909943 ILG909943 IVC909943 JEY909943 JOU909943 JYQ909943 KIM909943 KSI909943 LCE909943 LMA909943 LVW909943 MFS909943 MPO909943 MZK909943 NJG909943 NTC909943 OCY909943 OMU909943 OWQ909943 PGM909943 PQI909943 QAE909943 QKA909943 QTW909943 RDS909943 RNO909943 RXK909943 SHG909943 SRC909943 TAY909943 TKU909943 TUQ909943 UEM909943 UOI909943 UYE909943 VIA909943 VRW909943 WBS909943 WLO909943 WVK909943 C975479 IY975479 SU975479 ACQ975479 AMM975479 AWI975479 BGE975479 BQA975479 BZW975479 CJS975479 CTO975479 DDK975479 DNG975479 DXC975479 EGY975479 EQU975479 FAQ975479 FKM975479 FUI975479 GEE975479 GOA975479 GXW975479 HHS975479 HRO975479 IBK975479 ILG975479 IVC975479 JEY975479 JOU975479 JYQ975479 KIM975479 KSI975479 LCE975479 LMA975479 LVW975479 MFS975479 MPO975479 MZK975479 NJG975479 NTC975479 OCY975479 OMU975479 OWQ975479 PGM975479 PQI975479 QAE975479 QKA975479 QTW975479 RDS975479 RNO975479 RXK975479 SHG975479 SRC975479 TAY975479 TKU975479 TUQ975479 UEM975479 UOI975479 UYE975479 VIA975479 VRW975479 WBS975479 WLO975479 WVK975479 C1041015 IY1041015 SU1041015 ACQ1041015 AMM1041015 AWI1041015 BGE1041015 BQA1041015 BZW1041015 CJS1041015 CTO1041015 DDK1041015 DNG1041015 DXC1041015 EGY1041015 EQU1041015 FAQ1041015 FKM1041015 FUI1041015 GEE1041015 GOA1041015 GXW1041015 HHS1041015 HRO1041015 IBK1041015 ILG1041015 IVC1041015 JEY1041015 JOU1041015 JYQ1041015 KIM1041015 KSI1041015 LCE1041015 LMA1041015 LVW1041015 MFS1041015 MPO1041015 MZK1041015 NJG1041015 NTC1041015 OCY1041015 OMU1041015 OWQ1041015 PGM1041015 PQI1041015 QAE1041015 QKA1041015 QTW1041015 RDS1041015 RNO1041015 RXK1041015 SHG1041015 SRC1041015 TAY1041015 TKU1041015 TUQ1041015 UEM1041015 UOI1041015 UYE1041015 VIA1041015 VRW1041015 WBS1041015 WLO1041015 WVK1041015 GU57975 QQ57975 AAM57975 AKI57975 AUE57975 BEA57975 BNW57975 BXS57975 CHO57975 CRK57975 DBG57975 DLC57975 DUY57975 EEU57975 EOQ57975 EYM57975 FII57975 FSE57975 GCA57975 GLW57975 GVS57975 HFO57975 HPK57975 HZG57975 IJC57975 ISY57975 JCU57975 JMQ57975 JWM57975 KGI57975 KQE57975 LAA57975 LJW57975 LTS57975 MDO57975 MNK57975 MXG57975 NHC57975 NQY57975 OAU57975 OKQ57975 OUM57975 PEI57975 POE57975 PYA57975 QHW57975 QRS57975 RBO57975 RLK57975 RVG57975 SFC57975 SOY57975 SYU57975 TIQ57975 TSM57975 UCI57975 UME57975 UWA57975 VFW57975 VPS57975 VZO57975 WJK57975 WTG57975 XDC57975 GU123511 QQ123511 AAM123511 AKI123511 AUE123511 BEA123511 BNW123511 BXS123511 CHO123511 CRK123511 DBG123511 DLC123511 DUY123511 EEU123511 EOQ123511 EYM123511 FII123511 FSE123511 GCA123511 GLW123511 GVS123511 HFO123511 HPK123511 HZG123511 IJC123511 ISY123511 JCU123511 JMQ123511 JWM123511 KGI123511 KQE123511 LAA123511 LJW123511 LTS123511 MDO123511 MNK123511 MXG123511 NHC123511 NQY123511 OAU123511 OKQ123511 OUM123511 PEI123511 POE123511 PYA123511 QHW123511 QRS123511 RBO123511 RLK123511 RVG123511 SFC123511 SOY123511 SYU123511 TIQ123511 TSM123511 UCI123511 UME123511 UWA123511 VFW123511 VPS123511 VZO123511 WJK123511 WTG123511 XDC123511 GU189047 QQ189047 AAM189047 AKI189047 AUE189047 BEA189047 BNW189047 BXS189047 CHO189047 CRK189047 DBG189047 DLC189047 DUY189047 EEU189047 EOQ189047 EYM189047 FII189047 FSE189047 GCA189047 GLW189047 GVS189047 HFO189047 HPK189047 HZG189047 IJC189047 ISY189047 JCU189047 JMQ189047 JWM189047 KGI189047 KQE189047 LAA189047 LJW189047 LTS189047 MDO189047 MNK189047 MXG189047 NHC189047 NQY189047 OAU189047 OKQ189047 OUM189047 PEI189047 POE189047 PYA189047 QHW189047 QRS189047 RBO189047 RLK189047 RVG189047 SFC189047 SOY189047 SYU189047 TIQ189047 TSM189047 UCI189047 UME189047 UWA189047 VFW189047 VPS189047 VZO189047 WJK189047 WTG189047 XDC189047 GU254583 QQ254583 AAM254583 AKI254583 AUE254583 BEA254583 BNW254583 BXS254583 CHO254583 CRK254583 DBG254583 DLC254583 DUY254583 EEU254583 EOQ254583 EYM254583 FII254583 FSE254583 GCA254583 GLW254583 GVS254583 HFO254583 HPK254583 HZG254583 IJC254583 ISY254583 JCU254583 JMQ254583 JWM254583 KGI254583 KQE254583 LAA254583 LJW254583 LTS254583 MDO254583 MNK254583 MXG254583 NHC254583 NQY254583 OAU254583 OKQ254583 OUM254583 PEI254583 POE254583 PYA254583 QHW254583 QRS254583 RBO254583 RLK254583 RVG254583 SFC254583 SOY254583 SYU254583 TIQ254583 TSM254583 UCI254583 UME254583 UWA254583 VFW254583 VPS254583 VZO254583 WJK254583 WTG254583 XDC254583 GU320119 QQ320119 AAM320119 AKI320119 AUE320119 BEA320119 BNW320119 BXS320119 CHO320119 CRK320119 DBG320119 DLC320119 DUY320119 EEU320119 EOQ320119 EYM320119 FII320119 FSE320119 GCA320119 GLW320119 GVS320119 HFO320119 HPK320119 HZG320119 IJC320119 ISY320119 JCU320119 JMQ320119 JWM320119 KGI320119 KQE320119 LAA320119 LJW320119 LTS320119 MDO320119 MNK320119 MXG320119 NHC320119 NQY320119 OAU320119 OKQ320119 OUM320119 PEI320119 POE320119 PYA320119 QHW320119 QRS320119 RBO320119 RLK320119 RVG320119 SFC320119 SOY320119 SYU320119 TIQ320119 TSM320119 UCI320119 UME320119 UWA320119 VFW320119 VPS320119 VZO320119 WJK320119 WTG320119 XDC320119 GU385655 QQ385655 AAM385655 AKI385655 AUE385655 BEA385655 BNW385655 BXS385655 CHO385655 CRK385655 DBG385655 DLC385655 DUY385655 EEU385655 EOQ385655 EYM385655 FII385655 FSE385655 GCA385655 GLW385655 GVS385655 HFO385655 HPK385655 HZG385655 IJC385655 ISY385655 JCU385655 JMQ385655 JWM385655 KGI385655 KQE385655 LAA385655 LJW385655 LTS385655 MDO385655 MNK385655 MXG385655 NHC385655 NQY385655 OAU385655 OKQ385655 OUM385655 PEI385655 POE385655 PYA385655 QHW385655 QRS385655 RBO385655 RLK385655 RVG385655 SFC385655 SOY385655 SYU385655 TIQ385655 TSM385655 UCI385655 UME385655 UWA385655 VFW385655 VPS385655 VZO385655 WJK385655 WTG385655 XDC385655 GU451191 QQ451191 AAM451191 AKI451191 AUE451191 BEA451191 BNW451191 BXS451191 CHO451191 CRK451191 DBG451191 DLC451191 DUY451191 EEU451191 EOQ451191 EYM451191 FII451191 FSE451191 GCA451191 GLW451191 GVS451191 HFO451191 HPK451191 HZG451191 IJC451191 ISY451191 JCU451191 JMQ451191 JWM451191 KGI451191 KQE451191 LAA451191 LJW451191 LTS451191 MDO451191 MNK451191 MXG451191 NHC451191 NQY451191 OAU451191 OKQ451191 OUM451191 PEI451191 POE451191 PYA451191 QHW451191 QRS451191 RBO451191 RLK451191 RVG451191 SFC451191 SOY451191 SYU451191 TIQ451191 TSM451191 UCI451191 UME451191 UWA451191 VFW451191 VPS451191 VZO451191 WJK451191 WTG451191 XDC451191 GU516727 QQ516727 AAM516727 AKI516727 AUE516727 BEA516727 BNW516727 BXS516727 CHO516727 CRK516727 DBG516727 DLC516727 DUY516727 EEU516727 EOQ516727 EYM516727 FII516727 FSE516727 GCA516727 GLW516727 GVS516727 HFO516727 HPK516727 HZG516727 IJC516727 ISY516727 JCU516727 JMQ516727 JWM516727 KGI516727 KQE516727 LAA516727 LJW516727 LTS516727 MDO516727 MNK516727 MXG516727 NHC516727 NQY516727 OAU516727 OKQ516727 OUM516727 PEI516727 POE516727 PYA516727 QHW516727 QRS516727 RBO516727 RLK516727 RVG516727 SFC516727 SOY516727 SYU516727 TIQ516727 TSM516727 UCI516727 UME516727 UWA516727 VFW516727 VPS516727 VZO516727 WJK516727 WTG516727 XDC516727 GU582263 QQ582263 AAM582263 AKI582263 AUE582263 BEA582263 BNW582263 BXS582263 CHO582263 CRK582263 DBG582263 DLC582263 DUY582263 EEU582263 EOQ582263 EYM582263 FII582263 FSE582263 GCA582263 GLW582263 GVS582263 HFO582263 HPK582263 HZG582263 IJC582263 ISY582263 JCU582263 JMQ582263 JWM582263 KGI582263 KQE582263 LAA582263 LJW582263 LTS582263 MDO582263 MNK582263 MXG582263 NHC582263 NQY582263 OAU582263 OKQ582263 OUM582263 PEI582263 POE582263 PYA582263 QHW582263 QRS582263 RBO582263 RLK582263 RVG582263 SFC582263 SOY582263 SYU582263 TIQ582263 TSM582263 UCI582263 UME582263 UWA582263 VFW582263 VPS582263 VZO582263 WJK582263 WTG582263 XDC582263 GU647799 QQ647799 AAM647799 AKI647799 AUE647799 BEA647799 BNW647799 BXS647799 CHO647799 CRK647799 DBG647799 DLC647799 DUY647799 EEU647799 EOQ647799 EYM647799 FII647799 FSE647799 GCA647799 GLW647799 GVS647799 HFO647799 HPK647799 HZG647799 IJC647799 ISY647799 JCU647799 JMQ647799 JWM647799 KGI647799 KQE647799 LAA647799 LJW647799 LTS647799 MDO647799 MNK647799 MXG647799 NHC647799 NQY647799 OAU647799 OKQ647799 OUM647799 PEI647799 POE647799 PYA647799 QHW647799 QRS647799 RBO647799 RLK647799 RVG647799 SFC647799 SOY647799 SYU647799 TIQ647799 TSM647799 UCI647799 UME647799 UWA647799 VFW647799 VPS647799 VZO647799 WJK647799 WTG647799 XDC647799 GU713335 QQ713335 AAM713335 AKI713335 AUE713335 BEA713335 BNW713335 BXS713335 CHO713335 CRK713335 DBG713335 DLC713335 DUY713335 EEU713335 EOQ713335 EYM713335 FII713335 FSE713335 GCA713335 GLW713335 GVS713335 HFO713335 HPK713335 HZG713335 IJC713335 ISY713335 JCU713335 JMQ713335 JWM713335 KGI713335 KQE713335 LAA713335 LJW713335 LTS713335 MDO713335 MNK713335 MXG713335 NHC713335 NQY713335 OAU713335 OKQ713335 OUM713335 PEI713335 POE713335 PYA713335 QHW713335 QRS713335 RBO713335 RLK713335 RVG713335 SFC713335 SOY713335 SYU713335 TIQ713335 TSM713335 UCI713335 UME713335 UWA713335 VFW713335 VPS713335 VZO713335 WJK713335 WTG713335 XDC713335 GU778871 QQ778871 AAM778871 AKI778871 AUE778871 BEA778871 BNW778871 BXS778871 CHO778871 CRK778871 DBG778871 DLC778871 DUY778871 EEU778871 EOQ778871 EYM778871 FII778871 FSE778871 GCA778871 GLW778871 GVS778871 HFO778871 HPK778871 HZG778871 IJC778871 ISY778871 JCU778871 JMQ778871 JWM778871 KGI778871 KQE778871 LAA778871 LJW778871 LTS778871 MDO778871 MNK778871 MXG778871 NHC778871 NQY778871 OAU778871 OKQ778871 OUM778871 PEI778871 POE778871 PYA778871 QHW778871 QRS778871 RBO778871 RLK778871 RVG778871 SFC778871 SOY778871 SYU778871 TIQ778871 TSM778871 UCI778871 UME778871 UWA778871 VFW778871 VPS778871 VZO778871 WJK778871 WTG778871 XDC778871 GU844407 QQ844407 AAM844407 AKI844407 AUE844407 BEA844407 BNW844407 BXS844407 CHO844407 CRK844407 DBG844407 DLC844407 DUY844407 EEU844407 EOQ844407 EYM844407 FII844407 FSE844407 GCA844407 GLW844407 GVS844407 HFO844407 HPK844407 HZG844407 IJC844407 ISY844407 JCU844407 JMQ844407 JWM844407 KGI844407 KQE844407 LAA844407 LJW844407 LTS844407 MDO844407 MNK844407 MXG844407 NHC844407 NQY844407 OAU844407 OKQ844407 OUM844407 PEI844407 POE844407 PYA844407 QHW844407 QRS844407 RBO844407 RLK844407 RVG844407 SFC844407 SOY844407 SYU844407 TIQ844407 TSM844407 UCI844407 UME844407 UWA844407 VFW844407 VPS844407 VZO844407 WJK844407 WTG844407 XDC844407 GU909943 QQ909943 AAM909943 AKI909943 AUE909943 BEA909943 BNW909943 BXS909943 CHO909943 CRK909943 DBG909943 DLC909943 DUY909943 EEU909943 EOQ909943 EYM909943 FII909943 FSE909943 GCA909943 GLW909943 GVS909943 HFO909943 HPK909943 HZG909943 IJC909943 ISY909943 JCU909943 JMQ909943 JWM909943 KGI909943 KQE909943 LAA909943 LJW909943 LTS909943 MDO909943 MNK909943 MXG909943 NHC909943 NQY909943 OAU909943 OKQ909943 OUM909943 PEI909943 POE909943 PYA909943 QHW909943 QRS909943 RBO909943 RLK909943 RVG909943 SFC909943 SOY909943 SYU909943 TIQ909943 TSM909943 UCI909943 UME909943 UWA909943 VFW909943 VPS909943 VZO909943 WJK909943 WTG909943 XDC909943 GU975479 QQ975479 AAM975479 AKI975479 AUE975479 BEA975479 BNW975479 BXS975479 CHO975479 CRK975479 DBG975479 DLC975479 DUY975479 EEU975479 EOQ975479 EYM975479 FII975479 FSE975479 GCA975479 GLW975479 GVS975479 HFO975479 HPK975479 HZG975479 IJC975479 ISY975479 JCU975479 JMQ975479 JWM975479 KGI975479 KQE975479 LAA975479 LJW975479 LTS975479 MDO975479 MNK975479 MXG975479 NHC975479 NQY975479 OAU975479 OKQ975479 OUM975479 PEI975479 POE975479 PYA975479 QHW975479 QRS975479 RBO975479 RLK975479 RVG975479 SFC975479 SOY975479 SYU975479 TIQ975479 TSM975479 UCI975479 UME975479 UWA975479 VFW975479 VPS975479 VZO975479 WJK975479 WTG975479 XDC975479 GU1041015 QQ1041015 AAM1041015 AKI1041015 AUE1041015 BEA1041015 BNW1041015 BXS1041015 CHO1041015 CRK1041015 DBG1041015 DLC1041015 DUY1041015 EEU1041015 EOQ1041015 EYM1041015 FII1041015 FSE1041015 GCA1041015 GLW1041015 GVS1041015 HFO1041015 HPK1041015 HZG1041015 IJC1041015 ISY1041015 JCU1041015 JMQ1041015 JWM1041015 KGI1041015 KQE1041015 LAA1041015 LJW1041015 LTS1041015 MDO1041015 MNK1041015 MXG1041015 NHC1041015 NQY1041015 OAU1041015 OKQ1041015 OUM1041015 PEI1041015 POE1041015 PYA1041015 QHW1041015 QRS1041015 RBO1041015 RLK1041015 RVG1041015 SFC1041015 SOY1041015 SYU1041015 TIQ1041015 TSM1041015 UCI1041015 UME1041015 UWA1041015 VFW1041015 VPS1041015 VZO1041015 WJK1041015 WTG1041015 XDC1041015" xr:uid="{9543259A-1CB6-404A-95DA-69DE429ECE85}">
      <formula1>"Reporting Period"</formula1>
    </dataValidation>
    <dataValidation type="custom" showInputMessage="1" showErrorMessage="1" sqref="C9 IY9 SU9 ACQ9 AMM9 AWI9 BGE9 BQA9 BZW9 CJS9 CTO9 DDK9 DNG9 DXC9 EGY9 EQU9 FAQ9 FKM9 FUI9 GEE9 GOA9 GXW9 HHS9 HRO9 IBK9 ILG9 IVC9 JEY9 JOU9 JYQ9 KIM9 KSI9 LCE9 LMA9 LVW9 MFS9 MPO9 MZK9 NJG9 NTC9 OCY9 OMU9 OWQ9 PGM9 PQI9 QAE9 QKA9 QTW9 RDS9 RNO9 RXK9 SHG9 SRC9 TAY9 TKU9 TUQ9 UEM9 UOI9 UYE9 VIA9 VRW9 WBS9 WLO9 WVK9 C65545 IY65545 SU65545 ACQ65545 AMM65545 AWI65545 BGE65545 BQA65545 BZW65545 CJS65545 CTO65545 DDK65545 DNG65545 DXC65545 EGY65545 EQU65545 FAQ65545 FKM65545 FUI65545 GEE65545 GOA65545 GXW65545 HHS65545 HRO65545 IBK65545 ILG65545 IVC65545 JEY65545 JOU65545 JYQ65545 KIM65545 KSI65545 LCE65545 LMA65545 LVW65545 MFS65545 MPO65545 MZK65545 NJG65545 NTC65545 OCY65545 OMU65545 OWQ65545 PGM65545 PQI65545 QAE65545 QKA65545 QTW65545 RDS65545 RNO65545 RXK65545 SHG65545 SRC65545 TAY65545 TKU65545 TUQ65545 UEM65545 UOI65545 UYE65545 VIA65545 VRW65545 WBS65545 WLO65545 WVK65545 C131081 IY131081 SU131081 ACQ131081 AMM131081 AWI131081 BGE131081 BQA131081 BZW131081 CJS131081 CTO131081 DDK131081 DNG131081 DXC131081 EGY131081 EQU131081 FAQ131081 FKM131081 FUI131081 GEE131081 GOA131081 GXW131081 HHS131081 HRO131081 IBK131081 ILG131081 IVC131081 JEY131081 JOU131081 JYQ131081 KIM131081 KSI131081 LCE131081 LMA131081 LVW131081 MFS131081 MPO131081 MZK131081 NJG131081 NTC131081 OCY131081 OMU131081 OWQ131081 PGM131081 PQI131081 QAE131081 QKA131081 QTW131081 RDS131081 RNO131081 RXK131081 SHG131081 SRC131081 TAY131081 TKU131081 TUQ131081 UEM131081 UOI131081 UYE131081 VIA131081 VRW131081 WBS131081 WLO131081 WVK131081 C196617 IY196617 SU196617 ACQ196617 AMM196617 AWI196617 BGE196617 BQA196617 BZW196617 CJS196617 CTO196617 DDK196617 DNG196617 DXC196617 EGY196617 EQU196617 FAQ196617 FKM196617 FUI196617 GEE196617 GOA196617 GXW196617 HHS196617 HRO196617 IBK196617 ILG196617 IVC196617 JEY196617 JOU196617 JYQ196617 KIM196617 KSI196617 LCE196617 LMA196617 LVW196617 MFS196617 MPO196617 MZK196617 NJG196617 NTC196617 OCY196617 OMU196617 OWQ196617 PGM196617 PQI196617 QAE196617 QKA196617 QTW196617 RDS196617 RNO196617 RXK196617 SHG196617 SRC196617 TAY196617 TKU196617 TUQ196617 UEM196617 UOI196617 UYE196617 VIA196617 VRW196617 WBS196617 WLO196617 WVK196617 C262153 IY262153 SU262153 ACQ262153 AMM262153 AWI262153 BGE262153 BQA262153 BZW262153 CJS262153 CTO262153 DDK262153 DNG262153 DXC262153 EGY262153 EQU262153 FAQ262153 FKM262153 FUI262153 GEE262153 GOA262153 GXW262153 HHS262153 HRO262153 IBK262153 ILG262153 IVC262153 JEY262153 JOU262153 JYQ262153 KIM262153 KSI262153 LCE262153 LMA262153 LVW262153 MFS262153 MPO262153 MZK262153 NJG262153 NTC262153 OCY262153 OMU262153 OWQ262153 PGM262153 PQI262153 QAE262153 QKA262153 QTW262153 RDS262153 RNO262153 RXK262153 SHG262153 SRC262153 TAY262153 TKU262153 TUQ262153 UEM262153 UOI262153 UYE262153 VIA262153 VRW262153 WBS262153 WLO262153 WVK262153 C327689 IY327689 SU327689 ACQ327689 AMM327689 AWI327689 BGE327689 BQA327689 BZW327689 CJS327689 CTO327689 DDK327689 DNG327689 DXC327689 EGY327689 EQU327689 FAQ327689 FKM327689 FUI327689 GEE327689 GOA327689 GXW327689 HHS327689 HRO327689 IBK327689 ILG327689 IVC327689 JEY327689 JOU327689 JYQ327689 KIM327689 KSI327689 LCE327689 LMA327689 LVW327689 MFS327689 MPO327689 MZK327689 NJG327689 NTC327689 OCY327689 OMU327689 OWQ327689 PGM327689 PQI327689 QAE327689 QKA327689 QTW327689 RDS327689 RNO327689 RXK327689 SHG327689 SRC327689 TAY327689 TKU327689 TUQ327689 UEM327689 UOI327689 UYE327689 VIA327689 VRW327689 WBS327689 WLO327689 WVK327689 C393225 IY393225 SU393225 ACQ393225 AMM393225 AWI393225 BGE393225 BQA393225 BZW393225 CJS393225 CTO393225 DDK393225 DNG393225 DXC393225 EGY393225 EQU393225 FAQ393225 FKM393225 FUI393225 GEE393225 GOA393225 GXW393225 HHS393225 HRO393225 IBK393225 ILG393225 IVC393225 JEY393225 JOU393225 JYQ393225 KIM393225 KSI393225 LCE393225 LMA393225 LVW393225 MFS393225 MPO393225 MZK393225 NJG393225 NTC393225 OCY393225 OMU393225 OWQ393225 PGM393225 PQI393225 QAE393225 QKA393225 QTW393225 RDS393225 RNO393225 RXK393225 SHG393225 SRC393225 TAY393225 TKU393225 TUQ393225 UEM393225 UOI393225 UYE393225 VIA393225 VRW393225 WBS393225 WLO393225 WVK393225 C458761 IY458761 SU458761 ACQ458761 AMM458761 AWI458761 BGE458761 BQA458761 BZW458761 CJS458761 CTO458761 DDK458761 DNG458761 DXC458761 EGY458761 EQU458761 FAQ458761 FKM458761 FUI458761 GEE458761 GOA458761 GXW458761 HHS458761 HRO458761 IBK458761 ILG458761 IVC458761 JEY458761 JOU458761 JYQ458761 KIM458761 KSI458761 LCE458761 LMA458761 LVW458761 MFS458761 MPO458761 MZK458761 NJG458761 NTC458761 OCY458761 OMU458761 OWQ458761 PGM458761 PQI458761 QAE458761 QKA458761 QTW458761 RDS458761 RNO458761 RXK458761 SHG458761 SRC458761 TAY458761 TKU458761 TUQ458761 UEM458761 UOI458761 UYE458761 VIA458761 VRW458761 WBS458761 WLO458761 WVK458761 C524297 IY524297 SU524297 ACQ524297 AMM524297 AWI524297 BGE524297 BQA524297 BZW524297 CJS524297 CTO524297 DDK524297 DNG524297 DXC524297 EGY524297 EQU524297 FAQ524297 FKM524297 FUI524297 GEE524297 GOA524297 GXW524297 HHS524297 HRO524297 IBK524297 ILG524297 IVC524297 JEY524297 JOU524297 JYQ524297 KIM524297 KSI524297 LCE524297 LMA524297 LVW524297 MFS524297 MPO524297 MZK524297 NJG524297 NTC524297 OCY524297 OMU524297 OWQ524297 PGM524297 PQI524297 QAE524297 QKA524297 QTW524297 RDS524297 RNO524297 RXK524297 SHG524297 SRC524297 TAY524297 TKU524297 TUQ524297 UEM524297 UOI524297 UYE524297 VIA524297 VRW524297 WBS524297 WLO524297 WVK524297 C589833 IY589833 SU589833 ACQ589833 AMM589833 AWI589833 BGE589833 BQA589833 BZW589833 CJS589833 CTO589833 DDK589833 DNG589833 DXC589833 EGY589833 EQU589833 FAQ589833 FKM589833 FUI589833 GEE589833 GOA589833 GXW589833 HHS589833 HRO589833 IBK589833 ILG589833 IVC589833 JEY589833 JOU589833 JYQ589833 KIM589833 KSI589833 LCE589833 LMA589833 LVW589833 MFS589833 MPO589833 MZK589833 NJG589833 NTC589833 OCY589833 OMU589833 OWQ589833 PGM589833 PQI589833 QAE589833 QKA589833 QTW589833 RDS589833 RNO589833 RXK589833 SHG589833 SRC589833 TAY589833 TKU589833 TUQ589833 UEM589833 UOI589833 UYE589833 VIA589833 VRW589833 WBS589833 WLO589833 WVK589833 C655369 IY655369 SU655369 ACQ655369 AMM655369 AWI655369 BGE655369 BQA655369 BZW655369 CJS655369 CTO655369 DDK655369 DNG655369 DXC655369 EGY655369 EQU655369 FAQ655369 FKM655369 FUI655369 GEE655369 GOA655369 GXW655369 HHS655369 HRO655369 IBK655369 ILG655369 IVC655369 JEY655369 JOU655369 JYQ655369 KIM655369 KSI655369 LCE655369 LMA655369 LVW655369 MFS655369 MPO655369 MZK655369 NJG655369 NTC655369 OCY655369 OMU655369 OWQ655369 PGM655369 PQI655369 QAE655369 QKA655369 QTW655369 RDS655369 RNO655369 RXK655369 SHG655369 SRC655369 TAY655369 TKU655369 TUQ655369 UEM655369 UOI655369 UYE655369 VIA655369 VRW655369 WBS655369 WLO655369 WVK655369 C720905 IY720905 SU720905 ACQ720905 AMM720905 AWI720905 BGE720905 BQA720905 BZW720905 CJS720905 CTO720905 DDK720905 DNG720905 DXC720905 EGY720905 EQU720905 FAQ720905 FKM720905 FUI720905 GEE720905 GOA720905 GXW720905 HHS720905 HRO720905 IBK720905 ILG720905 IVC720905 JEY720905 JOU720905 JYQ720905 KIM720905 KSI720905 LCE720905 LMA720905 LVW720905 MFS720905 MPO720905 MZK720905 NJG720905 NTC720905 OCY720905 OMU720905 OWQ720905 PGM720905 PQI720905 QAE720905 QKA720905 QTW720905 RDS720905 RNO720905 RXK720905 SHG720905 SRC720905 TAY720905 TKU720905 TUQ720905 UEM720905 UOI720905 UYE720905 VIA720905 VRW720905 WBS720905 WLO720905 WVK720905 C786441 IY786441 SU786441 ACQ786441 AMM786441 AWI786441 BGE786441 BQA786441 BZW786441 CJS786441 CTO786441 DDK786441 DNG786441 DXC786441 EGY786441 EQU786441 FAQ786441 FKM786441 FUI786441 GEE786441 GOA786441 GXW786441 HHS786441 HRO786441 IBK786441 ILG786441 IVC786441 JEY786441 JOU786441 JYQ786441 KIM786441 KSI786441 LCE786441 LMA786441 LVW786441 MFS786441 MPO786441 MZK786441 NJG786441 NTC786441 OCY786441 OMU786441 OWQ786441 PGM786441 PQI786441 QAE786441 QKA786441 QTW786441 RDS786441 RNO786441 RXK786441 SHG786441 SRC786441 TAY786441 TKU786441 TUQ786441 UEM786441 UOI786441 UYE786441 VIA786441 VRW786441 WBS786441 WLO786441 WVK786441 C851977 IY851977 SU851977 ACQ851977 AMM851977 AWI851977 BGE851977 BQA851977 BZW851977 CJS851977 CTO851977 DDK851977 DNG851977 DXC851977 EGY851977 EQU851977 FAQ851977 FKM851977 FUI851977 GEE851977 GOA851977 GXW851977 HHS851977 HRO851977 IBK851977 ILG851977 IVC851977 JEY851977 JOU851977 JYQ851977 KIM851977 KSI851977 LCE851977 LMA851977 LVW851977 MFS851977 MPO851977 MZK851977 NJG851977 NTC851977 OCY851977 OMU851977 OWQ851977 PGM851977 PQI851977 QAE851977 QKA851977 QTW851977 RDS851977 RNO851977 RXK851977 SHG851977 SRC851977 TAY851977 TKU851977 TUQ851977 UEM851977 UOI851977 UYE851977 VIA851977 VRW851977 WBS851977 WLO851977 WVK851977 C917513 IY917513 SU917513 ACQ917513 AMM917513 AWI917513 BGE917513 BQA917513 BZW917513 CJS917513 CTO917513 DDK917513 DNG917513 DXC917513 EGY917513 EQU917513 FAQ917513 FKM917513 FUI917513 GEE917513 GOA917513 GXW917513 HHS917513 HRO917513 IBK917513 ILG917513 IVC917513 JEY917513 JOU917513 JYQ917513 KIM917513 KSI917513 LCE917513 LMA917513 LVW917513 MFS917513 MPO917513 MZK917513 NJG917513 NTC917513 OCY917513 OMU917513 OWQ917513 PGM917513 PQI917513 QAE917513 QKA917513 QTW917513 RDS917513 RNO917513 RXK917513 SHG917513 SRC917513 TAY917513 TKU917513 TUQ917513 UEM917513 UOI917513 UYE917513 VIA917513 VRW917513 WBS917513 WLO917513 WVK917513 C983049 IY983049 SU983049 ACQ983049 AMM983049 AWI983049 BGE983049 BQA983049 BZW983049 CJS983049 CTO983049 DDK983049 DNG983049 DXC983049 EGY983049 EQU983049 FAQ983049 FKM983049 FUI983049 GEE983049 GOA983049 GXW983049 HHS983049 HRO983049 IBK983049 ILG983049 IVC983049 JEY983049 JOU983049 JYQ983049 KIM983049 KSI983049 LCE983049 LMA983049 LVW983049 MFS983049 MPO983049 MZK983049 NJG983049 NTC983049 OCY983049 OMU983049 OWQ983049 PGM983049 PQI983049 QAE983049 QKA983049 QTW983049 RDS983049 RNO983049 RXK983049 SHG983049 SRC983049 TAY983049 TKU983049 TUQ983049 UEM983049 UOI983049 UYE983049 VIA983049 VRW983049 WBS983049 WLO983049 WVK983049 GU9 QQ9 AAM9 AKI9 AUE9 BEA9 BNW9 BXS9 CHO9 CRK9 DBG9 DLC9 DUY9 EEU9 EOQ9 EYM9 FII9 FSE9 GCA9 GLW9 GVS9 HFO9 HPK9 HZG9 IJC9 ISY9 JCU9 JMQ9 JWM9 KGI9 KQE9 LAA9 LJW9 LTS9 MDO9 MNK9 MXG9 NHC9 NQY9 OAU9 OKQ9 OUM9 PEI9 POE9 PYA9 QHW9 QRS9 RBO9 RLK9 RVG9 SFC9 SOY9 SYU9 TIQ9 TSM9 UCI9 UME9 UWA9 VFW9 VPS9 VZO9 WJK9 WTG9 XDC9 GU65545 QQ65545 AAM65545 AKI65545 AUE65545 BEA65545 BNW65545 BXS65545 CHO65545 CRK65545 DBG65545 DLC65545 DUY65545 EEU65545 EOQ65545 EYM65545 FII65545 FSE65545 GCA65545 GLW65545 GVS65545 HFO65545 HPK65545 HZG65545 IJC65545 ISY65545 JCU65545 JMQ65545 JWM65545 KGI65545 KQE65545 LAA65545 LJW65545 LTS65545 MDO65545 MNK65545 MXG65545 NHC65545 NQY65545 OAU65545 OKQ65545 OUM65545 PEI65545 POE65545 PYA65545 QHW65545 QRS65545 RBO65545 RLK65545 RVG65545 SFC65545 SOY65545 SYU65545 TIQ65545 TSM65545 UCI65545 UME65545 UWA65545 VFW65545 VPS65545 VZO65545 WJK65545 WTG65545 XDC65545 GU131081 QQ131081 AAM131081 AKI131081 AUE131081 BEA131081 BNW131081 BXS131081 CHO131081 CRK131081 DBG131081 DLC131081 DUY131081 EEU131081 EOQ131081 EYM131081 FII131081 FSE131081 GCA131081 GLW131081 GVS131081 HFO131081 HPK131081 HZG131081 IJC131081 ISY131081 JCU131081 JMQ131081 JWM131081 KGI131081 KQE131081 LAA131081 LJW131081 LTS131081 MDO131081 MNK131081 MXG131081 NHC131081 NQY131081 OAU131081 OKQ131081 OUM131081 PEI131081 POE131081 PYA131081 QHW131081 QRS131081 RBO131081 RLK131081 RVG131081 SFC131081 SOY131081 SYU131081 TIQ131081 TSM131081 UCI131081 UME131081 UWA131081 VFW131081 VPS131081 VZO131081 WJK131081 WTG131081 XDC131081 GU196617 QQ196617 AAM196617 AKI196617 AUE196617 BEA196617 BNW196617 BXS196617 CHO196617 CRK196617 DBG196617 DLC196617 DUY196617 EEU196617 EOQ196617 EYM196617 FII196617 FSE196617 GCA196617 GLW196617 GVS196617 HFO196617 HPK196617 HZG196617 IJC196617 ISY196617 JCU196617 JMQ196617 JWM196617 KGI196617 KQE196617 LAA196617 LJW196617 LTS196617 MDO196617 MNK196617 MXG196617 NHC196617 NQY196617 OAU196617 OKQ196617 OUM196617 PEI196617 POE196617 PYA196617 QHW196617 QRS196617 RBO196617 RLK196617 RVG196617 SFC196617 SOY196617 SYU196617 TIQ196617 TSM196617 UCI196617 UME196617 UWA196617 VFW196617 VPS196617 VZO196617 WJK196617 WTG196617 XDC196617 GU262153 QQ262153 AAM262153 AKI262153 AUE262153 BEA262153 BNW262153 BXS262153 CHO262153 CRK262153 DBG262153 DLC262153 DUY262153 EEU262153 EOQ262153 EYM262153 FII262153 FSE262153 GCA262153 GLW262153 GVS262153 HFO262153 HPK262153 HZG262153 IJC262153 ISY262153 JCU262153 JMQ262153 JWM262153 KGI262153 KQE262153 LAA262153 LJW262153 LTS262153 MDO262153 MNK262153 MXG262153 NHC262153 NQY262153 OAU262153 OKQ262153 OUM262153 PEI262153 POE262153 PYA262153 QHW262153 QRS262153 RBO262153 RLK262153 RVG262153 SFC262153 SOY262153 SYU262153 TIQ262153 TSM262153 UCI262153 UME262153 UWA262153 VFW262153 VPS262153 VZO262153 WJK262153 WTG262153 XDC262153 GU327689 QQ327689 AAM327689 AKI327689 AUE327689 BEA327689 BNW327689 BXS327689 CHO327689 CRK327689 DBG327689 DLC327689 DUY327689 EEU327689 EOQ327689 EYM327689 FII327689 FSE327689 GCA327689 GLW327689 GVS327689 HFO327689 HPK327689 HZG327689 IJC327689 ISY327689 JCU327689 JMQ327689 JWM327689 KGI327689 KQE327689 LAA327689 LJW327689 LTS327689 MDO327689 MNK327689 MXG327689 NHC327689 NQY327689 OAU327689 OKQ327689 OUM327689 PEI327689 POE327689 PYA327689 QHW327689 QRS327689 RBO327689 RLK327689 RVG327689 SFC327689 SOY327689 SYU327689 TIQ327689 TSM327689 UCI327689 UME327689 UWA327689 VFW327689 VPS327689 VZO327689 WJK327689 WTG327689 XDC327689 GU393225 QQ393225 AAM393225 AKI393225 AUE393225 BEA393225 BNW393225 BXS393225 CHO393225 CRK393225 DBG393225 DLC393225 DUY393225 EEU393225 EOQ393225 EYM393225 FII393225 FSE393225 GCA393225 GLW393225 GVS393225 HFO393225 HPK393225 HZG393225 IJC393225 ISY393225 JCU393225 JMQ393225 JWM393225 KGI393225 KQE393225 LAA393225 LJW393225 LTS393225 MDO393225 MNK393225 MXG393225 NHC393225 NQY393225 OAU393225 OKQ393225 OUM393225 PEI393225 POE393225 PYA393225 QHW393225 QRS393225 RBO393225 RLK393225 RVG393225 SFC393225 SOY393225 SYU393225 TIQ393225 TSM393225 UCI393225 UME393225 UWA393225 VFW393225 VPS393225 VZO393225 WJK393225 WTG393225 XDC393225 GU458761 QQ458761 AAM458761 AKI458761 AUE458761 BEA458761 BNW458761 BXS458761 CHO458761 CRK458761 DBG458761 DLC458761 DUY458761 EEU458761 EOQ458761 EYM458761 FII458761 FSE458761 GCA458761 GLW458761 GVS458761 HFO458761 HPK458761 HZG458761 IJC458761 ISY458761 JCU458761 JMQ458761 JWM458761 KGI458761 KQE458761 LAA458761 LJW458761 LTS458761 MDO458761 MNK458761 MXG458761 NHC458761 NQY458761 OAU458761 OKQ458761 OUM458761 PEI458761 POE458761 PYA458761 QHW458761 QRS458761 RBO458761 RLK458761 RVG458761 SFC458761 SOY458761 SYU458761 TIQ458761 TSM458761 UCI458761 UME458761 UWA458761 VFW458761 VPS458761 VZO458761 WJK458761 WTG458761 XDC458761 GU524297 QQ524297 AAM524297 AKI524297 AUE524297 BEA524297 BNW524297 BXS524297 CHO524297 CRK524297 DBG524297 DLC524297 DUY524297 EEU524297 EOQ524297 EYM524297 FII524297 FSE524297 GCA524297 GLW524297 GVS524297 HFO524297 HPK524297 HZG524297 IJC524297 ISY524297 JCU524297 JMQ524297 JWM524297 KGI524297 KQE524297 LAA524297 LJW524297 LTS524297 MDO524297 MNK524297 MXG524297 NHC524297 NQY524297 OAU524297 OKQ524297 OUM524297 PEI524297 POE524297 PYA524297 QHW524297 QRS524297 RBO524297 RLK524297 RVG524297 SFC524297 SOY524297 SYU524297 TIQ524297 TSM524297 UCI524297 UME524297 UWA524297 VFW524297 VPS524297 VZO524297 WJK524297 WTG524297 XDC524297 GU589833 QQ589833 AAM589833 AKI589833 AUE589833 BEA589833 BNW589833 BXS589833 CHO589833 CRK589833 DBG589833 DLC589833 DUY589833 EEU589833 EOQ589833 EYM589833 FII589833 FSE589833 GCA589833 GLW589833 GVS589833 HFO589833 HPK589833 HZG589833 IJC589833 ISY589833 JCU589833 JMQ589833 JWM589833 KGI589833 KQE589833 LAA589833 LJW589833 LTS589833 MDO589833 MNK589833 MXG589833 NHC589833 NQY589833 OAU589833 OKQ589833 OUM589833 PEI589833 POE589833 PYA589833 QHW589833 QRS589833 RBO589833 RLK589833 RVG589833 SFC589833 SOY589833 SYU589833 TIQ589833 TSM589833 UCI589833 UME589833 UWA589833 VFW589833 VPS589833 VZO589833 WJK589833 WTG589833 XDC589833 GU655369 QQ655369 AAM655369 AKI655369 AUE655369 BEA655369 BNW655369 BXS655369 CHO655369 CRK655369 DBG655369 DLC655369 DUY655369 EEU655369 EOQ655369 EYM655369 FII655369 FSE655369 GCA655369 GLW655369 GVS655369 HFO655369 HPK655369 HZG655369 IJC655369 ISY655369 JCU655369 JMQ655369 JWM655369 KGI655369 KQE655369 LAA655369 LJW655369 LTS655369 MDO655369 MNK655369 MXG655369 NHC655369 NQY655369 OAU655369 OKQ655369 OUM655369 PEI655369 POE655369 PYA655369 QHW655369 QRS655369 RBO655369 RLK655369 RVG655369 SFC655369 SOY655369 SYU655369 TIQ655369 TSM655369 UCI655369 UME655369 UWA655369 VFW655369 VPS655369 VZO655369 WJK655369 WTG655369 XDC655369 GU720905 QQ720905 AAM720905 AKI720905 AUE720905 BEA720905 BNW720905 BXS720905 CHO720905 CRK720905 DBG720905 DLC720905 DUY720905 EEU720905 EOQ720905 EYM720905 FII720905 FSE720905 GCA720905 GLW720905 GVS720905 HFO720905 HPK720905 HZG720905 IJC720905 ISY720905 JCU720905 JMQ720905 JWM720905 KGI720905 KQE720905 LAA720905 LJW720905 LTS720905 MDO720905 MNK720905 MXG720905 NHC720905 NQY720905 OAU720905 OKQ720905 OUM720905 PEI720905 POE720905 PYA720905 QHW720905 QRS720905 RBO720905 RLK720905 RVG720905 SFC720905 SOY720905 SYU720905 TIQ720905 TSM720905 UCI720905 UME720905 UWA720905 VFW720905 VPS720905 VZO720905 WJK720905 WTG720905 XDC720905 GU786441 QQ786441 AAM786441 AKI786441 AUE786441 BEA786441 BNW786441 BXS786441 CHO786441 CRK786441 DBG786441 DLC786441 DUY786441 EEU786441 EOQ786441 EYM786441 FII786441 FSE786441 GCA786441 GLW786441 GVS786441 HFO786441 HPK786441 HZG786441 IJC786441 ISY786441 JCU786441 JMQ786441 JWM786441 KGI786441 KQE786441 LAA786441 LJW786441 LTS786441 MDO786441 MNK786441 MXG786441 NHC786441 NQY786441 OAU786441 OKQ786441 OUM786441 PEI786441 POE786441 PYA786441 QHW786441 QRS786441 RBO786441 RLK786441 RVG786441 SFC786441 SOY786441 SYU786441 TIQ786441 TSM786441 UCI786441 UME786441 UWA786441 VFW786441 VPS786441 VZO786441 WJK786441 WTG786441 XDC786441 GU851977 QQ851977 AAM851977 AKI851977 AUE851977 BEA851977 BNW851977 BXS851977 CHO851977 CRK851977 DBG851977 DLC851977 DUY851977 EEU851977 EOQ851977 EYM851977 FII851977 FSE851977 GCA851977 GLW851977 GVS851977 HFO851977 HPK851977 HZG851977 IJC851977 ISY851977 JCU851977 JMQ851977 JWM851977 KGI851977 KQE851977 LAA851977 LJW851977 LTS851977 MDO851977 MNK851977 MXG851977 NHC851977 NQY851977 OAU851977 OKQ851977 OUM851977 PEI851977 POE851977 PYA851977 QHW851977 QRS851977 RBO851977 RLK851977 RVG851977 SFC851977 SOY851977 SYU851977 TIQ851977 TSM851977 UCI851977 UME851977 UWA851977 VFW851977 VPS851977 VZO851977 WJK851977 WTG851977 XDC851977 GU917513 QQ917513 AAM917513 AKI917513 AUE917513 BEA917513 BNW917513 BXS917513 CHO917513 CRK917513 DBG917513 DLC917513 DUY917513 EEU917513 EOQ917513 EYM917513 FII917513 FSE917513 GCA917513 GLW917513 GVS917513 HFO917513 HPK917513 HZG917513 IJC917513 ISY917513 JCU917513 JMQ917513 JWM917513 KGI917513 KQE917513 LAA917513 LJW917513 LTS917513 MDO917513 MNK917513 MXG917513 NHC917513 NQY917513 OAU917513 OKQ917513 OUM917513 PEI917513 POE917513 PYA917513 QHW917513 QRS917513 RBO917513 RLK917513 RVG917513 SFC917513 SOY917513 SYU917513 TIQ917513 TSM917513 UCI917513 UME917513 UWA917513 VFW917513 VPS917513 VZO917513 WJK917513 WTG917513 XDC917513 GU983049 QQ983049 AAM983049 AKI983049 AUE983049 BEA983049 BNW983049 BXS983049 CHO983049 CRK983049 DBG983049 DLC983049 DUY983049 EEU983049 EOQ983049 EYM983049 FII983049 FSE983049 GCA983049 GLW983049 GVS983049 HFO983049 HPK983049 HZG983049 IJC983049 ISY983049 JCU983049 JMQ983049 JWM983049 KGI983049 KQE983049 LAA983049 LJW983049 LTS983049 MDO983049 MNK983049 MXG983049 NHC983049 NQY983049 OAU983049 OKQ983049 OUM983049 PEI983049 POE983049 PYA983049 QHW983049 QRS983049 RBO983049 RLK983049 RVG983049 SFC983049 SOY983049 SYU983049 TIQ983049 TSM983049 UCI983049 UME983049 UWA983049 VFW983049 VPS983049 VZO983049 WJK983049 WTG983049 XDC983049 C57976 IY57976 SU57976 ACQ57976 AMM57976 AWI57976 BGE57976 BQA57976 BZW57976 CJS57976 CTO57976 DDK57976 DNG57976 DXC57976 EGY57976 EQU57976 FAQ57976 FKM57976 FUI57976 GEE57976 GOA57976 GXW57976 HHS57976 HRO57976 IBK57976 ILG57976 IVC57976 JEY57976 JOU57976 JYQ57976 KIM57976 KSI57976 LCE57976 LMA57976 LVW57976 MFS57976 MPO57976 MZK57976 NJG57976 NTC57976 OCY57976 OMU57976 OWQ57976 PGM57976 PQI57976 QAE57976 QKA57976 QTW57976 RDS57976 RNO57976 RXK57976 SHG57976 SRC57976 TAY57976 TKU57976 TUQ57976 UEM57976 UOI57976 UYE57976 VIA57976 VRW57976 WBS57976 WLO57976 WVK57976 C123512 IY123512 SU123512 ACQ123512 AMM123512 AWI123512 BGE123512 BQA123512 BZW123512 CJS123512 CTO123512 DDK123512 DNG123512 DXC123512 EGY123512 EQU123512 FAQ123512 FKM123512 FUI123512 GEE123512 GOA123512 GXW123512 HHS123512 HRO123512 IBK123512 ILG123512 IVC123512 JEY123512 JOU123512 JYQ123512 KIM123512 KSI123512 LCE123512 LMA123512 LVW123512 MFS123512 MPO123512 MZK123512 NJG123512 NTC123512 OCY123512 OMU123512 OWQ123512 PGM123512 PQI123512 QAE123512 QKA123512 QTW123512 RDS123512 RNO123512 RXK123512 SHG123512 SRC123512 TAY123512 TKU123512 TUQ123512 UEM123512 UOI123512 UYE123512 VIA123512 VRW123512 WBS123512 WLO123512 WVK123512 C189048 IY189048 SU189048 ACQ189048 AMM189048 AWI189048 BGE189048 BQA189048 BZW189048 CJS189048 CTO189048 DDK189048 DNG189048 DXC189048 EGY189048 EQU189048 FAQ189048 FKM189048 FUI189048 GEE189048 GOA189048 GXW189048 HHS189048 HRO189048 IBK189048 ILG189048 IVC189048 JEY189048 JOU189048 JYQ189048 KIM189048 KSI189048 LCE189048 LMA189048 LVW189048 MFS189048 MPO189048 MZK189048 NJG189048 NTC189048 OCY189048 OMU189048 OWQ189048 PGM189048 PQI189048 QAE189048 QKA189048 QTW189048 RDS189048 RNO189048 RXK189048 SHG189048 SRC189048 TAY189048 TKU189048 TUQ189048 UEM189048 UOI189048 UYE189048 VIA189048 VRW189048 WBS189048 WLO189048 WVK189048 C254584 IY254584 SU254584 ACQ254584 AMM254584 AWI254584 BGE254584 BQA254584 BZW254584 CJS254584 CTO254584 DDK254584 DNG254584 DXC254584 EGY254584 EQU254584 FAQ254584 FKM254584 FUI254584 GEE254584 GOA254584 GXW254584 HHS254584 HRO254584 IBK254584 ILG254584 IVC254584 JEY254584 JOU254584 JYQ254584 KIM254584 KSI254584 LCE254584 LMA254584 LVW254584 MFS254584 MPO254584 MZK254584 NJG254584 NTC254584 OCY254584 OMU254584 OWQ254584 PGM254584 PQI254584 QAE254584 QKA254584 QTW254584 RDS254584 RNO254584 RXK254584 SHG254584 SRC254584 TAY254584 TKU254584 TUQ254584 UEM254584 UOI254584 UYE254584 VIA254584 VRW254584 WBS254584 WLO254584 WVK254584 C320120 IY320120 SU320120 ACQ320120 AMM320120 AWI320120 BGE320120 BQA320120 BZW320120 CJS320120 CTO320120 DDK320120 DNG320120 DXC320120 EGY320120 EQU320120 FAQ320120 FKM320120 FUI320120 GEE320120 GOA320120 GXW320120 HHS320120 HRO320120 IBK320120 ILG320120 IVC320120 JEY320120 JOU320120 JYQ320120 KIM320120 KSI320120 LCE320120 LMA320120 LVW320120 MFS320120 MPO320120 MZK320120 NJG320120 NTC320120 OCY320120 OMU320120 OWQ320120 PGM320120 PQI320120 QAE320120 QKA320120 QTW320120 RDS320120 RNO320120 RXK320120 SHG320120 SRC320120 TAY320120 TKU320120 TUQ320120 UEM320120 UOI320120 UYE320120 VIA320120 VRW320120 WBS320120 WLO320120 WVK320120 C385656 IY385656 SU385656 ACQ385656 AMM385656 AWI385656 BGE385656 BQA385656 BZW385656 CJS385656 CTO385656 DDK385656 DNG385656 DXC385656 EGY385656 EQU385656 FAQ385656 FKM385656 FUI385656 GEE385656 GOA385656 GXW385656 HHS385656 HRO385656 IBK385656 ILG385656 IVC385656 JEY385656 JOU385656 JYQ385656 KIM385656 KSI385656 LCE385656 LMA385656 LVW385656 MFS385656 MPO385656 MZK385656 NJG385656 NTC385656 OCY385656 OMU385656 OWQ385656 PGM385656 PQI385656 QAE385656 QKA385656 QTW385656 RDS385656 RNO385656 RXK385656 SHG385656 SRC385656 TAY385656 TKU385656 TUQ385656 UEM385656 UOI385656 UYE385656 VIA385656 VRW385656 WBS385656 WLO385656 WVK385656 C451192 IY451192 SU451192 ACQ451192 AMM451192 AWI451192 BGE451192 BQA451192 BZW451192 CJS451192 CTO451192 DDK451192 DNG451192 DXC451192 EGY451192 EQU451192 FAQ451192 FKM451192 FUI451192 GEE451192 GOA451192 GXW451192 HHS451192 HRO451192 IBK451192 ILG451192 IVC451192 JEY451192 JOU451192 JYQ451192 KIM451192 KSI451192 LCE451192 LMA451192 LVW451192 MFS451192 MPO451192 MZK451192 NJG451192 NTC451192 OCY451192 OMU451192 OWQ451192 PGM451192 PQI451192 QAE451192 QKA451192 QTW451192 RDS451192 RNO451192 RXK451192 SHG451192 SRC451192 TAY451192 TKU451192 TUQ451192 UEM451192 UOI451192 UYE451192 VIA451192 VRW451192 WBS451192 WLO451192 WVK451192 C516728 IY516728 SU516728 ACQ516728 AMM516728 AWI516728 BGE516728 BQA516728 BZW516728 CJS516728 CTO516728 DDK516728 DNG516728 DXC516728 EGY516728 EQU516728 FAQ516728 FKM516728 FUI516728 GEE516728 GOA516728 GXW516728 HHS516728 HRO516728 IBK516728 ILG516728 IVC516728 JEY516728 JOU516728 JYQ516728 KIM516728 KSI516728 LCE516728 LMA516728 LVW516728 MFS516728 MPO516728 MZK516728 NJG516728 NTC516728 OCY516728 OMU516728 OWQ516728 PGM516728 PQI516728 QAE516728 QKA516728 QTW516728 RDS516728 RNO516728 RXK516728 SHG516728 SRC516728 TAY516728 TKU516728 TUQ516728 UEM516728 UOI516728 UYE516728 VIA516728 VRW516728 WBS516728 WLO516728 WVK516728 C582264 IY582264 SU582264 ACQ582264 AMM582264 AWI582264 BGE582264 BQA582264 BZW582264 CJS582264 CTO582264 DDK582264 DNG582264 DXC582264 EGY582264 EQU582264 FAQ582264 FKM582264 FUI582264 GEE582264 GOA582264 GXW582264 HHS582264 HRO582264 IBK582264 ILG582264 IVC582264 JEY582264 JOU582264 JYQ582264 KIM582264 KSI582264 LCE582264 LMA582264 LVW582264 MFS582264 MPO582264 MZK582264 NJG582264 NTC582264 OCY582264 OMU582264 OWQ582264 PGM582264 PQI582264 QAE582264 QKA582264 QTW582264 RDS582264 RNO582264 RXK582264 SHG582264 SRC582264 TAY582264 TKU582264 TUQ582264 UEM582264 UOI582264 UYE582264 VIA582264 VRW582264 WBS582264 WLO582264 WVK582264 C647800 IY647800 SU647800 ACQ647800 AMM647800 AWI647800 BGE647800 BQA647800 BZW647800 CJS647800 CTO647800 DDK647800 DNG647800 DXC647800 EGY647800 EQU647800 FAQ647800 FKM647800 FUI647800 GEE647800 GOA647800 GXW647800 HHS647800 HRO647800 IBK647800 ILG647800 IVC647800 JEY647800 JOU647800 JYQ647800 KIM647800 KSI647800 LCE647800 LMA647800 LVW647800 MFS647800 MPO647800 MZK647800 NJG647800 NTC647800 OCY647800 OMU647800 OWQ647800 PGM647800 PQI647800 QAE647800 QKA647800 QTW647800 RDS647800 RNO647800 RXK647800 SHG647800 SRC647800 TAY647800 TKU647800 TUQ647800 UEM647800 UOI647800 UYE647800 VIA647800 VRW647800 WBS647800 WLO647800 WVK647800 C713336 IY713336 SU713336 ACQ713336 AMM713336 AWI713336 BGE713336 BQA713336 BZW713336 CJS713336 CTO713336 DDK713336 DNG713336 DXC713336 EGY713336 EQU713336 FAQ713336 FKM713336 FUI713336 GEE713336 GOA713336 GXW713336 HHS713336 HRO713336 IBK713336 ILG713336 IVC713336 JEY713336 JOU713336 JYQ713336 KIM713336 KSI713336 LCE713336 LMA713336 LVW713336 MFS713336 MPO713336 MZK713336 NJG713336 NTC713336 OCY713336 OMU713336 OWQ713336 PGM713336 PQI713336 QAE713336 QKA713336 QTW713336 RDS713336 RNO713336 RXK713336 SHG713336 SRC713336 TAY713336 TKU713336 TUQ713336 UEM713336 UOI713336 UYE713336 VIA713336 VRW713336 WBS713336 WLO713336 WVK713336 C778872 IY778872 SU778872 ACQ778872 AMM778872 AWI778872 BGE778872 BQA778872 BZW778872 CJS778872 CTO778872 DDK778872 DNG778872 DXC778872 EGY778872 EQU778872 FAQ778872 FKM778872 FUI778872 GEE778872 GOA778872 GXW778872 HHS778872 HRO778872 IBK778872 ILG778872 IVC778872 JEY778872 JOU778872 JYQ778872 KIM778872 KSI778872 LCE778872 LMA778872 LVW778872 MFS778872 MPO778872 MZK778872 NJG778872 NTC778872 OCY778872 OMU778872 OWQ778872 PGM778872 PQI778872 QAE778872 QKA778872 QTW778872 RDS778872 RNO778872 RXK778872 SHG778872 SRC778872 TAY778872 TKU778872 TUQ778872 UEM778872 UOI778872 UYE778872 VIA778872 VRW778872 WBS778872 WLO778872 WVK778872 C844408 IY844408 SU844408 ACQ844408 AMM844408 AWI844408 BGE844408 BQA844408 BZW844408 CJS844408 CTO844408 DDK844408 DNG844408 DXC844408 EGY844408 EQU844408 FAQ844408 FKM844408 FUI844408 GEE844408 GOA844408 GXW844408 HHS844408 HRO844408 IBK844408 ILG844408 IVC844408 JEY844408 JOU844408 JYQ844408 KIM844408 KSI844408 LCE844408 LMA844408 LVW844408 MFS844408 MPO844408 MZK844408 NJG844408 NTC844408 OCY844408 OMU844408 OWQ844408 PGM844408 PQI844408 QAE844408 QKA844408 QTW844408 RDS844408 RNO844408 RXK844408 SHG844408 SRC844408 TAY844408 TKU844408 TUQ844408 UEM844408 UOI844408 UYE844408 VIA844408 VRW844408 WBS844408 WLO844408 WVK844408 C909944 IY909944 SU909944 ACQ909944 AMM909944 AWI909944 BGE909944 BQA909944 BZW909944 CJS909944 CTO909944 DDK909944 DNG909944 DXC909944 EGY909944 EQU909944 FAQ909944 FKM909944 FUI909944 GEE909944 GOA909944 GXW909944 HHS909944 HRO909944 IBK909944 ILG909944 IVC909944 JEY909944 JOU909944 JYQ909944 KIM909944 KSI909944 LCE909944 LMA909944 LVW909944 MFS909944 MPO909944 MZK909944 NJG909944 NTC909944 OCY909944 OMU909944 OWQ909944 PGM909944 PQI909944 QAE909944 QKA909944 QTW909944 RDS909944 RNO909944 RXK909944 SHG909944 SRC909944 TAY909944 TKU909944 TUQ909944 UEM909944 UOI909944 UYE909944 VIA909944 VRW909944 WBS909944 WLO909944 WVK909944 C975480 IY975480 SU975480 ACQ975480 AMM975480 AWI975480 BGE975480 BQA975480 BZW975480 CJS975480 CTO975480 DDK975480 DNG975480 DXC975480 EGY975480 EQU975480 FAQ975480 FKM975480 FUI975480 GEE975480 GOA975480 GXW975480 HHS975480 HRO975480 IBK975480 ILG975480 IVC975480 JEY975480 JOU975480 JYQ975480 KIM975480 KSI975480 LCE975480 LMA975480 LVW975480 MFS975480 MPO975480 MZK975480 NJG975480 NTC975480 OCY975480 OMU975480 OWQ975480 PGM975480 PQI975480 QAE975480 QKA975480 QTW975480 RDS975480 RNO975480 RXK975480 SHG975480 SRC975480 TAY975480 TKU975480 TUQ975480 UEM975480 UOI975480 UYE975480 VIA975480 VRW975480 WBS975480 WLO975480 WVK975480 C1041016 IY1041016 SU1041016 ACQ1041016 AMM1041016 AWI1041016 BGE1041016 BQA1041016 BZW1041016 CJS1041016 CTO1041016 DDK1041016 DNG1041016 DXC1041016 EGY1041016 EQU1041016 FAQ1041016 FKM1041016 FUI1041016 GEE1041016 GOA1041016 GXW1041016 HHS1041016 HRO1041016 IBK1041016 ILG1041016 IVC1041016 JEY1041016 JOU1041016 JYQ1041016 KIM1041016 KSI1041016 LCE1041016 LMA1041016 LVW1041016 MFS1041016 MPO1041016 MZK1041016 NJG1041016 NTC1041016 OCY1041016 OMU1041016 OWQ1041016 PGM1041016 PQI1041016 QAE1041016 QKA1041016 QTW1041016 RDS1041016 RNO1041016 RXK1041016 SHG1041016 SRC1041016 TAY1041016 TKU1041016 TUQ1041016 UEM1041016 UOI1041016 UYE1041016 VIA1041016 VRW1041016 WBS1041016 WLO1041016 WVK1041016 GU57976 QQ57976 AAM57976 AKI57976 AUE57976 BEA57976 BNW57976 BXS57976 CHO57976 CRK57976 DBG57976 DLC57976 DUY57976 EEU57976 EOQ57976 EYM57976 FII57976 FSE57976 GCA57976 GLW57976 GVS57976 HFO57976 HPK57976 HZG57976 IJC57976 ISY57976 JCU57976 JMQ57976 JWM57976 KGI57976 KQE57976 LAA57976 LJW57976 LTS57976 MDO57976 MNK57976 MXG57976 NHC57976 NQY57976 OAU57976 OKQ57976 OUM57976 PEI57976 POE57976 PYA57976 QHW57976 QRS57976 RBO57976 RLK57976 RVG57976 SFC57976 SOY57976 SYU57976 TIQ57976 TSM57976 UCI57976 UME57976 UWA57976 VFW57976 VPS57976 VZO57976 WJK57976 WTG57976 XDC57976 GU123512 QQ123512 AAM123512 AKI123512 AUE123512 BEA123512 BNW123512 BXS123512 CHO123512 CRK123512 DBG123512 DLC123512 DUY123512 EEU123512 EOQ123512 EYM123512 FII123512 FSE123512 GCA123512 GLW123512 GVS123512 HFO123512 HPK123512 HZG123512 IJC123512 ISY123512 JCU123512 JMQ123512 JWM123512 KGI123512 KQE123512 LAA123512 LJW123512 LTS123512 MDO123512 MNK123512 MXG123512 NHC123512 NQY123512 OAU123512 OKQ123512 OUM123512 PEI123512 POE123512 PYA123512 QHW123512 QRS123512 RBO123512 RLK123512 RVG123512 SFC123512 SOY123512 SYU123512 TIQ123512 TSM123512 UCI123512 UME123512 UWA123512 VFW123512 VPS123512 VZO123512 WJK123512 WTG123512 XDC123512 GU189048 QQ189048 AAM189048 AKI189048 AUE189048 BEA189048 BNW189048 BXS189048 CHO189048 CRK189048 DBG189048 DLC189048 DUY189048 EEU189048 EOQ189048 EYM189048 FII189048 FSE189048 GCA189048 GLW189048 GVS189048 HFO189048 HPK189048 HZG189048 IJC189048 ISY189048 JCU189048 JMQ189048 JWM189048 KGI189048 KQE189048 LAA189048 LJW189048 LTS189048 MDO189048 MNK189048 MXG189048 NHC189048 NQY189048 OAU189048 OKQ189048 OUM189048 PEI189048 POE189048 PYA189048 QHW189048 QRS189048 RBO189048 RLK189048 RVG189048 SFC189048 SOY189048 SYU189048 TIQ189048 TSM189048 UCI189048 UME189048 UWA189048 VFW189048 VPS189048 VZO189048 WJK189048 WTG189048 XDC189048 GU254584 QQ254584 AAM254584 AKI254584 AUE254584 BEA254584 BNW254584 BXS254584 CHO254584 CRK254584 DBG254584 DLC254584 DUY254584 EEU254584 EOQ254584 EYM254584 FII254584 FSE254584 GCA254584 GLW254584 GVS254584 HFO254584 HPK254584 HZG254584 IJC254584 ISY254584 JCU254584 JMQ254584 JWM254584 KGI254584 KQE254584 LAA254584 LJW254584 LTS254584 MDO254584 MNK254584 MXG254584 NHC254584 NQY254584 OAU254584 OKQ254584 OUM254584 PEI254584 POE254584 PYA254584 QHW254584 QRS254584 RBO254584 RLK254584 RVG254584 SFC254584 SOY254584 SYU254584 TIQ254584 TSM254584 UCI254584 UME254584 UWA254584 VFW254584 VPS254584 VZO254584 WJK254584 WTG254584 XDC254584 GU320120 QQ320120 AAM320120 AKI320120 AUE320120 BEA320120 BNW320120 BXS320120 CHO320120 CRK320120 DBG320120 DLC320120 DUY320120 EEU320120 EOQ320120 EYM320120 FII320120 FSE320120 GCA320120 GLW320120 GVS320120 HFO320120 HPK320120 HZG320120 IJC320120 ISY320120 JCU320120 JMQ320120 JWM320120 KGI320120 KQE320120 LAA320120 LJW320120 LTS320120 MDO320120 MNK320120 MXG320120 NHC320120 NQY320120 OAU320120 OKQ320120 OUM320120 PEI320120 POE320120 PYA320120 QHW320120 QRS320120 RBO320120 RLK320120 RVG320120 SFC320120 SOY320120 SYU320120 TIQ320120 TSM320120 UCI320120 UME320120 UWA320120 VFW320120 VPS320120 VZO320120 WJK320120 WTG320120 XDC320120 GU385656 QQ385656 AAM385656 AKI385656 AUE385656 BEA385656 BNW385656 BXS385656 CHO385656 CRK385656 DBG385656 DLC385656 DUY385656 EEU385656 EOQ385656 EYM385656 FII385656 FSE385656 GCA385656 GLW385656 GVS385656 HFO385656 HPK385656 HZG385656 IJC385656 ISY385656 JCU385656 JMQ385656 JWM385656 KGI385656 KQE385656 LAA385656 LJW385656 LTS385656 MDO385656 MNK385656 MXG385656 NHC385656 NQY385656 OAU385656 OKQ385656 OUM385656 PEI385656 POE385656 PYA385656 QHW385656 QRS385656 RBO385656 RLK385656 RVG385656 SFC385656 SOY385656 SYU385656 TIQ385656 TSM385656 UCI385656 UME385656 UWA385656 VFW385656 VPS385656 VZO385656 WJK385656 WTG385656 XDC385656 GU451192 QQ451192 AAM451192 AKI451192 AUE451192 BEA451192 BNW451192 BXS451192 CHO451192 CRK451192 DBG451192 DLC451192 DUY451192 EEU451192 EOQ451192 EYM451192 FII451192 FSE451192 GCA451192 GLW451192 GVS451192 HFO451192 HPK451192 HZG451192 IJC451192 ISY451192 JCU451192 JMQ451192 JWM451192 KGI451192 KQE451192 LAA451192 LJW451192 LTS451192 MDO451192 MNK451192 MXG451192 NHC451192 NQY451192 OAU451192 OKQ451192 OUM451192 PEI451192 POE451192 PYA451192 QHW451192 QRS451192 RBO451192 RLK451192 RVG451192 SFC451192 SOY451192 SYU451192 TIQ451192 TSM451192 UCI451192 UME451192 UWA451192 VFW451192 VPS451192 VZO451192 WJK451192 WTG451192 XDC451192 GU516728 QQ516728 AAM516728 AKI516728 AUE516728 BEA516728 BNW516728 BXS516728 CHO516728 CRK516728 DBG516728 DLC516728 DUY516728 EEU516728 EOQ516728 EYM516728 FII516728 FSE516728 GCA516728 GLW516728 GVS516728 HFO516728 HPK516728 HZG516728 IJC516728 ISY516728 JCU516728 JMQ516728 JWM516728 KGI516728 KQE516728 LAA516728 LJW516728 LTS516728 MDO516728 MNK516728 MXG516728 NHC516728 NQY516728 OAU516728 OKQ516728 OUM516728 PEI516728 POE516728 PYA516728 QHW516728 QRS516728 RBO516728 RLK516728 RVG516728 SFC516728 SOY516728 SYU516728 TIQ516728 TSM516728 UCI516728 UME516728 UWA516728 VFW516728 VPS516728 VZO516728 WJK516728 WTG516728 XDC516728 GU582264 QQ582264 AAM582264 AKI582264 AUE582264 BEA582264 BNW582264 BXS582264 CHO582264 CRK582264 DBG582264 DLC582264 DUY582264 EEU582264 EOQ582264 EYM582264 FII582264 FSE582264 GCA582264 GLW582264 GVS582264 HFO582264 HPK582264 HZG582264 IJC582264 ISY582264 JCU582264 JMQ582264 JWM582264 KGI582264 KQE582264 LAA582264 LJW582264 LTS582264 MDO582264 MNK582264 MXG582264 NHC582264 NQY582264 OAU582264 OKQ582264 OUM582264 PEI582264 POE582264 PYA582264 QHW582264 QRS582264 RBO582264 RLK582264 RVG582264 SFC582264 SOY582264 SYU582264 TIQ582264 TSM582264 UCI582264 UME582264 UWA582264 VFW582264 VPS582264 VZO582264 WJK582264 WTG582264 XDC582264 GU647800 QQ647800 AAM647800 AKI647800 AUE647800 BEA647800 BNW647800 BXS647800 CHO647800 CRK647800 DBG647800 DLC647800 DUY647800 EEU647800 EOQ647800 EYM647800 FII647800 FSE647800 GCA647800 GLW647800 GVS647800 HFO647800 HPK647800 HZG647800 IJC647800 ISY647800 JCU647800 JMQ647800 JWM647800 KGI647800 KQE647800 LAA647800 LJW647800 LTS647800 MDO647800 MNK647800 MXG647800 NHC647800 NQY647800 OAU647800 OKQ647800 OUM647800 PEI647800 POE647800 PYA647800 QHW647800 QRS647800 RBO647800 RLK647800 RVG647800 SFC647800 SOY647800 SYU647800 TIQ647800 TSM647800 UCI647800 UME647800 UWA647800 VFW647800 VPS647800 VZO647800 WJK647800 WTG647800 XDC647800 GU713336 QQ713336 AAM713336 AKI713336 AUE713336 BEA713336 BNW713336 BXS713336 CHO713336 CRK713336 DBG713336 DLC713336 DUY713336 EEU713336 EOQ713336 EYM713336 FII713336 FSE713336 GCA713336 GLW713336 GVS713336 HFO713336 HPK713336 HZG713336 IJC713336 ISY713336 JCU713336 JMQ713336 JWM713336 KGI713336 KQE713336 LAA713336 LJW713336 LTS713336 MDO713336 MNK713336 MXG713336 NHC713336 NQY713336 OAU713336 OKQ713336 OUM713336 PEI713336 POE713336 PYA713336 QHW713336 QRS713336 RBO713336 RLK713336 RVG713336 SFC713336 SOY713336 SYU713336 TIQ713336 TSM713336 UCI713336 UME713336 UWA713336 VFW713336 VPS713336 VZO713336 WJK713336 WTG713336 XDC713336 GU778872 QQ778872 AAM778872 AKI778872 AUE778872 BEA778872 BNW778872 BXS778872 CHO778872 CRK778872 DBG778872 DLC778872 DUY778872 EEU778872 EOQ778872 EYM778872 FII778872 FSE778872 GCA778872 GLW778872 GVS778872 HFO778872 HPK778872 HZG778872 IJC778872 ISY778872 JCU778872 JMQ778872 JWM778872 KGI778872 KQE778872 LAA778872 LJW778872 LTS778872 MDO778872 MNK778872 MXG778872 NHC778872 NQY778872 OAU778872 OKQ778872 OUM778872 PEI778872 POE778872 PYA778872 QHW778872 QRS778872 RBO778872 RLK778872 RVG778872 SFC778872 SOY778872 SYU778872 TIQ778872 TSM778872 UCI778872 UME778872 UWA778872 VFW778872 VPS778872 VZO778872 WJK778872 WTG778872 XDC778872 GU844408 QQ844408 AAM844408 AKI844408 AUE844408 BEA844408 BNW844408 BXS844408 CHO844408 CRK844408 DBG844408 DLC844408 DUY844408 EEU844408 EOQ844408 EYM844408 FII844408 FSE844408 GCA844408 GLW844408 GVS844408 HFO844408 HPK844408 HZG844408 IJC844408 ISY844408 JCU844408 JMQ844408 JWM844408 KGI844408 KQE844408 LAA844408 LJW844408 LTS844408 MDO844408 MNK844408 MXG844408 NHC844408 NQY844408 OAU844408 OKQ844408 OUM844408 PEI844408 POE844408 PYA844408 QHW844408 QRS844408 RBO844408 RLK844408 RVG844408 SFC844408 SOY844408 SYU844408 TIQ844408 TSM844408 UCI844408 UME844408 UWA844408 VFW844408 VPS844408 VZO844408 WJK844408 WTG844408 XDC844408 GU909944 QQ909944 AAM909944 AKI909944 AUE909944 BEA909944 BNW909944 BXS909944 CHO909944 CRK909944 DBG909944 DLC909944 DUY909944 EEU909944 EOQ909944 EYM909944 FII909944 FSE909944 GCA909944 GLW909944 GVS909944 HFO909944 HPK909944 HZG909944 IJC909944 ISY909944 JCU909944 JMQ909944 JWM909944 KGI909944 KQE909944 LAA909944 LJW909944 LTS909944 MDO909944 MNK909944 MXG909944 NHC909944 NQY909944 OAU909944 OKQ909944 OUM909944 PEI909944 POE909944 PYA909944 QHW909944 QRS909944 RBO909944 RLK909944 RVG909944 SFC909944 SOY909944 SYU909944 TIQ909944 TSM909944 UCI909944 UME909944 UWA909944 VFW909944 VPS909944 VZO909944 WJK909944 WTG909944 XDC909944 GU975480 QQ975480 AAM975480 AKI975480 AUE975480 BEA975480 BNW975480 BXS975480 CHO975480 CRK975480 DBG975480 DLC975480 DUY975480 EEU975480 EOQ975480 EYM975480 FII975480 FSE975480 GCA975480 GLW975480 GVS975480 HFO975480 HPK975480 HZG975480 IJC975480 ISY975480 JCU975480 JMQ975480 JWM975480 KGI975480 KQE975480 LAA975480 LJW975480 LTS975480 MDO975480 MNK975480 MXG975480 NHC975480 NQY975480 OAU975480 OKQ975480 OUM975480 PEI975480 POE975480 PYA975480 QHW975480 QRS975480 RBO975480 RLK975480 RVG975480 SFC975480 SOY975480 SYU975480 TIQ975480 TSM975480 UCI975480 UME975480 UWA975480 VFW975480 VPS975480 VZO975480 WJK975480 WTG975480 XDC975480 GU1041016 QQ1041016 AAM1041016 AKI1041016 AUE1041016 BEA1041016 BNW1041016 BXS1041016 CHO1041016 CRK1041016 DBG1041016 DLC1041016 DUY1041016 EEU1041016 EOQ1041016 EYM1041016 FII1041016 FSE1041016 GCA1041016 GLW1041016 GVS1041016 HFO1041016 HPK1041016 HZG1041016 IJC1041016 ISY1041016 JCU1041016 JMQ1041016 JWM1041016 KGI1041016 KQE1041016 LAA1041016 LJW1041016 LTS1041016 MDO1041016 MNK1041016 MXG1041016 NHC1041016 NQY1041016 OAU1041016 OKQ1041016 OUM1041016 PEI1041016 POE1041016 PYA1041016 QHW1041016 QRS1041016 RBO1041016 RLK1041016 RVG1041016 SFC1041016 SOY1041016 SYU1041016 TIQ1041016 TSM1041016 UCI1041016 UME1041016 UWA1041016 VFW1041016 VPS1041016 VZO1041016 WJK1041016 WTG1041016 XDC1041016" xr:uid="{3278C8E6-831F-44EF-A4FF-5CA03F203E42}">
      <formula1>"Period"</formula1>
    </dataValidation>
    <dataValidation type="custom" showInputMessage="1" showErrorMessage="1" sqref="C10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C65546 IY65546 SU65546 ACQ65546 AMM65546 AWI65546 BGE65546 BQA65546 BZW65546 CJS65546 CTO65546 DDK65546 DNG65546 DXC65546 EGY65546 EQU65546 FAQ65546 FKM65546 FUI65546 GEE65546 GOA65546 GXW65546 HHS65546 HRO65546 IBK65546 ILG65546 IVC65546 JEY65546 JOU65546 JYQ65546 KIM65546 KSI65546 LCE65546 LMA65546 LVW65546 MFS65546 MPO65546 MZK65546 NJG65546 NTC65546 OCY65546 OMU65546 OWQ65546 PGM65546 PQI65546 QAE65546 QKA65546 QTW65546 RDS65546 RNO65546 RXK65546 SHG65546 SRC65546 TAY65546 TKU65546 TUQ65546 UEM65546 UOI65546 UYE65546 VIA65546 VRW65546 WBS65546 WLO65546 WVK65546 C131082 IY131082 SU131082 ACQ131082 AMM131082 AWI131082 BGE131082 BQA131082 BZW131082 CJS131082 CTO131082 DDK131082 DNG131082 DXC131082 EGY131082 EQU131082 FAQ131082 FKM131082 FUI131082 GEE131082 GOA131082 GXW131082 HHS131082 HRO131082 IBK131082 ILG131082 IVC131082 JEY131082 JOU131082 JYQ131082 KIM131082 KSI131082 LCE131082 LMA131082 LVW131082 MFS131082 MPO131082 MZK131082 NJG131082 NTC131082 OCY131082 OMU131082 OWQ131082 PGM131082 PQI131082 QAE131082 QKA131082 QTW131082 RDS131082 RNO131082 RXK131082 SHG131082 SRC131082 TAY131082 TKU131082 TUQ131082 UEM131082 UOI131082 UYE131082 VIA131082 VRW131082 WBS131082 WLO131082 WVK131082 C196618 IY196618 SU196618 ACQ196618 AMM196618 AWI196618 BGE196618 BQA196618 BZW196618 CJS196618 CTO196618 DDK196618 DNG196618 DXC196618 EGY196618 EQU196618 FAQ196618 FKM196618 FUI196618 GEE196618 GOA196618 GXW196618 HHS196618 HRO196618 IBK196618 ILG196618 IVC196618 JEY196618 JOU196618 JYQ196618 KIM196618 KSI196618 LCE196618 LMA196618 LVW196618 MFS196618 MPO196618 MZK196618 NJG196618 NTC196618 OCY196618 OMU196618 OWQ196618 PGM196618 PQI196618 QAE196618 QKA196618 QTW196618 RDS196618 RNO196618 RXK196618 SHG196618 SRC196618 TAY196618 TKU196618 TUQ196618 UEM196618 UOI196618 UYE196618 VIA196618 VRW196618 WBS196618 WLO196618 WVK196618 C262154 IY262154 SU262154 ACQ262154 AMM262154 AWI262154 BGE262154 BQA262154 BZW262154 CJS262154 CTO262154 DDK262154 DNG262154 DXC262154 EGY262154 EQU262154 FAQ262154 FKM262154 FUI262154 GEE262154 GOA262154 GXW262154 HHS262154 HRO262154 IBK262154 ILG262154 IVC262154 JEY262154 JOU262154 JYQ262154 KIM262154 KSI262154 LCE262154 LMA262154 LVW262154 MFS262154 MPO262154 MZK262154 NJG262154 NTC262154 OCY262154 OMU262154 OWQ262154 PGM262154 PQI262154 QAE262154 QKA262154 QTW262154 RDS262154 RNO262154 RXK262154 SHG262154 SRC262154 TAY262154 TKU262154 TUQ262154 UEM262154 UOI262154 UYE262154 VIA262154 VRW262154 WBS262154 WLO262154 WVK262154 C327690 IY327690 SU327690 ACQ327690 AMM327690 AWI327690 BGE327690 BQA327690 BZW327690 CJS327690 CTO327690 DDK327690 DNG327690 DXC327690 EGY327690 EQU327690 FAQ327690 FKM327690 FUI327690 GEE327690 GOA327690 GXW327690 HHS327690 HRO327690 IBK327690 ILG327690 IVC327690 JEY327690 JOU327690 JYQ327690 KIM327690 KSI327690 LCE327690 LMA327690 LVW327690 MFS327690 MPO327690 MZK327690 NJG327690 NTC327690 OCY327690 OMU327690 OWQ327690 PGM327690 PQI327690 QAE327690 QKA327690 QTW327690 RDS327690 RNO327690 RXK327690 SHG327690 SRC327690 TAY327690 TKU327690 TUQ327690 UEM327690 UOI327690 UYE327690 VIA327690 VRW327690 WBS327690 WLO327690 WVK327690 C393226 IY393226 SU393226 ACQ393226 AMM393226 AWI393226 BGE393226 BQA393226 BZW393226 CJS393226 CTO393226 DDK393226 DNG393226 DXC393226 EGY393226 EQU393226 FAQ393226 FKM393226 FUI393226 GEE393226 GOA393226 GXW393226 HHS393226 HRO393226 IBK393226 ILG393226 IVC393226 JEY393226 JOU393226 JYQ393226 KIM393226 KSI393226 LCE393226 LMA393226 LVW393226 MFS393226 MPO393226 MZK393226 NJG393226 NTC393226 OCY393226 OMU393226 OWQ393226 PGM393226 PQI393226 QAE393226 QKA393226 QTW393226 RDS393226 RNO393226 RXK393226 SHG393226 SRC393226 TAY393226 TKU393226 TUQ393226 UEM393226 UOI393226 UYE393226 VIA393226 VRW393226 WBS393226 WLO393226 WVK393226 C458762 IY458762 SU458762 ACQ458762 AMM458762 AWI458762 BGE458762 BQA458762 BZW458762 CJS458762 CTO458762 DDK458762 DNG458762 DXC458762 EGY458762 EQU458762 FAQ458762 FKM458762 FUI458762 GEE458762 GOA458762 GXW458762 HHS458762 HRO458762 IBK458762 ILG458762 IVC458762 JEY458762 JOU458762 JYQ458762 KIM458762 KSI458762 LCE458762 LMA458762 LVW458762 MFS458762 MPO458762 MZK458762 NJG458762 NTC458762 OCY458762 OMU458762 OWQ458762 PGM458762 PQI458762 QAE458762 QKA458762 QTW458762 RDS458762 RNO458762 RXK458762 SHG458762 SRC458762 TAY458762 TKU458762 TUQ458762 UEM458762 UOI458762 UYE458762 VIA458762 VRW458762 WBS458762 WLO458762 WVK458762 C524298 IY524298 SU524298 ACQ524298 AMM524298 AWI524298 BGE524298 BQA524298 BZW524298 CJS524298 CTO524298 DDK524298 DNG524298 DXC524298 EGY524298 EQU524298 FAQ524298 FKM524298 FUI524298 GEE524298 GOA524298 GXW524298 HHS524298 HRO524298 IBK524298 ILG524298 IVC524298 JEY524298 JOU524298 JYQ524298 KIM524298 KSI524298 LCE524298 LMA524298 LVW524298 MFS524298 MPO524298 MZK524298 NJG524298 NTC524298 OCY524298 OMU524298 OWQ524298 PGM524298 PQI524298 QAE524298 QKA524298 QTW524298 RDS524298 RNO524298 RXK524298 SHG524298 SRC524298 TAY524298 TKU524298 TUQ524298 UEM524298 UOI524298 UYE524298 VIA524298 VRW524298 WBS524298 WLO524298 WVK524298 C589834 IY589834 SU589834 ACQ589834 AMM589834 AWI589834 BGE589834 BQA589834 BZW589834 CJS589834 CTO589834 DDK589834 DNG589834 DXC589834 EGY589834 EQU589834 FAQ589834 FKM589834 FUI589834 GEE589834 GOA589834 GXW589834 HHS589834 HRO589834 IBK589834 ILG589834 IVC589834 JEY589834 JOU589834 JYQ589834 KIM589834 KSI589834 LCE589834 LMA589834 LVW589834 MFS589834 MPO589834 MZK589834 NJG589834 NTC589834 OCY589834 OMU589834 OWQ589834 PGM589834 PQI589834 QAE589834 QKA589834 QTW589834 RDS589834 RNO589834 RXK589834 SHG589834 SRC589834 TAY589834 TKU589834 TUQ589834 UEM589834 UOI589834 UYE589834 VIA589834 VRW589834 WBS589834 WLO589834 WVK589834 C655370 IY655370 SU655370 ACQ655370 AMM655370 AWI655370 BGE655370 BQA655370 BZW655370 CJS655370 CTO655370 DDK655370 DNG655370 DXC655370 EGY655370 EQU655370 FAQ655370 FKM655370 FUI655370 GEE655370 GOA655370 GXW655370 HHS655370 HRO655370 IBK655370 ILG655370 IVC655370 JEY655370 JOU655370 JYQ655370 KIM655370 KSI655370 LCE655370 LMA655370 LVW655370 MFS655370 MPO655370 MZK655370 NJG655370 NTC655370 OCY655370 OMU655370 OWQ655370 PGM655370 PQI655370 QAE655370 QKA655370 QTW655370 RDS655370 RNO655370 RXK655370 SHG655370 SRC655370 TAY655370 TKU655370 TUQ655370 UEM655370 UOI655370 UYE655370 VIA655370 VRW655370 WBS655370 WLO655370 WVK655370 C720906 IY720906 SU720906 ACQ720906 AMM720906 AWI720906 BGE720906 BQA720906 BZW720906 CJS720906 CTO720906 DDK720906 DNG720906 DXC720906 EGY720906 EQU720906 FAQ720906 FKM720906 FUI720906 GEE720906 GOA720906 GXW720906 HHS720906 HRO720906 IBK720906 ILG720906 IVC720906 JEY720906 JOU720906 JYQ720906 KIM720906 KSI720906 LCE720906 LMA720906 LVW720906 MFS720906 MPO720906 MZK720906 NJG720906 NTC720906 OCY720906 OMU720906 OWQ720906 PGM720906 PQI720906 QAE720906 QKA720906 QTW720906 RDS720906 RNO720906 RXK720906 SHG720906 SRC720906 TAY720906 TKU720906 TUQ720906 UEM720906 UOI720906 UYE720906 VIA720906 VRW720906 WBS720906 WLO720906 WVK720906 C786442 IY786442 SU786442 ACQ786442 AMM786442 AWI786442 BGE786442 BQA786442 BZW786442 CJS786442 CTO786442 DDK786442 DNG786442 DXC786442 EGY786442 EQU786442 FAQ786442 FKM786442 FUI786442 GEE786442 GOA786442 GXW786442 HHS786442 HRO786442 IBK786442 ILG786442 IVC786442 JEY786442 JOU786442 JYQ786442 KIM786442 KSI786442 LCE786442 LMA786442 LVW786442 MFS786442 MPO786442 MZK786442 NJG786442 NTC786442 OCY786442 OMU786442 OWQ786442 PGM786442 PQI786442 QAE786442 QKA786442 QTW786442 RDS786442 RNO786442 RXK786442 SHG786442 SRC786442 TAY786442 TKU786442 TUQ786442 UEM786442 UOI786442 UYE786442 VIA786442 VRW786442 WBS786442 WLO786442 WVK786442 C851978 IY851978 SU851978 ACQ851978 AMM851978 AWI851978 BGE851978 BQA851978 BZW851978 CJS851978 CTO851978 DDK851978 DNG851978 DXC851978 EGY851978 EQU851978 FAQ851978 FKM851978 FUI851978 GEE851978 GOA851978 GXW851978 HHS851978 HRO851978 IBK851978 ILG851978 IVC851978 JEY851978 JOU851978 JYQ851978 KIM851978 KSI851978 LCE851978 LMA851978 LVW851978 MFS851978 MPO851978 MZK851978 NJG851978 NTC851978 OCY851978 OMU851978 OWQ851978 PGM851978 PQI851978 QAE851978 QKA851978 QTW851978 RDS851978 RNO851978 RXK851978 SHG851978 SRC851978 TAY851978 TKU851978 TUQ851978 UEM851978 UOI851978 UYE851978 VIA851978 VRW851978 WBS851978 WLO851978 WVK851978 C917514 IY917514 SU917514 ACQ917514 AMM917514 AWI917514 BGE917514 BQA917514 BZW917514 CJS917514 CTO917514 DDK917514 DNG917514 DXC917514 EGY917514 EQU917514 FAQ917514 FKM917514 FUI917514 GEE917514 GOA917514 GXW917514 HHS917514 HRO917514 IBK917514 ILG917514 IVC917514 JEY917514 JOU917514 JYQ917514 KIM917514 KSI917514 LCE917514 LMA917514 LVW917514 MFS917514 MPO917514 MZK917514 NJG917514 NTC917514 OCY917514 OMU917514 OWQ917514 PGM917514 PQI917514 QAE917514 QKA917514 QTW917514 RDS917514 RNO917514 RXK917514 SHG917514 SRC917514 TAY917514 TKU917514 TUQ917514 UEM917514 UOI917514 UYE917514 VIA917514 VRW917514 WBS917514 WLO917514 WVK917514 C983050 IY983050 SU983050 ACQ983050 AMM983050 AWI983050 BGE983050 BQA983050 BZW983050 CJS983050 CTO983050 DDK983050 DNG983050 DXC983050 EGY983050 EQU983050 FAQ983050 FKM983050 FUI983050 GEE983050 GOA983050 GXW983050 HHS983050 HRO983050 IBK983050 ILG983050 IVC983050 JEY983050 JOU983050 JYQ983050 KIM983050 KSI983050 LCE983050 LMA983050 LVW983050 MFS983050 MPO983050 MZK983050 NJG983050 NTC983050 OCY983050 OMU983050 OWQ983050 PGM983050 PQI983050 QAE983050 QKA983050 QTW983050 RDS983050 RNO983050 RXK983050 SHG983050 SRC983050 TAY983050 TKU983050 TUQ983050 UEM983050 UOI983050 UYE983050 VIA983050 VRW983050 WBS983050 WLO983050 WVK983050 GU10 QQ10 AAM10 AKI10 AUE10 BEA10 BNW10 BXS10 CHO10 CRK10 DBG10 DLC10 DUY10 EEU10 EOQ10 EYM10 FII10 FSE10 GCA10 GLW10 GVS10 HFO10 HPK10 HZG10 IJC10 ISY10 JCU10 JMQ10 JWM10 KGI10 KQE10 LAA10 LJW10 LTS10 MDO10 MNK10 MXG10 NHC10 NQY10 OAU10 OKQ10 OUM10 PEI10 POE10 PYA10 QHW10 QRS10 RBO10 RLK10 RVG10 SFC10 SOY10 SYU10 TIQ10 TSM10 UCI10 UME10 UWA10 VFW10 VPS10 VZO10 WJK10 WTG10 XDC10 GU65546 QQ65546 AAM65546 AKI65546 AUE65546 BEA65546 BNW65546 BXS65546 CHO65546 CRK65546 DBG65546 DLC65546 DUY65546 EEU65546 EOQ65546 EYM65546 FII65546 FSE65546 GCA65546 GLW65546 GVS65546 HFO65546 HPK65546 HZG65546 IJC65546 ISY65546 JCU65546 JMQ65546 JWM65546 KGI65546 KQE65546 LAA65546 LJW65546 LTS65546 MDO65546 MNK65546 MXG65546 NHC65546 NQY65546 OAU65546 OKQ65546 OUM65546 PEI65546 POE65546 PYA65546 QHW65546 QRS65546 RBO65546 RLK65546 RVG65546 SFC65546 SOY65546 SYU65546 TIQ65546 TSM65546 UCI65546 UME65546 UWA65546 VFW65546 VPS65546 VZO65546 WJK65546 WTG65546 XDC65546 GU131082 QQ131082 AAM131082 AKI131082 AUE131082 BEA131082 BNW131082 BXS131082 CHO131082 CRK131082 DBG131082 DLC131082 DUY131082 EEU131082 EOQ131082 EYM131082 FII131082 FSE131082 GCA131082 GLW131082 GVS131082 HFO131082 HPK131082 HZG131082 IJC131082 ISY131082 JCU131082 JMQ131082 JWM131082 KGI131082 KQE131082 LAA131082 LJW131082 LTS131082 MDO131082 MNK131082 MXG131082 NHC131082 NQY131082 OAU131082 OKQ131082 OUM131082 PEI131082 POE131082 PYA131082 QHW131082 QRS131082 RBO131082 RLK131082 RVG131082 SFC131082 SOY131082 SYU131082 TIQ131082 TSM131082 UCI131082 UME131082 UWA131082 VFW131082 VPS131082 VZO131082 WJK131082 WTG131082 XDC131082 GU196618 QQ196618 AAM196618 AKI196618 AUE196618 BEA196618 BNW196618 BXS196618 CHO196618 CRK196618 DBG196618 DLC196618 DUY196618 EEU196618 EOQ196618 EYM196618 FII196618 FSE196618 GCA196618 GLW196618 GVS196618 HFO196618 HPK196618 HZG196618 IJC196618 ISY196618 JCU196618 JMQ196618 JWM196618 KGI196618 KQE196618 LAA196618 LJW196618 LTS196618 MDO196618 MNK196618 MXG196618 NHC196618 NQY196618 OAU196618 OKQ196618 OUM196618 PEI196618 POE196618 PYA196618 QHW196618 QRS196618 RBO196618 RLK196618 RVG196618 SFC196618 SOY196618 SYU196618 TIQ196618 TSM196618 UCI196618 UME196618 UWA196618 VFW196618 VPS196618 VZO196618 WJK196618 WTG196618 XDC196618 GU262154 QQ262154 AAM262154 AKI262154 AUE262154 BEA262154 BNW262154 BXS262154 CHO262154 CRK262154 DBG262154 DLC262154 DUY262154 EEU262154 EOQ262154 EYM262154 FII262154 FSE262154 GCA262154 GLW262154 GVS262154 HFO262154 HPK262154 HZG262154 IJC262154 ISY262154 JCU262154 JMQ262154 JWM262154 KGI262154 KQE262154 LAA262154 LJW262154 LTS262154 MDO262154 MNK262154 MXG262154 NHC262154 NQY262154 OAU262154 OKQ262154 OUM262154 PEI262154 POE262154 PYA262154 QHW262154 QRS262154 RBO262154 RLK262154 RVG262154 SFC262154 SOY262154 SYU262154 TIQ262154 TSM262154 UCI262154 UME262154 UWA262154 VFW262154 VPS262154 VZO262154 WJK262154 WTG262154 XDC262154 GU327690 QQ327690 AAM327690 AKI327690 AUE327690 BEA327690 BNW327690 BXS327690 CHO327690 CRK327690 DBG327690 DLC327690 DUY327690 EEU327690 EOQ327690 EYM327690 FII327690 FSE327690 GCA327690 GLW327690 GVS327690 HFO327690 HPK327690 HZG327690 IJC327690 ISY327690 JCU327690 JMQ327690 JWM327690 KGI327690 KQE327690 LAA327690 LJW327690 LTS327690 MDO327690 MNK327690 MXG327690 NHC327690 NQY327690 OAU327690 OKQ327690 OUM327690 PEI327690 POE327690 PYA327690 QHW327690 QRS327690 RBO327690 RLK327690 RVG327690 SFC327690 SOY327690 SYU327690 TIQ327690 TSM327690 UCI327690 UME327690 UWA327690 VFW327690 VPS327690 VZO327690 WJK327690 WTG327690 XDC327690 GU393226 QQ393226 AAM393226 AKI393226 AUE393226 BEA393226 BNW393226 BXS393226 CHO393226 CRK393226 DBG393226 DLC393226 DUY393226 EEU393226 EOQ393226 EYM393226 FII393226 FSE393226 GCA393226 GLW393226 GVS393226 HFO393226 HPK393226 HZG393226 IJC393226 ISY393226 JCU393226 JMQ393226 JWM393226 KGI393226 KQE393226 LAA393226 LJW393226 LTS393226 MDO393226 MNK393226 MXG393226 NHC393226 NQY393226 OAU393226 OKQ393226 OUM393226 PEI393226 POE393226 PYA393226 QHW393226 QRS393226 RBO393226 RLK393226 RVG393226 SFC393226 SOY393226 SYU393226 TIQ393226 TSM393226 UCI393226 UME393226 UWA393226 VFW393226 VPS393226 VZO393226 WJK393226 WTG393226 XDC393226 GU458762 QQ458762 AAM458762 AKI458762 AUE458762 BEA458762 BNW458762 BXS458762 CHO458762 CRK458762 DBG458762 DLC458762 DUY458762 EEU458762 EOQ458762 EYM458762 FII458762 FSE458762 GCA458762 GLW458762 GVS458762 HFO458762 HPK458762 HZG458762 IJC458762 ISY458762 JCU458762 JMQ458762 JWM458762 KGI458762 KQE458762 LAA458762 LJW458762 LTS458762 MDO458762 MNK458762 MXG458762 NHC458762 NQY458762 OAU458762 OKQ458762 OUM458762 PEI458762 POE458762 PYA458762 QHW458762 QRS458762 RBO458762 RLK458762 RVG458762 SFC458762 SOY458762 SYU458762 TIQ458762 TSM458762 UCI458762 UME458762 UWA458762 VFW458762 VPS458762 VZO458762 WJK458762 WTG458762 XDC458762 GU524298 QQ524298 AAM524298 AKI524298 AUE524298 BEA524298 BNW524298 BXS524298 CHO524298 CRK524298 DBG524298 DLC524298 DUY524298 EEU524298 EOQ524298 EYM524298 FII524298 FSE524298 GCA524298 GLW524298 GVS524298 HFO524298 HPK524298 HZG524298 IJC524298 ISY524298 JCU524298 JMQ524298 JWM524298 KGI524298 KQE524298 LAA524298 LJW524298 LTS524298 MDO524298 MNK524298 MXG524298 NHC524298 NQY524298 OAU524298 OKQ524298 OUM524298 PEI524298 POE524298 PYA524298 QHW524298 QRS524298 RBO524298 RLK524298 RVG524298 SFC524298 SOY524298 SYU524298 TIQ524298 TSM524298 UCI524298 UME524298 UWA524298 VFW524298 VPS524298 VZO524298 WJK524298 WTG524298 XDC524298 GU589834 QQ589834 AAM589834 AKI589834 AUE589834 BEA589834 BNW589834 BXS589834 CHO589834 CRK589834 DBG589834 DLC589834 DUY589834 EEU589834 EOQ589834 EYM589834 FII589834 FSE589834 GCA589834 GLW589834 GVS589834 HFO589834 HPK589834 HZG589834 IJC589834 ISY589834 JCU589834 JMQ589834 JWM589834 KGI589834 KQE589834 LAA589834 LJW589834 LTS589834 MDO589834 MNK589834 MXG589834 NHC589834 NQY589834 OAU589834 OKQ589834 OUM589834 PEI589834 POE589834 PYA589834 QHW589834 QRS589834 RBO589834 RLK589834 RVG589834 SFC589834 SOY589834 SYU589834 TIQ589834 TSM589834 UCI589834 UME589834 UWA589834 VFW589834 VPS589834 VZO589834 WJK589834 WTG589834 XDC589834 GU655370 QQ655370 AAM655370 AKI655370 AUE655370 BEA655370 BNW655370 BXS655370 CHO655370 CRK655370 DBG655370 DLC655370 DUY655370 EEU655370 EOQ655370 EYM655370 FII655370 FSE655370 GCA655370 GLW655370 GVS655370 HFO655370 HPK655370 HZG655370 IJC655370 ISY655370 JCU655370 JMQ655370 JWM655370 KGI655370 KQE655370 LAA655370 LJW655370 LTS655370 MDO655370 MNK655370 MXG655370 NHC655370 NQY655370 OAU655370 OKQ655370 OUM655370 PEI655370 POE655370 PYA655370 QHW655370 QRS655370 RBO655370 RLK655370 RVG655370 SFC655370 SOY655370 SYU655370 TIQ655370 TSM655370 UCI655370 UME655370 UWA655370 VFW655370 VPS655370 VZO655370 WJK655370 WTG655370 XDC655370 GU720906 QQ720906 AAM720906 AKI720906 AUE720906 BEA720906 BNW720906 BXS720906 CHO720906 CRK720906 DBG720906 DLC720906 DUY720906 EEU720906 EOQ720906 EYM720906 FII720906 FSE720906 GCA720906 GLW720906 GVS720906 HFO720906 HPK720906 HZG720906 IJC720906 ISY720906 JCU720906 JMQ720906 JWM720906 KGI720906 KQE720906 LAA720906 LJW720906 LTS720906 MDO720906 MNK720906 MXG720906 NHC720906 NQY720906 OAU720906 OKQ720906 OUM720906 PEI720906 POE720906 PYA720906 QHW720906 QRS720906 RBO720906 RLK720906 RVG720906 SFC720906 SOY720906 SYU720906 TIQ720906 TSM720906 UCI720906 UME720906 UWA720906 VFW720906 VPS720906 VZO720906 WJK720906 WTG720906 XDC720906 GU786442 QQ786442 AAM786442 AKI786442 AUE786442 BEA786442 BNW786442 BXS786442 CHO786442 CRK786442 DBG786442 DLC786442 DUY786442 EEU786442 EOQ786442 EYM786442 FII786442 FSE786442 GCA786442 GLW786442 GVS786442 HFO786442 HPK786442 HZG786442 IJC786442 ISY786442 JCU786442 JMQ786442 JWM786442 KGI786442 KQE786442 LAA786442 LJW786442 LTS786442 MDO786442 MNK786442 MXG786442 NHC786442 NQY786442 OAU786442 OKQ786442 OUM786442 PEI786442 POE786442 PYA786442 QHW786442 QRS786442 RBO786442 RLK786442 RVG786442 SFC786442 SOY786442 SYU786442 TIQ786442 TSM786442 UCI786442 UME786442 UWA786442 VFW786442 VPS786442 VZO786442 WJK786442 WTG786442 XDC786442 GU851978 QQ851978 AAM851978 AKI851978 AUE851978 BEA851978 BNW851978 BXS851978 CHO851978 CRK851978 DBG851978 DLC851978 DUY851978 EEU851978 EOQ851978 EYM851978 FII851978 FSE851978 GCA851978 GLW851978 GVS851978 HFO851978 HPK851978 HZG851978 IJC851978 ISY851978 JCU851978 JMQ851978 JWM851978 KGI851978 KQE851978 LAA851978 LJW851978 LTS851978 MDO851978 MNK851978 MXG851978 NHC851978 NQY851978 OAU851978 OKQ851978 OUM851978 PEI851978 POE851978 PYA851978 QHW851978 QRS851978 RBO851978 RLK851978 RVG851978 SFC851978 SOY851978 SYU851978 TIQ851978 TSM851978 UCI851978 UME851978 UWA851978 VFW851978 VPS851978 VZO851978 WJK851978 WTG851978 XDC851978 GU917514 QQ917514 AAM917514 AKI917514 AUE917514 BEA917514 BNW917514 BXS917514 CHO917514 CRK917514 DBG917514 DLC917514 DUY917514 EEU917514 EOQ917514 EYM917514 FII917514 FSE917514 GCA917514 GLW917514 GVS917514 HFO917514 HPK917514 HZG917514 IJC917514 ISY917514 JCU917514 JMQ917514 JWM917514 KGI917514 KQE917514 LAA917514 LJW917514 LTS917514 MDO917514 MNK917514 MXG917514 NHC917514 NQY917514 OAU917514 OKQ917514 OUM917514 PEI917514 POE917514 PYA917514 QHW917514 QRS917514 RBO917514 RLK917514 RVG917514 SFC917514 SOY917514 SYU917514 TIQ917514 TSM917514 UCI917514 UME917514 UWA917514 VFW917514 VPS917514 VZO917514 WJK917514 WTG917514 XDC917514 GU983050 QQ983050 AAM983050 AKI983050 AUE983050 BEA983050 BNW983050 BXS983050 CHO983050 CRK983050 DBG983050 DLC983050 DUY983050 EEU983050 EOQ983050 EYM983050 FII983050 FSE983050 GCA983050 GLW983050 GVS983050 HFO983050 HPK983050 HZG983050 IJC983050 ISY983050 JCU983050 JMQ983050 JWM983050 KGI983050 KQE983050 LAA983050 LJW983050 LTS983050 MDO983050 MNK983050 MXG983050 NHC983050 NQY983050 OAU983050 OKQ983050 OUM983050 PEI983050 POE983050 PYA983050 QHW983050 QRS983050 RBO983050 RLK983050 RVG983050 SFC983050 SOY983050 SYU983050 TIQ983050 TSM983050 UCI983050 UME983050 UWA983050 VFW983050 VPS983050 VZO983050 WJK983050 WTG983050 XDC983050 C57977 IY57977 SU57977 ACQ57977 AMM57977 AWI57977 BGE57977 BQA57977 BZW57977 CJS57977 CTO57977 DDK57977 DNG57977 DXC57977 EGY57977 EQU57977 FAQ57977 FKM57977 FUI57977 GEE57977 GOA57977 GXW57977 HHS57977 HRO57977 IBK57977 ILG57977 IVC57977 JEY57977 JOU57977 JYQ57977 KIM57977 KSI57977 LCE57977 LMA57977 LVW57977 MFS57977 MPO57977 MZK57977 NJG57977 NTC57977 OCY57977 OMU57977 OWQ57977 PGM57977 PQI57977 QAE57977 QKA57977 QTW57977 RDS57977 RNO57977 RXK57977 SHG57977 SRC57977 TAY57977 TKU57977 TUQ57977 UEM57977 UOI57977 UYE57977 VIA57977 VRW57977 WBS57977 WLO57977 WVK57977 C123513 IY123513 SU123513 ACQ123513 AMM123513 AWI123513 BGE123513 BQA123513 BZW123513 CJS123513 CTO123513 DDK123513 DNG123513 DXC123513 EGY123513 EQU123513 FAQ123513 FKM123513 FUI123513 GEE123513 GOA123513 GXW123513 HHS123513 HRO123513 IBK123513 ILG123513 IVC123513 JEY123513 JOU123513 JYQ123513 KIM123513 KSI123513 LCE123513 LMA123513 LVW123513 MFS123513 MPO123513 MZK123513 NJG123513 NTC123513 OCY123513 OMU123513 OWQ123513 PGM123513 PQI123513 QAE123513 QKA123513 QTW123513 RDS123513 RNO123513 RXK123513 SHG123513 SRC123513 TAY123513 TKU123513 TUQ123513 UEM123513 UOI123513 UYE123513 VIA123513 VRW123513 WBS123513 WLO123513 WVK123513 C189049 IY189049 SU189049 ACQ189049 AMM189049 AWI189049 BGE189049 BQA189049 BZW189049 CJS189049 CTO189049 DDK189049 DNG189049 DXC189049 EGY189049 EQU189049 FAQ189049 FKM189049 FUI189049 GEE189049 GOA189049 GXW189049 HHS189049 HRO189049 IBK189049 ILG189049 IVC189049 JEY189049 JOU189049 JYQ189049 KIM189049 KSI189049 LCE189049 LMA189049 LVW189049 MFS189049 MPO189049 MZK189049 NJG189049 NTC189049 OCY189049 OMU189049 OWQ189049 PGM189049 PQI189049 QAE189049 QKA189049 QTW189049 RDS189049 RNO189049 RXK189049 SHG189049 SRC189049 TAY189049 TKU189049 TUQ189049 UEM189049 UOI189049 UYE189049 VIA189049 VRW189049 WBS189049 WLO189049 WVK189049 C254585 IY254585 SU254585 ACQ254585 AMM254585 AWI254585 BGE254585 BQA254585 BZW254585 CJS254585 CTO254585 DDK254585 DNG254585 DXC254585 EGY254585 EQU254585 FAQ254585 FKM254585 FUI254585 GEE254585 GOA254585 GXW254585 HHS254585 HRO254585 IBK254585 ILG254585 IVC254585 JEY254585 JOU254585 JYQ254585 KIM254585 KSI254585 LCE254585 LMA254585 LVW254585 MFS254585 MPO254585 MZK254585 NJG254585 NTC254585 OCY254585 OMU254585 OWQ254585 PGM254585 PQI254585 QAE254585 QKA254585 QTW254585 RDS254585 RNO254585 RXK254585 SHG254585 SRC254585 TAY254585 TKU254585 TUQ254585 UEM254585 UOI254585 UYE254585 VIA254585 VRW254585 WBS254585 WLO254585 WVK254585 C320121 IY320121 SU320121 ACQ320121 AMM320121 AWI320121 BGE320121 BQA320121 BZW320121 CJS320121 CTO320121 DDK320121 DNG320121 DXC320121 EGY320121 EQU320121 FAQ320121 FKM320121 FUI320121 GEE320121 GOA320121 GXW320121 HHS320121 HRO320121 IBK320121 ILG320121 IVC320121 JEY320121 JOU320121 JYQ320121 KIM320121 KSI320121 LCE320121 LMA320121 LVW320121 MFS320121 MPO320121 MZK320121 NJG320121 NTC320121 OCY320121 OMU320121 OWQ320121 PGM320121 PQI320121 QAE320121 QKA320121 QTW320121 RDS320121 RNO320121 RXK320121 SHG320121 SRC320121 TAY320121 TKU320121 TUQ320121 UEM320121 UOI320121 UYE320121 VIA320121 VRW320121 WBS320121 WLO320121 WVK320121 C385657 IY385657 SU385657 ACQ385657 AMM385657 AWI385657 BGE385657 BQA385657 BZW385657 CJS385657 CTO385657 DDK385657 DNG385657 DXC385657 EGY385657 EQU385657 FAQ385657 FKM385657 FUI385657 GEE385657 GOA385657 GXW385657 HHS385657 HRO385657 IBK385657 ILG385657 IVC385657 JEY385657 JOU385657 JYQ385657 KIM385657 KSI385657 LCE385657 LMA385657 LVW385657 MFS385657 MPO385657 MZK385657 NJG385657 NTC385657 OCY385657 OMU385657 OWQ385657 PGM385657 PQI385657 QAE385657 QKA385657 QTW385657 RDS385657 RNO385657 RXK385657 SHG385657 SRC385657 TAY385657 TKU385657 TUQ385657 UEM385657 UOI385657 UYE385657 VIA385657 VRW385657 WBS385657 WLO385657 WVK385657 C451193 IY451193 SU451193 ACQ451193 AMM451193 AWI451193 BGE451193 BQA451193 BZW451193 CJS451193 CTO451193 DDK451193 DNG451193 DXC451193 EGY451193 EQU451193 FAQ451193 FKM451193 FUI451193 GEE451193 GOA451193 GXW451193 HHS451193 HRO451193 IBK451193 ILG451193 IVC451193 JEY451193 JOU451193 JYQ451193 KIM451193 KSI451193 LCE451193 LMA451193 LVW451193 MFS451193 MPO451193 MZK451193 NJG451193 NTC451193 OCY451193 OMU451193 OWQ451193 PGM451193 PQI451193 QAE451193 QKA451193 QTW451193 RDS451193 RNO451193 RXK451193 SHG451193 SRC451193 TAY451193 TKU451193 TUQ451193 UEM451193 UOI451193 UYE451193 VIA451193 VRW451193 WBS451193 WLO451193 WVK451193 C516729 IY516729 SU516729 ACQ516729 AMM516729 AWI516729 BGE516729 BQA516729 BZW516729 CJS516729 CTO516729 DDK516729 DNG516729 DXC516729 EGY516729 EQU516729 FAQ516729 FKM516729 FUI516729 GEE516729 GOA516729 GXW516729 HHS516729 HRO516729 IBK516729 ILG516729 IVC516729 JEY516729 JOU516729 JYQ516729 KIM516729 KSI516729 LCE516729 LMA516729 LVW516729 MFS516729 MPO516729 MZK516729 NJG516729 NTC516729 OCY516729 OMU516729 OWQ516729 PGM516729 PQI516729 QAE516729 QKA516729 QTW516729 RDS516729 RNO516729 RXK516729 SHG516729 SRC516729 TAY516729 TKU516729 TUQ516729 UEM516729 UOI516729 UYE516729 VIA516729 VRW516729 WBS516729 WLO516729 WVK516729 C582265 IY582265 SU582265 ACQ582265 AMM582265 AWI582265 BGE582265 BQA582265 BZW582265 CJS582265 CTO582265 DDK582265 DNG582265 DXC582265 EGY582265 EQU582265 FAQ582265 FKM582265 FUI582265 GEE582265 GOA582265 GXW582265 HHS582265 HRO582265 IBK582265 ILG582265 IVC582265 JEY582265 JOU582265 JYQ582265 KIM582265 KSI582265 LCE582265 LMA582265 LVW582265 MFS582265 MPO582265 MZK582265 NJG582265 NTC582265 OCY582265 OMU582265 OWQ582265 PGM582265 PQI582265 QAE582265 QKA582265 QTW582265 RDS582265 RNO582265 RXK582265 SHG582265 SRC582265 TAY582265 TKU582265 TUQ582265 UEM582265 UOI582265 UYE582265 VIA582265 VRW582265 WBS582265 WLO582265 WVK582265 C647801 IY647801 SU647801 ACQ647801 AMM647801 AWI647801 BGE647801 BQA647801 BZW647801 CJS647801 CTO647801 DDK647801 DNG647801 DXC647801 EGY647801 EQU647801 FAQ647801 FKM647801 FUI647801 GEE647801 GOA647801 GXW647801 HHS647801 HRO647801 IBK647801 ILG647801 IVC647801 JEY647801 JOU647801 JYQ647801 KIM647801 KSI647801 LCE647801 LMA647801 LVW647801 MFS647801 MPO647801 MZK647801 NJG647801 NTC647801 OCY647801 OMU647801 OWQ647801 PGM647801 PQI647801 QAE647801 QKA647801 QTW647801 RDS647801 RNO647801 RXK647801 SHG647801 SRC647801 TAY647801 TKU647801 TUQ647801 UEM647801 UOI647801 UYE647801 VIA647801 VRW647801 WBS647801 WLO647801 WVK647801 C713337 IY713337 SU713337 ACQ713337 AMM713337 AWI713337 BGE713337 BQA713337 BZW713337 CJS713337 CTO713337 DDK713337 DNG713337 DXC713337 EGY713337 EQU713337 FAQ713337 FKM713337 FUI713337 GEE713337 GOA713337 GXW713337 HHS713337 HRO713337 IBK713337 ILG713337 IVC713337 JEY713337 JOU713337 JYQ713337 KIM713337 KSI713337 LCE713337 LMA713337 LVW713337 MFS713337 MPO713337 MZK713337 NJG713337 NTC713337 OCY713337 OMU713337 OWQ713337 PGM713337 PQI713337 QAE713337 QKA713337 QTW713337 RDS713337 RNO713337 RXK713337 SHG713337 SRC713337 TAY713337 TKU713337 TUQ713337 UEM713337 UOI713337 UYE713337 VIA713337 VRW713337 WBS713337 WLO713337 WVK713337 C778873 IY778873 SU778873 ACQ778873 AMM778873 AWI778873 BGE778873 BQA778873 BZW778873 CJS778873 CTO778873 DDK778873 DNG778873 DXC778873 EGY778873 EQU778873 FAQ778873 FKM778873 FUI778873 GEE778873 GOA778873 GXW778873 HHS778873 HRO778873 IBK778873 ILG778873 IVC778873 JEY778873 JOU778873 JYQ778873 KIM778873 KSI778873 LCE778873 LMA778873 LVW778873 MFS778873 MPO778873 MZK778873 NJG778873 NTC778873 OCY778873 OMU778873 OWQ778873 PGM778873 PQI778873 QAE778873 QKA778873 QTW778873 RDS778873 RNO778873 RXK778873 SHG778873 SRC778873 TAY778873 TKU778873 TUQ778873 UEM778873 UOI778873 UYE778873 VIA778873 VRW778873 WBS778873 WLO778873 WVK778873 C844409 IY844409 SU844409 ACQ844409 AMM844409 AWI844409 BGE844409 BQA844409 BZW844409 CJS844409 CTO844409 DDK844409 DNG844409 DXC844409 EGY844409 EQU844409 FAQ844409 FKM844409 FUI844409 GEE844409 GOA844409 GXW844409 HHS844409 HRO844409 IBK844409 ILG844409 IVC844409 JEY844409 JOU844409 JYQ844409 KIM844409 KSI844409 LCE844409 LMA844409 LVW844409 MFS844409 MPO844409 MZK844409 NJG844409 NTC844409 OCY844409 OMU844409 OWQ844409 PGM844409 PQI844409 QAE844409 QKA844409 QTW844409 RDS844409 RNO844409 RXK844409 SHG844409 SRC844409 TAY844409 TKU844409 TUQ844409 UEM844409 UOI844409 UYE844409 VIA844409 VRW844409 WBS844409 WLO844409 WVK844409 C909945 IY909945 SU909945 ACQ909945 AMM909945 AWI909945 BGE909945 BQA909945 BZW909945 CJS909945 CTO909945 DDK909945 DNG909945 DXC909945 EGY909945 EQU909945 FAQ909945 FKM909945 FUI909945 GEE909945 GOA909945 GXW909945 HHS909945 HRO909945 IBK909945 ILG909945 IVC909945 JEY909945 JOU909945 JYQ909945 KIM909945 KSI909945 LCE909945 LMA909945 LVW909945 MFS909945 MPO909945 MZK909945 NJG909945 NTC909945 OCY909945 OMU909945 OWQ909945 PGM909945 PQI909945 QAE909945 QKA909945 QTW909945 RDS909945 RNO909945 RXK909945 SHG909945 SRC909945 TAY909945 TKU909945 TUQ909945 UEM909945 UOI909945 UYE909945 VIA909945 VRW909945 WBS909945 WLO909945 WVK909945 C975481 IY975481 SU975481 ACQ975481 AMM975481 AWI975481 BGE975481 BQA975481 BZW975481 CJS975481 CTO975481 DDK975481 DNG975481 DXC975481 EGY975481 EQU975481 FAQ975481 FKM975481 FUI975481 GEE975481 GOA975481 GXW975481 HHS975481 HRO975481 IBK975481 ILG975481 IVC975481 JEY975481 JOU975481 JYQ975481 KIM975481 KSI975481 LCE975481 LMA975481 LVW975481 MFS975481 MPO975481 MZK975481 NJG975481 NTC975481 OCY975481 OMU975481 OWQ975481 PGM975481 PQI975481 QAE975481 QKA975481 QTW975481 RDS975481 RNO975481 RXK975481 SHG975481 SRC975481 TAY975481 TKU975481 TUQ975481 UEM975481 UOI975481 UYE975481 VIA975481 VRW975481 WBS975481 WLO975481 WVK975481 C1041017 IY1041017 SU1041017 ACQ1041017 AMM1041017 AWI1041017 BGE1041017 BQA1041017 BZW1041017 CJS1041017 CTO1041017 DDK1041017 DNG1041017 DXC1041017 EGY1041017 EQU1041017 FAQ1041017 FKM1041017 FUI1041017 GEE1041017 GOA1041017 GXW1041017 HHS1041017 HRO1041017 IBK1041017 ILG1041017 IVC1041017 JEY1041017 JOU1041017 JYQ1041017 KIM1041017 KSI1041017 LCE1041017 LMA1041017 LVW1041017 MFS1041017 MPO1041017 MZK1041017 NJG1041017 NTC1041017 OCY1041017 OMU1041017 OWQ1041017 PGM1041017 PQI1041017 QAE1041017 QKA1041017 QTW1041017 RDS1041017 RNO1041017 RXK1041017 SHG1041017 SRC1041017 TAY1041017 TKU1041017 TUQ1041017 UEM1041017 UOI1041017 UYE1041017 VIA1041017 VRW1041017 WBS1041017 WLO1041017 WVK1041017 GU57977 QQ57977 AAM57977 AKI57977 AUE57977 BEA57977 BNW57977 BXS57977 CHO57977 CRK57977 DBG57977 DLC57977 DUY57977 EEU57977 EOQ57977 EYM57977 FII57977 FSE57977 GCA57977 GLW57977 GVS57977 HFO57977 HPK57977 HZG57977 IJC57977 ISY57977 JCU57977 JMQ57977 JWM57977 KGI57977 KQE57977 LAA57977 LJW57977 LTS57977 MDO57977 MNK57977 MXG57977 NHC57977 NQY57977 OAU57977 OKQ57977 OUM57977 PEI57977 POE57977 PYA57977 QHW57977 QRS57977 RBO57977 RLK57977 RVG57977 SFC57977 SOY57977 SYU57977 TIQ57977 TSM57977 UCI57977 UME57977 UWA57977 VFW57977 VPS57977 VZO57977 WJK57977 WTG57977 XDC57977 GU123513 QQ123513 AAM123513 AKI123513 AUE123513 BEA123513 BNW123513 BXS123513 CHO123513 CRK123513 DBG123513 DLC123513 DUY123513 EEU123513 EOQ123513 EYM123513 FII123513 FSE123513 GCA123513 GLW123513 GVS123513 HFO123513 HPK123513 HZG123513 IJC123513 ISY123513 JCU123513 JMQ123513 JWM123513 KGI123513 KQE123513 LAA123513 LJW123513 LTS123513 MDO123513 MNK123513 MXG123513 NHC123513 NQY123513 OAU123513 OKQ123513 OUM123513 PEI123513 POE123513 PYA123513 QHW123513 QRS123513 RBO123513 RLK123513 RVG123513 SFC123513 SOY123513 SYU123513 TIQ123513 TSM123513 UCI123513 UME123513 UWA123513 VFW123513 VPS123513 VZO123513 WJK123513 WTG123513 XDC123513 GU189049 QQ189049 AAM189049 AKI189049 AUE189049 BEA189049 BNW189049 BXS189049 CHO189049 CRK189049 DBG189049 DLC189049 DUY189049 EEU189049 EOQ189049 EYM189049 FII189049 FSE189049 GCA189049 GLW189049 GVS189049 HFO189049 HPK189049 HZG189049 IJC189049 ISY189049 JCU189049 JMQ189049 JWM189049 KGI189049 KQE189049 LAA189049 LJW189049 LTS189049 MDO189049 MNK189049 MXG189049 NHC189049 NQY189049 OAU189049 OKQ189049 OUM189049 PEI189049 POE189049 PYA189049 QHW189049 QRS189049 RBO189049 RLK189049 RVG189049 SFC189049 SOY189049 SYU189049 TIQ189049 TSM189049 UCI189049 UME189049 UWA189049 VFW189049 VPS189049 VZO189049 WJK189049 WTG189049 XDC189049 GU254585 QQ254585 AAM254585 AKI254585 AUE254585 BEA254585 BNW254585 BXS254585 CHO254585 CRK254585 DBG254585 DLC254585 DUY254585 EEU254585 EOQ254585 EYM254585 FII254585 FSE254585 GCA254585 GLW254585 GVS254585 HFO254585 HPK254585 HZG254585 IJC254585 ISY254585 JCU254585 JMQ254585 JWM254585 KGI254585 KQE254585 LAA254585 LJW254585 LTS254585 MDO254585 MNK254585 MXG254585 NHC254585 NQY254585 OAU254585 OKQ254585 OUM254585 PEI254585 POE254585 PYA254585 QHW254585 QRS254585 RBO254585 RLK254585 RVG254585 SFC254585 SOY254585 SYU254585 TIQ254585 TSM254585 UCI254585 UME254585 UWA254585 VFW254585 VPS254585 VZO254585 WJK254585 WTG254585 XDC254585 GU320121 QQ320121 AAM320121 AKI320121 AUE320121 BEA320121 BNW320121 BXS320121 CHO320121 CRK320121 DBG320121 DLC320121 DUY320121 EEU320121 EOQ320121 EYM320121 FII320121 FSE320121 GCA320121 GLW320121 GVS320121 HFO320121 HPK320121 HZG320121 IJC320121 ISY320121 JCU320121 JMQ320121 JWM320121 KGI320121 KQE320121 LAA320121 LJW320121 LTS320121 MDO320121 MNK320121 MXG320121 NHC320121 NQY320121 OAU320121 OKQ320121 OUM320121 PEI320121 POE320121 PYA320121 QHW320121 QRS320121 RBO320121 RLK320121 RVG320121 SFC320121 SOY320121 SYU320121 TIQ320121 TSM320121 UCI320121 UME320121 UWA320121 VFW320121 VPS320121 VZO320121 WJK320121 WTG320121 XDC320121 GU385657 QQ385657 AAM385657 AKI385657 AUE385657 BEA385657 BNW385657 BXS385657 CHO385657 CRK385657 DBG385657 DLC385657 DUY385657 EEU385657 EOQ385657 EYM385657 FII385657 FSE385657 GCA385657 GLW385657 GVS385657 HFO385657 HPK385657 HZG385657 IJC385657 ISY385657 JCU385657 JMQ385657 JWM385657 KGI385657 KQE385657 LAA385657 LJW385657 LTS385657 MDO385657 MNK385657 MXG385657 NHC385657 NQY385657 OAU385657 OKQ385657 OUM385657 PEI385657 POE385657 PYA385657 QHW385657 QRS385657 RBO385657 RLK385657 RVG385657 SFC385657 SOY385657 SYU385657 TIQ385657 TSM385657 UCI385657 UME385657 UWA385657 VFW385657 VPS385657 VZO385657 WJK385657 WTG385657 XDC385657 GU451193 QQ451193 AAM451193 AKI451193 AUE451193 BEA451193 BNW451193 BXS451193 CHO451193 CRK451193 DBG451193 DLC451193 DUY451193 EEU451193 EOQ451193 EYM451193 FII451193 FSE451193 GCA451193 GLW451193 GVS451193 HFO451193 HPK451193 HZG451193 IJC451193 ISY451193 JCU451193 JMQ451193 JWM451193 KGI451193 KQE451193 LAA451193 LJW451193 LTS451193 MDO451193 MNK451193 MXG451193 NHC451193 NQY451193 OAU451193 OKQ451193 OUM451193 PEI451193 POE451193 PYA451193 QHW451193 QRS451193 RBO451193 RLK451193 RVG451193 SFC451193 SOY451193 SYU451193 TIQ451193 TSM451193 UCI451193 UME451193 UWA451193 VFW451193 VPS451193 VZO451193 WJK451193 WTG451193 XDC451193 GU516729 QQ516729 AAM516729 AKI516729 AUE516729 BEA516729 BNW516729 BXS516729 CHO516729 CRK516729 DBG516729 DLC516729 DUY516729 EEU516729 EOQ516729 EYM516729 FII516729 FSE516729 GCA516729 GLW516729 GVS516729 HFO516729 HPK516729 HZG516729 IJC516729 ISY516729 JCU516729 JMQ516729 JWM516729 KGI516729 KQE516729 LAA516729 LJW516729 LTS516729 MDO516729 MNK516729 MXG516729 NHC516729 NQY516729 OAU516729 OKQ516729 OUM516729 PEI516729 POE516729 PYA516729 QHW516729 QRS516729 RBO516729 RLK516729 RVG516729 SFC516729 SOY516729 SYU516729 TIQ516729 TSM516729 UCI516729 UME516729 UWA516729 VFW516729 VPS516729 VZO516729 WJK516729 WTG516729 XDC516729 GU582265 QQ582265 AAM582265 AKI582265 AUE582265 BEA582265 BNW582265 BXS582265 CHO582265 CRK582265 DBG582265 DLC582265 DUY582265 EEU582265 EOQ582265 EYM582265 FII582265 FSE582265 GCA582265 GLW582265 GVS582265 HFO582265 HPK582265 HZG582265 IJC582265 ISY582265 JCU582265 JMQ582265 JWM582265 KGI582265 KQE582265 LAA582265 LJW582265 LTS582265 MDO582265 MNK582265 MXG582265 NHC582265 NQY582265 OAU582265 OKQ582265 OUM582265 PEI582265 POE582265 PYA582265 QHW582265 QRS582265 RBO582265 RLK582265 RVG582265 SFC582265 SOY582265 SYU582265 TIQ582265 TSM582265 UCI582265 UME582265 UWA582265 VFW582265 VPS582265 VZO582265 WJK582265 WTG582265 XDC582265 GU647801 QQ647801 AAM647801 AKI647801 AUE647801 BEA647801 BNW647801 BXS647801 CHO647801 CRK647801 DBG647801 DLC647801 DUY647801 EEU647801 EOQ647801 EYM647801 FII647801 FSE647801 GCA647801 GLW647801 GVS647801 HFO647801 HPK647801 HZG647801 IJC647801 ISY647801 JCU647801 JMQ647801 JWM647801 KGI647801 KQE647801 LAA647801 LJW647801 LTS647801 MDO647801 MNK647801 MXG647801 NHC647801 NQY647801 OAU647801 OKQ647801 OUM647801 PEI647801 POE647801 PYA647801 QHW647801 QRS647801 RBO647801 RLK647801 RVG647801 SFC647801 SOY647801 SYU647801 TIQ647801 TSM647801 UCI647801 UME647801 UWA647801 VFW647801 VPS647801 VZO647801 WJK647801 WTG647801 XDC647801 GU713337 QQ713337 AAM713337 AKI713337 AUE713337 BEA713337 BNW713337 BXS713337 CHO713337 CRK713337 DBG713337 DLC713337 DUY713337 EEU713337 EOQ713337 EYM713337 FII713337 FSE713337 GCA713337 GLW713337 GVS713337 HFO713337 HPK713337 HZG713337 IJC713337 ISY713337 JCU713337 JMQ713337 JWM713337 KGI713337 KQE713337 LAA713337 LJW713337 LTS713337 MDO713337 MNK713337 MXG713337 NHC713337 NQY713337 OAU713337 OKQ713337 OUM713337 PEI713337 POE713337 PYA713337 QHW713337 QRS713337 RBO713337 RLK713337 RVG713337 SFC713337 SOY713337 SYU713337 TIQ713337 TSM713337 UCI713337 UME713337 UWA713337 VFW713337 VPS713337 VZO713337 WJK713337 WTG713337 XDC713337 GU778873 QQ778873 AAM778873 AKI778873 AUE778873 BEA778873 BNW778873 BXS778873 CHO778873 CRK778873 DBG778873 DLC778873 DUY778873 EEU778873 EOQ778873 EYM778873 FII778873 FSE778873 GCA778873 GLW778873 GVS778873 HFO778873 HPK778873 HZG778873 IJC778873 ISY778873 JCU778873 JMQ778873 JWM778873 KGI778873 KQE778873 LAA778873 LJW778873 LTS778873 MDO778873 MNK778873 MXG778873 NHC778873 NQY778873 OAU778873 OKQ778873 OUM778873 PEI778873 POE778873 PYA778873 QHW778873 QRS778873 RBO778873 RLK778873 RVG778873 SFC778873 SOY778873 SYU778873 TIQ778873 TSM778873 UCI778873 UME778873 UWA778873 VFW778873 VPS778873 VZO778873 WJK778873 WTG778873 XDC778873 GU844409 QQ844409 AAM844409 AKI844409 AUE844409 BEA844409 BNW844409 BXS844409 CHO844409 CRK844409 DBG844409 DLC844409 DUY844409 EEU844409 EOQ844409 EYM844409 FII844409 FSE844409 GCA844409 GLW844409 GVS844409 HFO844409 HPK844409 HZG844409 IJC844409 ISY844409 JCU844409 JMQ844409 JWM844409 KGI844409 KQE844409 LAA844409 LJW844409 LTS844409 MDO844409 MNK844409 MXG844409 NHC844409 NQY844409 OAU844409 OKQ844409 OUM844409 PEI844409 POE844409 PYA844409 QHW844409 QRS844409 RBO844409 RLK844409 RVG844409 SFC844409 SOY844409 SYU844409 TIQ844409 TSM844409 UCI844409 UME844409 UWA844409 VFW844409 VPS844409 VZO844409 WJK844409 WTG844409 XDC844409 GU909945 QQ909945 AAM909945 AKI909945 AUE909945 BEA909945 BNW909945 BXS909945 CHO909945 CRK909945 DBG909945 DLC909945 DUY909945 EEU909945 EOQ909945 EYM909945 FII909945 FSE909945 GCA909945 GLW909945 GVS909945 HFO909945 HPK909945 HZG909945 IJC909945 ISY909945 JCU909945 JMQ909945 JWM909945 KGI909945 KQE909945 LAA909945 LJW909945 LTS909945 MDO909945 MNK909945 MXG909945 NHC909945 NQY909945 OAU909945 OKQ909945 OUM909945 PEI909945 POE909945 PYA909945 QHW909945 QRS909945 RBO909945 RLK909945 RVG909945 SFC909945 SOY909945 SYU909945 TIQ909945 TSM909945 UCI909945 UME909945 UWA909945 VFW909945 VPS909945 VZO909945 WJK909945 WTG909945 XDC909945 GU975481 QQ975481 AAM975481 AKI975481 AUE975481 BEA975481 BNW975481 BXS975481 CHO975481 CRK975481 DBG975481 DLC975481 DUY975481 EEU975481 EOQ975481 EYM975481 FII975481 FSE975481 GCA975481 GLW975481 GVS975481 HFO975481 HPK975481 HZG975481 IJC975481 ISY975481 JCU975481 JMQ975481 JWM975481 KGI975481 KQE975481 LAA975481 LJW975481 LTS975481 MDO975481 MNK975481 MXG975481 NHC975481 NQY975481 OAU975481 OKQ975481 OUM975481 PEI975481 POE975481 PYA975481 QHW975481 QRS975481 RBO975481 RLK975481 RVG975481 SFC975481 SOY975481 SYU975481 TIQ975481 TSM975481 UCI975481 UME975481 UWA975481 VFW975481 VPS975481 VZO975481 WJK975481 WTG975481 XDC975481 GU1041017 QQ1041017 AAM1041017 AKI1041017 AUE1041017 BEA1041017 BNW1041017 BXS1041017 CHO1041017 CRK1041017 DBG1041017 DLC1041017 DUY1041017 EEU1041017 EOQ1041017 EYM1041017 FII1041017 FSE1041017 GCA1041017 GLW1041017 GVS1041017 HFO1041017 HPK1041017 HZG1041017 IJC1041017 ISY1041017 JCU1041017 JMQ1041017 JWM1041017 KGI1041017 KQE1041017 LAA1041017 LJW1041017 LTS1041017 MDO1041017 MNK1041017 MXG1041017 NHC1041017 NQY1041017 OAU1041017 OKQ1041017 OUM1041017 PEI1041017 POE1041017 PYA1041017 QHW1041017 QRS1041017 RBO1041017 RLK1041017 RVG1041017 SFC1041017 SOY1041017 SYU1041017 TIQ1041017 TSM1041017 UCI1041017 UME1041017 UWA1041017 VFW1041017 VPS1041017 VZO1041017 WJK1041017 WTG1041017 XDC1041017" xr:uid="{E7C350D0-6657-4166-A72E-BA11731F6C60}">
      <formula1>"Period Type"</formula1>
    </dataValidation>
    <dataValidation type="custom" showInputMessage="1" showErrorMessage="1" sqref="C12 IY12 SU12 ACQ12 AMM12 AWI12 BGE12 BQA12 BZW12 CJS12 CTO12 DDK12 DNG12 DXC12 EGY12 EQU12 FAQ12 FKM12 FUI12 GEE12 GOA12 GXW12 HHS12 HRO12 IBK12 ILG12 IVC12 JEY12 JOU12 JYQ12 KIM12 KSI12 LCE12 LMA12 LVW12 MFS12 MPO12 MZK12 NJG12 NTC12 OCY12 OMU12 OWQ12 PGM12 PQI12 QAE12 QKA12 QTW12 RDS12 RNO12 RXK12 SHG12 SRC12 TAY12 TKU12 TUQ12 UEM12 UOI12 UYE12 VIA12 VRW12 WBS12 WLO12 WVK12 C65548 IY65548 SU65548 ACQ65548 AMM65548 AWI65548 BGE65548 BQA65548 BZW65548 CJS65548 CTO65548 DDK65548 DNG65548 DXC65548 EGY65548 EQU65548 FAQ65548 FKM65548 FUI65548 GEE65548 GOA65548 GXW65548 HHS65548 HRO65548 IBK65548 ILG65548 IVC65548 JEY65548 JOU65548 JYQ65548 KIM65548 KSI65548 LCE65548 LMA65548 LVW65548 MFS65548 MPO65548 MZK65548 NJG65548 NTC65548 OCY65548 OMU65548 OWQ65548 PGM65548 PQI65548 QAE65548 QKA65548 QTW65548 RDS65548 RNO65548 RXK65548 SHG65548 SRC65548 TAY65548 TKU65548 TUQ65548 UEM65548 UOI65548 UYE65548 VIA65548 VRW65548 WBS65548 WLO65548 WVK65548 C131084 IY131084 SU131084 ACQ131084 AMM131084 AWI131084 BGE131084 BQA131084 BZW131084 CJS131084 CTO131084 DDK131084 DNG131084 DXC131084 EGY131084 EQU131084 FAQ131084 FKM131084 FUI131084 GEE131084 GOA131084 GXW131084 HHS131084 HRO131084 IBK131084 ILG131084 IVC131084 JEY131084 JOU131084 JYQ131084 KIM131084 KSI131084 LCE131084 LMA131084 LVW131084 MFS131084 MPO131084 MZK131084 NJG131084 NTC131084 OCY131084 OMU131084 OWQ131084 PGM131084 PQI131084 QAE131084 QKA131084 QTW131084 RDS131084 RNO131084 RXK131084 SHG131084 SRC131084 TAY131084 TKU131084 TUQ131084 UEM131084 UOI131084 UYE131084 VIA131084 VRW131084 WBS131084 WLO131084 WVK131084 C196620 IY196620 SU196620 ACQ196620 AMM196620 AWI196620 BGE196620 BQA196620 BZW196620 CJS196620 CTO196620 DDK196620 DNG196620 DXC196620 EGY196620 EQU196620 FAQ196620 FKM196620 FUI196620 GEE196620 GOA196620 GXW196620 HHS196620 HRO196620 IBK196620 ILG196620 IVC196620 JEY196620 JOU196620 JYQ196620 KIM196620 KSI196620 LCE196620 LMA196620 LVW196620 MFS196620 MPO196620 MZK196620 NJG196620 NTC196620 OCY196620 OMU196620 OWQ196620 PGM196620 PQI196620 QAE196620 QKA196620 QTW196620 RDS196620 RNO196620 RXK196620 SHG196620 SRC196620 TAY196620 TKU196620 TUQ196620 UEM196620 UOI196620 UYE196620 VIA196620 VRW196620 WBS196620 WLO196620 WVK196620 C262156 IY262156 SU262156 ACQ262156 AMM262156 AWI262156 BGE262156 BQA262156 BZW262156 CJS262156 CTO262156 DDK262156 DNG262156 DXC262156 EGY262156 EQU262156 FAQ262156 FKM262156 FUI262156 GEE262156 GOA262156 GXW262156 HHS262156 HRO262156 IBK262156 ILG262156 IVC262156 JEY262156 JOU262156 JYQ262156 KIM262156 KSI262156 LCE262156 LMA262156 LVW262156 MFS262156 MPO262156 MZK262156 NJG262156 NTC262156 OCY262156 OMU262156 OWQ262156 PGM262156 PQI262156 QAE262156 QKA262156 QTW262156 RDS262156 RNO262156 RXK262156 SHG262156 SRC262156 TAY262156 TKU262156 TUQ262156 UEM262156 UOI262156 UYE262156 VIA262156 VRW262156 WBS262156 WLO262156 WVK262156 C327692 IY327692 SU327692 ACQ327692 AMM327692 AWI327692 BGE327692 BQA327692 BZW327692 CJS327692 CTO327692 DDK327692 DNG327692 DXC327692 EGY327692 EQU327692 FAQ327692 FKM327692 FUI327692 GEE327692 GOA327692 GXW327692 HHS327692 HRO327692 IBK327692 ILG327692 IVC327692 JEY327692 JOU327692 JYQ327692 KIM327692 KSI327692 LCE327692 LMA327692 LVW327692 MFS327692 MPO327692 MZK327692 NJG327692 NTC327692 OCY327692 OMU327692 OWQ327692 PGM327692 PQI327692 QAE327692 QKA327692 QTW327692 RDS327692 RNO327692 RXK327692 SHG327692 SRC327692 TAY327692 TKU327692 TUQ327692 UEM327692 UOI327692 UYE327692 VIA327692 VRW327692 WBS327692 WLO327692 WVK327692 C393228 IY393228 SU393228 ACQ393228 AMM393228 AWI393228 BGE393228 BQA393228 BZW393228 CJS393228 CTO393228 DDK393228 DNG393228 DXC393228 EGY393228 EQU393228 FAQ393228 FKM393228 FUI393228 GEE393228 GOA393228 GXW393228 HHS393228 HRO393228 IBK393228 ILG393228 IVC393228 JEY393228 JOU393228 JYQ393228 KIM393228 KSI393228 LCE393228 LMA393228 LVW393228 MFS393228 MPO393228 MZK393228 NJG393228 NTC393228 OCY393228 OMU393228 OWQ393228 PGM393228 PQI393228 QAE393228 QKA393228 QTW393228 RDS393228 RNO393228 RXK393228 SHG393228 SRC393228 TAY393228 TKU393228 TUQ393228 UEM393228 UOI393228 UYE393228 VIA393228 VRW393228 WBS393228 WLO393228 WVK393228 C458764 IY458764 SU458764 ACQ458764 AMM458764 AWI458764 BGE458764 BQA458764 BZW458764 CJS458764 CTO458764 DDK458764 DNG458764 DXC458764 EGY458764 EQU458764 FAQ458764 FKM458764 FUI458764 GEE458764 GOA458764 GXW458764 HHS458764 HRO458764 IBK458764 ILG458764 IVC458764 JEY458764 JOU458764 JYQ458764 KIM458764 KSI458764 LCE458764 LMA458764 LVW458764 MFS458764 MPO458764 MZK458764 NJG458764 NTC458764 OCY458764 OMU458764 OWQ458764 PGM458764 PQI458764 QAE458764 QKA458764 QTW458764 RDS458764 RNO458764 RXK458764 SHG458764 SRC458764 TAY458764 TKU458764 TUQ458764 UEM458764 UOI458764 UYE458764 VIA458764 VRW458764 WBS458764 WLO458764 WVK458764 C524300 IY524300 SU524300 ACQ524300 AMM524300 AWI524300 BGE524300 BQA524300 BZW524300 CJS524300 CTO524300 DDK524300 DNG524300 DXC524300 EGY524300 EQU524300 FAQ524300 FKM524300 FUI524300 GEE524300 GOA524300 GXW524300 HHS524300 HRO524300 IBK524300 ILG524300 IVC524300 JEY524300 JOU524300 JYQ524300 KIM524300 KSI524300 LCE524300 LMA524300 LVW524300 MFS524300 MPO524300 MZK524300 NJG524300 NTC524300 OCY524300 OMU524300 OWQ524300 PGM524300 PQI524300 QAE524300 QKA524300 QTW524300 RDS524300 RNO524300 RXK524300 SHG524300 SRC524300 TAY524300 TKU524300 TUQ524300 UEM524300 UOI524300 UYE524300 VIA524300 VRW524300 WBS524300 WLO524300 WVK524300 C589836 IY589836 SU589836 ACQ589836 AMM589836 AWI589836 BGE589836 BQA589836 BZW589836 CJS589836 CTO589836 DDK589836 DNG589836 DXC589836 EGY589836 EQU589836 FAQ589836 FKM589836 FUI589836 GEE589836 GOA589836 GXW589836 HHS589836 HRO589836 IBK589836 ILG589836 IVC589836 JEY589836 JOU589836 JYQ589836 KIM589836 KSI589836 LCE589836 LMA589836 LVW589836 MFS589836 MPO589836 MZK589836 NJG589836 NTC589836 OCY589836 OMU589836 OWQ589836 PGM589836 PQI589836 QAE589836 QKA589836 QTW589836 RDS589836 RNO589836 RXK589836 SHG589836 SRC589836 TAY589836 TKU589836 TUQ589836 UEM589836 UOI589836 UYE589836 VIA589836 VRW589836 WBS589836 WLO589836 WVK589836 C655372 IY655372 SU655372 ACQ655372 AMM655372 AWI655372 BGE655372 BQA655372 BZW655372 CJS655372 CTO655372 DDK655372 DNG655372 DXC655372 EGY655372 EQU655372 FAQ655372 FKM655372 FUI655372 GEE655372 GOA655372 GXW655372 HHS655372 HRO655372 IBK655372 ILG655372 IVC655372 JEY655372 JOU655372 JYQ655372 KIM655372 KSI655372 LCE655372 LMA655372 LVW655372 MFS655372 MPO655372 MZK655372 NJG655372 NTC655372 OCY655372 OMU655372 OWQ655372 PGM655372 PQI655372 QAE655372 QKA655372 QTW655372 RDS655372 RNO655372 RXK655372 SHG655372 SRC655372 TAY655372 TKU655372 TUQ655372 UEM655372 UOI655372 UYE655372 VIA655372 VRW655372 WBS655372 WLO655372 WVK655372 C720908 IY720908 SU720908 ACQ720908 AMM720908 AWI720908 BGE720908 BQA720908 BZW720908 CJS720908 CTO720908 DDK720908 DNG720908 DXC720908 EGY720908 EQU720908 FAQ720908 FKM720908 FUI720908 GEE720908 GOA720908 GXW720908 HHS720908 HRO720908 IBK720908 ILG720908 IVC720908 JEY720908 JOU720908 JYQ720908 KIM720908 KSI720908 LCE720908 LMA720908 LVW720908 MFS720908 MPO720908 MZK720908 NJG720908 NTC720908 OCY720908 OMU720908 OWQ720908 PGM720908 PQI720908 QAE720908 QKA720908 QTW720908 RDS720908 RNO720908 RXK720908 SHG720908 SRC720908 TAY720908 TKU720908 TUQ720908 UEM720908 UOI720908 UYE720908 VIA720908 VRW720908 WBS720908 WLO720908 WVK720908 C786444 IY786444 SU786444 ACQ786444 AMM786444 AWI786444 BGE786444 BQA786444 BZW786444 CJS786444 CTO786444 DDK786444 DNG786444 DXC786444 EGY786444 EQU786444 FAQ786444 FKM786444 FUI786444 GEE786444 GOA786444 GXW786444 HHS786444 HRO786444 IBK786444 ILG786444 IVC786444 JEY786444 JOU786444 JYQ786444 KIM786444 KSI786444 LCE786444 LMA786444 LVW786444 MFS786444 MPO786444 MZK786444 NJG786444 NTC786444 OCY786444 OMU786444 OWQ786444 PGM786444 PQI786444 QAE786444 QKA786444 QTW786444 RDS786444 RNO786444 RXK786444 SHG786444 SRC786444 TAY786444 TKU786444 TUQ786444 UEM786444 UOI786444 UYE786444 VIA786444 VRW786444 WBS786444 WLO786444 WVK786444 C851980 IY851980 SU851980 ACQ851980 AMM851980 AWI851980 BGE851980 BQA851980 BZW851980 CJS851980 CTO851980 DDK851980 DNG851980 DXC851980 EGY851980 EQU851980 FAQ851980 FKM851980 FUI851980 GEE851980 GOA851980 GXW851980 HHS851980 HRO851980 IBK851980 ILG851980 IVC851980 JEY851980 JOU851980 JYQ851980 KIM851980 KSI851980 LCE851980 LMA851980 LVW851980 MFS851980 MPO851980 MZK851980 NJG851980 NTC851980 OCY851980 OMU851980 OWQ851980 PGM851980 PQI851980 QAE851980 QKA851980 QTW851980 RDS851980 RNO851980 RXK851980 SHG851980 SRC851980 TAY851980 TKU851980 TUQ851980 UEM851980 UOI851980 UYE851980 VIA851980 VRW851980 WBS851980 WLO851980 WVK851980 C917516 IY917516 SU917516 ACQ917516 AMM917516 AWI917516 BGE917516 BQA917516 BZW917516 CJS917516 CTO917516 DDK917516 DNG917516 DXC917516 EGY917516 EQU917516 FAQ917516 FKM917516 FUI917516 GEE917516 GOA917516 GXW917516 HHS917516 HRO917516 IBK917516 ILG917516 IVC917516 JEY917516 JOU917516 JYQ917516 KIM917516 KSI917516 LCE917516 LMA917516 LVW917516 MFS917516 MPO917516 MZK917516 NJG917516 NTC917516 OCY917516 OMU917516 OWQ917516 PGM917516 PQI917516 QAE917516 QKA917516 QTW917516 RDS917516 RNO917516 RXK917516 SHG917516 SRC917516 TAY917516 TKU917516 TUQ917516 UEM917516 UOI917516 UYE917516 VIA917516 VRW917516 WBS917516 WLO917516 WVK917516 C983052 IY983052 SU983052 ACQ983052 AMM983052 AWI983052 BGE983052 BQA983052 BZW983052 CJS983052 CTO983052 DDK983052 DNG983052 DXC983052 EGY983052 EQU983052 FAQ983052 FKM983052 FUI983052 GEE983052 GOA983052 GXW983052 HHS983052 HRO983052 IBK983052 ILG983052 IVC983052 JEY983052 JOU983052 JYQ983052 KIM983052 KSI983052 LCE983052 LMA983052 LVW983052 MFS983052 MPO983052 MZK983052 NJG983052 NTC983052 OCY983052 OMU983052 OWQ983052 PGM983052 PQI983052 QAE983052 QKA983052 QTW983052 RDS983052 RNO983052 RXK983052 SHG983052 SRC983052 TAY983052 TKU983052 TUQ983052 UEM983052 UOI983052 UYE983052 VIA983052 VRW983052 WBS983052 WLO983052 WVK983052 GU12 QQ12 AAM12 AKI12 AUE12 BEA12 BNW12 BXS12 CHO12 CRK12 DBG12 DLC12 DUY12 EEU12 EOQ12 EYM12 FII12 FSE12 GCA12 GLW12 GVS12 HFO12 HPK12 HZG12 IJC12 ISY12 JCU12 JMQ12 JWM12 KGI12 KQE12 LAA12 LJW12 LTS12 MDO12 MNK12 MXG12 NHC12 NQY12 OAU12 OKQ12 OUM12 PEI12 POE12 PYA12 QHW12 QRS12 RBO12 RLK12 RVG12 SFC12 SOY12 SYU12 TIQ12 TSM12 UCI12 UME12 UWA12 VFW12 VPS12 VZO12 WJK12 WTG12 XDC12 GU65548 QQ65548 AAM65548 AKI65548 AUE65548 BEA65548 BNW65548 BXS65548 CHO65548 CRK65548 DBG65548 DLC65548 DUY65548 EEU65548 EOQ65548 EYM65548 FII65548 FSE65548 GCA65548 GLW65548 GVS65548 HFO65548 HPK65548 HZG65548 IJC65548 ISY65548 JCU65548 JMQ65548 JWM65548 KGI65548 KQE65548 LAA65548 LJW65548 LTS65548 MDO65548 MNK65548 MXG65548 NHC65548 NQY65548 OAU65548 OKQ65548 OUM65548 PEI65548 POE65548 PYA65548 QHW65548 QRS65548 RBO65548 RLK65548 RVG65548 SFC65548 SOY65548 SYU65548 TIQ65548 TSM65548 UCI65548 UME65548 UWA65548 VFW65548 VPS65548 VZO65548 WJK65548 WTG65548 XDC65548 GU131084 QQ131084 AAM131084 AKI131084 AUE131084 BEA131084 BNW131084 BXS131084 CHO131084 CRK131084 DBG131084 DLC131084 DUY131084 EEU131084 EOQ131084 EYM131084 FII131084 FSE131084 GCA131084 GLW131084 GVS131084 HFO131084 HPK131084 HZG131084 IJC131084 ISY131084 JCU131084 JMQ131084 JWM131084 KGI131084 KQE131084 LAA131084 LJW131084 LTS131084 MDO131084 MNK131084 MXG131084 NHC131084 NQY131084 OAU131084 OKQ131084 OUM131084 PEI131084 POE131084 PYA131084 QHW131084 QRS131084 RBO131084 RLK131084 RVG131084 SFC131084 SOY131084 SYU131084 TIQ131084 TSM131084 UCI131084 UME131084 UWA131084 VFW131084 VPS131084 VZO131084 WJK131084 WTG131084 XDC131084 GU196620 QQ196620 AAM196620 AKI196620 AUE196620 BEA196620 BNW196620 BXS196620 CHO196620 CRK196620 DBG196620 DLC196620 DUY196620 EEU196620 EOQ196620 EYM196620 FII196620 FSE196620 GCA196620 GLW196620 GVS196620 HFO196620 HPK196620 HZG196620 IJC196620 ISY196620 JCU196620 JMQ196620 JWM196620 KGI196620 KQE196620 LAA196620 LJW196620 LTS196620 MDO196620 MNK196620 MXG196620 NHC196620 NQY196620 OAU196620 OKQ196620 OUM196620 PEI196620 POE196620 PYA196620 QHW196620 QRS196620 RBO196620 RLK196620 RVG196620 SFC196620 SOY196620 SYU196620 TIQ196620 TSM196620 UCI196620 UME196620 UWA196620 VFW196620 VPS196620 VZO196620 WJK196620 WTG196620 XDC196620 GU262156 QQ262156 AAM262156 AKI262156 AUE262156 BEA262156 BNW262156 BXS262156 CHO262156 CRK262156 DBG262156 DLC262156 DUY262156 EEU262156 EOQ262156 EYM262156 FII262156 FSE262156 GCA262156 GLW262156 GVS262156 HFO262156 HPK262156 HZG262156 IJC262156 ISY262156 JCU262156 JMQ262156 JWM262156 KGI262156 KQE262156 LAA262156 LJW262156 LTS262156 MDO262156 MNK262156 MXG262156 NHC262156 NQY262156 OAU262156 OKQ262156 OUM262156 PEI262156 POE262156 PYA262156 QHW262156 QRS262156 RBO262156 RLK262156 RVG262156 SFC262156 SOY262156 SYU262156 TIQ262156 TSM262156 UCI262156 UME262156 UWA262156 VFW262156 VPS262156 VZO262156 WJK262156 WTG262156 XDC262156 GU327692 QQ327692 AAM327692 AKI327692 AUE327692 BEA327692 BNW327692 BXS327692 CHO327692 CRK327692 DBG327692 DLC327692 DUY327692 EEU327692 EOQ327692 EYM327692 FII327692 FSE327692 GCA327692 GLW327692 GVS327692 HFO327692 HPK327692 HZG327692 IJC327692 ISY327692 JCU327692 JMQ327692 JWM327692 KGI327692 KQE327692 LAA327692 LJW327692 LTS327692 MDO327692 MNK327692 MXG327692 NHC327692 NQY327692 OAU327692 OKQ327692 OUM327692 PEI327692 POE327692 PYA327692 QHW327692 QRS327692 RBO327692 RLK327692 RVG327692 SFC327692 SOY327692 SYU327692 TIQ327692 TSM327692 UCI327692 UME327692 UWA327692 VFW327692 VPS327692 VZO327692 WJK327692 WTG327692 XDC327692 GU393228 QQ393228 AAM393228 AKI393228 AUE393228 BEA393228 BNW393228 BXS393228 CHO393228 CRK393228 DBG393228 DLC393228 DUY393228 EEU393228 EOQ393228 EYM393228 FII393228 FSE393228 GCA393228 GLW393228 GVS393228 HFO393228 HPK393228 HZG393228 IJC393228 ISY393228 JCU393228 JMQ393228 JWM393228 KGI393228 KQE393228 LAA393228 LJW393228 LTS393228 MDO393228 MNK393228 MXG393228 NHC393228 NQY393228 OAU393228 OKQ393228 OUM393228 PEI393228 POE393228 PYA393228 QHW393228 QRS393228 RBO393228 RLK393228 RVG393228 SFC393228 SOY393228 SYU393228 TIQ393228 TSM393228 UCI393228 UME393228 UWA393228 VFW393228 VPS393228 VZO393228 WJK393228 WTG393228 XDC393228 GU458764 QQ458764 AAM458764 AKI458764 AUE458764 BEA458764 BNW458764 BXS458764 CHO458764 CRK458764 DBG458764 DLC458764 DUY458764 EEU458764 EOQ458764 EYM458764 FII458764 FSE458764 GCA458764 GLW458764 GVS458764 HFO458764 HPK458764 HZG458764 IJC458764 ISY458764 JCU458764 JMQ458764 JWM458764 KGI458764 KQE458764 LAA458764 LJW458764 LTS458764 MDO458764 MNK458764 MXG458764 NHC458764 NQY458764 OAU458764 OKQ458764 OUM458764 PEI458764 POE458764 PYA458764 QHW458764 QRS458764 RBO458764 RLK458764 RVG458764 SFC458764 SOY458764 SYU458764 TIQ458764 TSM458764 UCI458764 UME458764 UWA458764 VFW458764 VPS458764 VZO458764 WJK458764 WTG458764 XDC458764 GU524300 QQ524300 AAM524300 AKI524300 AUE524300 BEA524300 BNW524300 BXS524300 CHO524300 CRK524300 DBG524300 DLC524300 DUY524300 EEU524300 EOQ524300 EYM524300 FII524300 FSE524300 GCA524300 GLW524300 GVS524300 HFO524300 HPK524300 HZG524300 IJC524300 ISY524300 JCU524300 JMQ524300 JWM524300 KGI524300 KQE524300 LAA524300 LJW524300 LTS524300 MDO524300 MNK524300 MXG524300 NHC524300 NQY524300 OAU524300 OKQ524300 OUM524300 PEI524300 POE524300 PYA524300 QHW524300 QRS524300 RBO524300 RLK524300 RVG524300 SFC524300 SOY524300 SYU524300 TIQ524300 TSM524300 UCI524300 UME524300 UWA524300 VFW524300 VPS524300 VZO524300 WJK524300 WTG524300 XDC524300 GU589836 QQ589836 AAM589836 AKI589836 AUE589836 BEA589836 BNW589836 BXS589836 CHO589836 CRK589836 DBG589836 DLC589836 DUY589836 EEU589836 EOQ589836 EYM589836 FII589836 FSE589836 GCA589836 GLW589836 GVS589836 HFO589836 HPK589836 HZG589836 IJC589836 ISY589836 JCU589836 JMQ589836 JWM589836 KGI589836 KQE589836 LAA589836 LJW589836 LTS589836 MDO589836 MNK589836 MXG589836 NHC589836 NQY589836 OAU589836 OKQ589836 OUM589836 PEI589836 POE589836 PYA589836 QHW589836 QRS589836 RBO589836 RLK589836 RVG589836 SFC589836 SOY589836 SYU589836 TIQ589836 TSM589836 UCI589836 UME589836 UWA589836 VFW589836 VPS589836 VZO589836 WJK589836 WTG589836 XDC589836 GU655372 QQ655372 AAM655372 AKI655372 AUE655372 BEA655372 BNW655372 BXS655372 CHO655372 CRK655372 DBG655372 DLC655372 DUY655372 EEU655372 EOQ655372 EYM655372 FII655372 FSE655372 GCA655372 GLW655372 GVS655372 HFO655372 HPK655372 HZG655372 IJC655372 ISY655372 JCU655372 JMQ655372 JWM655372 KGI655372 KQE655372 LAA655372 LJW655372 LTS655372 MDO655372 MNK655372 MXG655372 NHC655372 NQY655372 OAU655372 OKQ655372 OUM655372 PEI655372 POE655372 PYA655372 QHW655372 QRS655372 RBO655372 RLK655372 RVG655372 SFC655372 SOY655372 SYU655372 TIQ655372 TSM655372 UCI655372 UME655372 UWA655372 VFW655372 VPS655372 VZO655372 WJK655372 WTG655372 XDC655372 GU720908 QQ720908 AAM720908 AKI720908 AUE720908 BEA720908 BNW720908 BXS720908 CHO720908 CRK720908 DBG720908 DLC720908 DUY720908 EEU720908 EOQ720908 EYM720908 FII720908 FSE720908 GCA720908 GLW720908 GVS720908 HFO720908 HPK720908 HZG720908 IJC720908 ISY720908 JCU720908 JMQ720908 JWM720908 KGI720908 KQE720908 LAA720908 LJW720908 LTS720908 MDO720908 MNK720908 MXG720908 NHC720908 NQY720908 OAU720908 OKQ720908 OUM720908 PEI720908 POE720908 PYA720908 QHW720908 QRS720908 RBO720908 RLK720908 RVG720908 SFC720908 SOY720908 SYU720908 TIQ720908 TSM720908 UCI720908 UME720908 UWA720908 VFW720908 VPS720908 VZO720908 WJK720908 WTG720908 XDC720908 GU786444 QQ786444 AAM786444 AKI786444 AUE786444 BEA786444 BNW786444 BXS786444 CHO786444 CRK786444 DBG786444 DLC786444 DUY786444 EEU786444 EOQ786444 EYM786444 FII786444 FSE786444 GCA786444 GLW786444 GVS786444 HFO786444 HPK786444 HZG786444 IJC786444 ISY786444 JCU786444 JMQ786444 JWM786444 KGI786444 KQE786444 LAA786444 LJW786444 LTS786444 MDO786444 MNK786444 MXG786444 NHC786444 NQY786444 OAU786444 OKQ786444 OUM786444 PEI786444 POE786444 PYA786444 QHW786444 QRS786444 RBO786444 RLK786444 RVG786444 SFC786444 SOY786444 SYU786444 TIQ786444 TSM786444 UCI786444 UME786444 UWA786444 VFW786444 VPS786444 VZO786444 WJK786444 WTG786444 XDC786444 GU851980 QQ851980 AAM851980 AKI851980 AUE851980 BEA851980 BNW851980 BXS851980 CHO851980 CRK851980 DBG851980 DLC851980 DUY851980 EEU851980 EOQ851980 EYM851980 FII851980 FSE851980 GCA851980 GLW851980 GVS851980 HFO851980 HPK851980 HZG851980 IJC851980 ISY851980 JCU851980 JMQ851980 JWM851980 KGI851980 KQE851980 LAA851980 LJW851980 LTS851980 MDO851980 MNK851980 MXG851980 NHC851980 NQY851980 OAU851980 OKQ851980 OUM851980 PEI851980 POE851980 PYA851980 QHW851980 QRS851980 RBO851980 RLK851980 RVG851980 SFC851980 SOY851980 SYU851980 TIQ851980 TSM851980 UCI851980 UME851980 UWA851980 VFW851980 VPS851980 VZO851980 WJK851980 WTG851980 XDC851980 GU917516 QQ917516 AAM917516 AKI917516 AUE917516 BEA917516 BNW917516 BXS917516 CHO917516 CRK917516 DBG917516 DLC917516 DUY917516 EEU917516 EOQ917516 EYM917516 FII917516 FSE917516 GCA917516 GLW917516 GVS917516 HFO917516 HPK917516 HZG917516 IJC917516 ISY917516 JCU917516 JMQ917516 JWM917516 KGI917516 KQE917516 LAA917516 LJW917516 LTS917516 MDO917516 MNK917516 MXG917516 NHC917516 NQY917516 OAU917516 OKQ917516 OUM917516 PEI917516 POE917516 PYA917516 QHW917516 QRS917516 RBO917516 RLK917516 RVG917516 SFC917516 SOY917516 SYU917516 TIQ917516 TSM917516 UCI917516 UME917516 UWA917516 VFW917516 VPS917516 VZO917516 WJK917516 WTG917516 XDC917516 GU983052 QQ983052 AAM983052 AKI983052 AUE983052 BEA983052 BNW983052 BXS983052 CHO983052 CRK983052 DBG983052 DLC983052 DUY983052 EEU983052 EOQ983052 EYM983052 FII983052 FSE983052 GCA983052 GLW983052 GVS983052 HFO983052 HPK983052 HZG983052 IJC983052 ISY983052 JCU983052 JMQ983052 JWM983052 KGI983052 KQE983052 LAA983052 LJW983052 LTS983052 MDO983052 MNK983052 MXG983052 NHC983052 NQY983052 OAU983052 OKQ983052 OUM983052 PEI983052 POE983052 PYA983052 QHW983052 QRS983052 RBO983052 RLK983052 RVG983052 SFC983052 SOY983052 SYU983052 TIQ983052 TSM983052 UCI983052 UME983052 UWA983052 VFW983052 VPS983052 VZO983052 WJK983052 WTG983052 XDC983052 C57979 IY57979 SU57979 ACQ57979 AMM57979 AWI57979 BGE57979 BQA57979 BZW57979 CJS57979 CTO57979 DDK57979 DNG57979 DXC57979 EGY57979 EQU57979 FAQ57979 FKM57979 FUI57979 GEE57979 GOA57979 GXW57979 HHS57979 HRO57979 IBK57979 ILG57979 IVC57979 JEY57979 JOU57979 JYQ57979 KIM57979 KSI57979 LCE57979 LMA57979 LVW57979 MFS57979 MPO57979 MZK57979 NJG57979 NTC57979 OCY57979 OMU57979 OWQ57979 PGM57979 PQI57979 QAE57979 QKA57979 QTW57979 RDS57979 RNO57979 RXK57979 SHG57979 SRC57979 TAY57979 TKU57979 TUQ57979 UEM57979 UOI57979 UYE57979 VIA57979 VRW57979 WBS57979 WLO57979 WVK57979 C123515 IY123515 SU123515 ACQ123515 AMM123515 AWI123515 BGE123515 BQA123515 BZW123515 CJS123515 CTO123515 DDK123515 DNG123515 DXC123515 EGY123515 EQU123515 FAQ123515 FKM123515 FUI123515 GEE123515 GOA123515 GXW123515 HHS123515 HRO123515 IBK123515 ILG123515 IVC123515 JEY123515 JOU123515 JYQ123515 KIM123515 KSI123515 LCE123515 LMA123515 LVW123515 MFS123515 MPO123515 MZK123515 NJG123515 NTC123515 OCY123515 OMU123515 OWQ123515 PGM123515 PQI123515 QAE123515 QKA123515 QTW123515 RDS123515 RNO123515 RXK123515 SHG123515 SRC123515 TAY123515 TKU123515 TUQ123515 UEM123515 UOI123515 UYE123515 VIA123515 VRW123515 WBS123515 WLO123515 WVK123515 C189051 IY189051 SU189051 ACQ189051 AMM189051 AWI189051 BGE189051 BQA189051 BZW189051 CJS189051 CTO189051 DDK189051 DNG189051 DXC189051 EGY189051 EQU189051 FAQ189051 FKM189051 FUI189051 GEE189051 GOA189051 GXW189051 HHS189051 HRO189051 IBK189051 ILG189051 IVC189051 JEY189051 JOU189051 JYQ189051 KIM189051 KSI189051 LCE189051 LMA189051 LVW189051 MFS189051 MPO189051 MZK189051 NJG189051 NTC189051 OCY189051 OMU189051 OWQ189051 PGM189051 PQI189051 QAE189051 QKA189051 QTW189051 RDS189051 RNO189051 RXK189051 SHG189051 SRC189051 TAY189051 TKU189051 TUQ189051 UEM189051 UOI189051 UYE189051 VIA189051 VRW189051 WBS189051 WLO189051 WVK189051 C254587 IY254587 SU254587 ACQ254587 AMM254587 AWI254587 BGE254587 BQA254587 BZW254587 CJS254587 CTO254587 DDK254587 DNG254587 DXC254587 EGY254587 EQU254587 FAQ254587 FKM254587 FUI254587 GEE254587 GOA254587 GXW254587 HHS254587 HRO254587 IBK254587 ILG254587 IVC254587 JEY254587 JOU254587 JYQ254587 KIM254587 KSI254587 LCE254587 LMA254587 LVW254587 MFS254587 MPO254587 MZK254587 NJG254587 NTC254587 OCY254587 OMU254587 OWQ254587 PGM254587 PQI254587 QAE254587 QKA254587 QTW254587 RDS254587 RNO254587 RXK254587 SHG254587 SRC254587 TAY254587 TKU254587 TUQ254587 UEM254587 UOI254587 UYE254587 VIA254587 VRW254587 WBS254587 WLO254587 WVK254587 C320123 IY320123 SU320123 ACQ320123 AMM320123 AWI320123 BGE320123 BQA320123 BZW320123 CJS320123 CTO320123 DDK320123 DNG320123 DXC320123 EGY320123 EQU320123 FAQ320123 FKM320123 FUI320123 GEE320123 GOA320123 GXW320123 HHS320123 HRO320123 IBK320123 ILG320123 IVC320123 JEY320123 JOU320123 JYQ320123 KIM320123 KSI320123 LCE320123 LMA320123 LVW320123 MFS320123 MPO320123 MZK320123 NJG320123 NTC320123 OCY320123 OMU320123 OWQ320123 PGM320123 PQI320123 QAE320123 QKA320123 QTW320123 RDS320123 RNO320123 RXK320123 SHG320123 SRC320123 TAY320123 TKU320123 TUQ320123 UEM320123 UOI320123 UYE320123 VIA320123 VRW320123 WBS320123 WLO320123 WVK320123 C385659 IY385659 SU385659 ACQ385659 AMM385659 AWI385659 BGE385659 BQA385659 BZW385659 CJS385659 CTO385659 DDK385659 DNG385659 DXC385659 EGY385659 EQU385659 FAQ385659 FKM385659 FUI385659 GEE385659 GOA385659 GXW385659 HHS385659 HRO385659 IBK385659 ILG385659 IVC385659 JEY385659 JOU385659 JYQ385659 KIM385659 KSI385659 LCE385659 LMA385659 LVW385659 MFS385659 MPO385659 MZK385659 NJG385659 NTC385659 OCY385659 OMU385659 OWQ385659 PGM385659 PQI385659 QAE385659 QKA385659 QTW385659 RDS385659 RNO385659 RXK385659 SHG385659 SRC385659 TAY385659 TKU385659 TUQ385659 UEM385659 UOI385659 UYE385659 VIA385659 VRW385659 WBS385659 WLO385659 WVK385659 C451195 IY451195 SU451195 ACQ451195 AMM451195 AWI451195 BGE451195 BQA451195 BZW451195 CJS451195 CTO451195 DDK451195 DNG451195 DXC451195 EGY451195 EQU451195 FAQ451195 FKM451195 FUI451195 GEE451195 GOA451195 GXW451195 HHS451195 HRO451195 IBK451195 ILG451195 IVC451195 JEY451195 JOU451195 JYQ451195 KIM451195 KSI451195 LCE451195 LMA451195 LVW451195 MFS451195 MPO451195 MZK451195 NJG451195 NTC451195 OCY451195 OMU451195 OWQ451195 PGM451195 PQI451195 QAE451195 QKA451195 QTW451195 RDS451195 RNO451195 RXK451195 SHG451195 SRC451195 TAY451195 TKU451195 TUQ451195 UEM451195 UOI451195 UYE451195 VIA451195 VRW451195 WBS451195 WLO451195 WVK451195 C516731 IY516731 SU516731 ACQ516731 AMM516731 AWI516731 BGE516731 BQA516731 BZW516731 CJS516731 CTO516731 DDK516731 DNG516731 DXC516731 EGY516731 EQU516731 FAQ516731 FKM516731 FUI516731 GEE516731 GOA516731 GXW516731 HHS516731 HRO516731 IBK516731 ILG516731 IVC516731 JEY516731 JOU516731 JYQ516731 KIM516731 KSI516731 LCE516731 LMA516731 LVW516731 MFS516731 MPO516731 MZK516731 NJG516731 NTC516731 OCY516731 OMU516731 OWQ516731 PGM516731 PQI516731 QAE516731 QKA516731 QTW516731 RDS516731 RNO516731 RXK516731 SHG516731 SRC516731 TAY516731 TKU516731 TUQ516731 UEM516731 UOI516731 UYE516731 VIA516731 VRW516731 WBS516731 WLO516731 WVK516731 C582267 IY582267 SU582267 ACQ582267 AMM582267 AWI582267 BGE582267 BQA582267 BZW582267 CJS582267 CTO582267 DDK582267 DNG582267 DXC582267 EGY582267 EQU582267 FAQ582267 FKM582267 FUI582267 GEE582267 GOA582267 GXW582267 HHS582267 HRO582267 IBK582267 ILG582267 IVC582267 JEY582267 JOU582267 JYQ582267 KIM582267 KSI582267 LCE582267 LMA582267 LVW582267 MFS582267 MPO582267 MZK582267 NJG582267 NTC582267 OCY582267 OMU582267 OWQ582267 PGM582267 PQI582267 QAE582267 QKA582267 QTW582267 RDS582267 RNO582267 RXK582267 SHG582267 SRC582267 TAY582267 TKU582267 TUQ582267 UEM582267 UOI582267 UYE582267 VIA582267 VRW582267 WBS582267 WLO582267 WVK582267 C647803 IY647803 SU647803 ACQ647803 AMM647803 AWI647803 BGE647803 BQA647803 BZW647803 CJS647803 CTO647803 DDK647803 DNG647803 DXC647803 EGY647803 EQU647803 FAQ647803 FKM647803 FUI647803 GEE647803 GOA647803 GXW647803 HHS647803 HRO647803 IBK647803 ILG647803 IVC647803 JEY647803 JOU647803 JYQ647803 KIM647803 KSI647803 LCE647803 LMA647803 LVW647803 MFS647803 MPO647803 MZK647803 NJG647803 NTC647803 OCY647803 OMU647803 OWQ647803 PGM647803 PQI647803 QAE647803 QKA647803 QTW647803 RDS647803 RNO647803 RXK647803 SHG647803 SRC647803 TAY647803 TKU647803 TUQ647803 UEM647803 UOI647803 UYE647803 VIA647803 VRW647803 WBS647803 WLO647803 WVK647803 C713339 IY713339 SU713339 ACQ713339 AMM713339 AWI713339 BGE713339 BQA713339 BZW713339 CJS713339 CTO713339 DDK713339 DNG713339 DXC713339 EGY713339 EQU713339 FAQ713339 FKM713339 FUI713339 GEE713339 GOA713339 GXW713339 HHS713339 HRO713339 IBK713339 ILG713339 IVC713339 JEY713339 JOU713339 JYQ713339 KIM713339 KSI713339 LCE713339 LMA713339 LVW713339 MFS713339 MPO713339 MZK713339 NJG713339 NTC713339 OCY713339 OMU713339 OWQ713339 PGM713339 PQI713339 QAE713339 QKA713339 QTW713339 RDS713339 RNO713339 RXK713339 SHG713339 SRC713339 TAY713339 TKU713339 TUQ713339 UEM713339 UOI713339 UYE713339 VIA713339 VRW713339 WBS713339 WLO713339 WVK713339 C778875 IY778875 SU778875 ACQ778875 AMM778875 AWI778875 BGE778875 BQA778875 BZW778875 CJS778875 CTO778875 DDK778875 DNG778875 DXC778875 EGY778875 EQU778875 FAQ778875 FKM778875 FUI778875 GEE778875 GOA778875 GXW778875 HHS778875 HRO778875 IBK778875 ILG778875 IVC778875 JEY778875 JOU778875 JYQ778875 KIM778875 KSI778875 LCE778875 LMA778875 LVW778875 MFS778875 MPO778875 MZK778875 NJG778875 NTC778875 OCY778875 OMU778875 OWQ778875 PGM778875 PQI778875 QAE778875 QKA778875 QTW778875 RDS778875 RNO778875 RXK778875 SHG778875 SRC778875 TAY778875 TKU778875 TUQ778875 UEM778875 UOI778875 UYE778875 VIA778875 VRW778875 WBS778875 WLO778875 WVK778875 C844411 IY844411 SU844411 ACQ844411 AMM844411 AWI844411 BGE844411 BQA844411 BZW844411 CJS844411 CTO844411 DDK844411 DNG844411 DXC844411 EGY844411 EQU844411 FAQ844411 FKM844411 FUI844411 GEE844411 GOA844411 GXW844411 HHS844411 HRO844411 IBK844411 ILG844411 IVC844411 JEY844411 JOU844411 JYQ844411 KIM844411 KSI844411 LCE844411 LMA844411 LVW844411 MFS844411 MPO844411 MZK844411 NJG844411 NTC844411 OCY844411 OMU844411 OWQ844411 PGM844411 PQI844411 QAE844411 QKA844411 QTW844411 RDS844411 RNO844411 RXK844411 SHG844411 SRC844411 TAY844411 TKU844411 TUQ844411 UEM844411 UOI844411 UYE844411 VIA844411 VRW844411 WBS844411 WLO844411 WVK844411 C909947 IY909947 SU909947 ACQ909947 AMM909947 AWI909947 BGE909947 BQA909947 BZW909947 CJS909947 CTO909947 DDK909947 DNG909947 DXC909947 EGY909947 EQU909947 FAQ909947 FKM909947 FUI909947 GEE909947 GOA909947 GXW909947 HHS909947 HRO909947 IBK909947 ILG909947 IVC909947 JEY909947 JOU909947 JYQ909947 KIM909947 KSI909947 LCE909947 LMA909947 LVW909947 MFS909947 MPO909947 MZK909947 NJG909947 NTC909947 OCY909947 OMU909947 OWQ909947 PGM909947 PQI909947 QAE909947 QKA909947 QTW909947 RDS909947 RNO909947 RXK909947 SHG909947 SRC909947 TAY909947 TKU909947 TUQ909947 UEM909947 UOI909947 UYE909947 VIA909947 VRW909947 WBS909947 WLO909947 WVK909947 C975483 IY975483 SU975483 ACQ975483 AMM975483 AWI975483 BGE975483 BQA975483 BZW975483 CJS975483 CTO975483 DDK975483 DNG975483 DXC975483 EGY975483 EQU975483 FAQ975483 FKM975483 FUI975483 GEE975483 GOA975483 GXW975483 HHS975483 HRO975483 IBK975483 ILG975483 IVC975483 JEY975483 JOU975483 JYQ975483 KIM975483 KSI975483 LCE975483 LMA975483 LVW975483 MFS975483 MPO975483 MZK975483 NJG975483 NTC975483 OCY975483 OMU975483 OWQ975483 PGM975483 PQI975483 QAE975483 QKA975483 QTW975483 RDS975483 RNO975483 RXK975483 SHG975483 SRC975483 TAY975483 TKU975483 TUQ975483 UEM975483 UOI975483 UYE975483 VIA975483 VRW975483 WBS975483 WLO975483 WVK975483 C1041019 IY1041019 SU1041019 ACQ1041019 AMM1041019 AWI1041019 BGE1041019 BQA1041019 BZW1041019 CJS1041019 CTO1041019 DDK1041019 DNG1041019 DXC1041019 EGY1041019 EQU1041019 FAQ1041019 FKM1041019 FUI1041019 GEE1041019 GOA1041019 GXW1041019 HHS1041019 HRO1041019 IBK1041019 ILG1041019 IVC1041019 JEY1041019 JOU1041019 JYQ1041019 KIM1041019 KSI1041019 LCE1041019 LMA1041019 LVW1041019 MFS1041019 MPO1041019 MZK1041019 NJG1041019 NTC1041019 OCY1041019 OMU1041019 OWQ1041019 PGM1041019 PQI1041019 QAE1041019 QKA1041019 QTW1041019 RDS1041019 RNO1041019 RXK1041019 SHG1041019 SRC1041019 TAY1041019 TKU1041019 TUQ1041019 UEM1041019 UOI1041019 UYE1041019 VIA1041019 VRW1041019 WBS1041019 WLO1041019 WVK1041019 GU57979 QQ57979 AAM57979 AKI57979 AUE57979 BEA57979 BNW57979 BXS57979 CHO57979 CRK57979 DBG57979 DLC57979 DUY57979 EEU57979 EOQ57979 EYM57979 FII57979 FSE57979 GCA57979 GLW57979 GVS57979 HFO57979 HPK57979 HZG57979 IJC57979 ISY57979 JCU57979 JMQ57979 JWM57979 KGI57979 KQE57979 LAA57979 LJW57979 LTS57979 MDO57979 MNK57979 MXG57979 NHC57979 NQY57979 OAU57979 OKQ57979 OUM57979 PEI57979 POE57979 PYA57979 QHW57979 QRS57979 RBO57979 RLK57979 RVG57979 SFC57979 SOY57979 SYU57979 TIQ57979 TSM57979 UCI57979 UME57979 UWA57979 VFW57979 VPS57979 VZO57979 WJK57979 WTG57979 XDC57979 GU123515 QQ123515 AAM123515 AKI123515 AUE123515 BEA123515 BNW123515 BXS123515 CHO123515 CRK123515 DBG123515 DLC123515 DUY123515 EEU123515 EOQ123515 EYM123515 FII123515 FSE123515 GCA123515 GLW123515 GVS123515 HFO123515 HPK123515 HZG123515 IJC123515 ISY123515 JCU123515 JMQ123515 JWM123515 KGI123515 KQE123515 LAA123515 LJW123515 LTS123515 MDO123515 MNK123515 MXG123515 NHC123515 NQY123515 OAU123515 OKQ123515 OUM123515 PEI123515 POE123515 PYA123515 QHW123515 QRS123515 RBO123515 RLK123515 RVG123515 SFC123515 SOY123515 SYU123515 TIQ123515 TSM123515 UCI123515 UME123515 UWA123515 VFW123515 VPS123515 VZO123515 WJK123515 WTG123515 XDC123515 GU189051 QQ189051 AAM189051 AKI189051 AUE189051 BEA189051 BNW189051 BXS189051 CHO189051 CRK189051 DBG189051 DLC189051 DUY189051 EEU189051 EOQ189051 EYM189051 FII189051 FSE189051 GCA189051 GLW189051 GVS189051 HFO189051 HPK189051 HZG189051 IJC189051 ISY189051 JCU189051 JMQ189051 JWM189051 KGI189051 KQE189051 LAA189051 LJW189051 LTS189051 MDO189051 MNK189051 MXG189051 NHC189051 NQY189051 OAU189051 OKQ189051 OUM189051 PEI189051 POE189051 PYA189051 QHW189051 QRS189051 RBO189051 RLK189051 RVG189051 SFC189051 SOY189051 SYU189051 TIQ189051 TSM189051 UCI189051 UME189051 UWA189051 VFW189051 VPS189051 VZO189051 WJK189051 WTG189051 XDC189051 GU254587 QQ254587 AAM254587 AKI254587 AUE254587 BEA254587 BNW254587 BXS254587 CHO254587 CRK254587 DBG254587 DLC254587 DUY254587 EEU254587 EOQ254587 EYM254587 FII254587 FSE254587 GCA254587 GLW254587 GVS254587 HFO254587 HPK254587 HZG254587 IJC254587 ISY254587 JCU254587 JMQ254587 JWM254587 KGI254587 KQE254587 LAA254587 LJW254587 LTS254587 MDO254587 MNK254587 MXG254587 NHC254587 NQY254587 OAU254587 OKQ254587 OUM254587 PEI254587 POE254587 PYA254587 QHW254587 QRS254587 RBO254587 RLK254587 RVG254587 SFC254587 SOY254587 SYU254587 TIQ254587 TSM254587 UCI254587 UME254587 UWA254587 VFW254587 VPS254587 VZO254587 WJK254587 WTG254587 XDC254587 GU320123 QQ320123 AAM320123 AKI320123 AUE320123 BEA320123 BNW320123 BXS320123 CHO320123 CRK320123 DBG320123 DLC320123 DUY320123 EEU320123 EOQ320123 EYM320123 FII320123 FSE320123 GCA320123 GLW320123 GVS320123 HFO320123 HPK320123 HZG320123 IJC320123 ISY320123 JCU320123 JMQ320123 JWM320123 KGI320123 KQE320123 LAA320123 LJW320123 LTS320123 MDO320123 MNK320123 MXG320123 NHC320123 NQY320123 OAU320123 OKQ320123 OUM320123 PEI320123 POE320123 PYA320123 QHW320123 QRS320123 RBO320123 RLK320123 RVG320123 SFC320123 SOY320123 SYU320123 TIQ320123 TSM320123 UCI320123 UME320123 UWA320123 VFW320123 VPS320123 VZO320123 WJK320123 WTG320123 XDC320123 GU385659 QQ385659 AAM385659 AKI385659 AUE385659 BEA385659 BNW385659 BXS385659 CHO385659 CRK385659 DBG385659 DLC385659 DUY385659 EEU385659 EOQ385659 EYM385659 FII385659 FSE385659 GCA385659 GLW385659 GVS385659 HFO385659 HPK385659 HZG385659 IJC385659 ISY385659 JCU385659 JMQ385659 JWM385659 KGI385659 KQE385659 LAA385659 LJW385659 LTS385659 MDO385659 MNK385659 MXG385659 NHC385659 NQY385659 OAU385659 OKQ385659 OUM385659 PEI385659 POE385659 PYA385659 QHW385659 QRS385659 RBO385659 RLK385659 RVG385659 SFC385659 SOY385659 SYU385659 TIQ385659 TSM385659 UCI385659 UME385659 UWA385659 VFW385659 VPS385659 VZO385659 WJK385659 WTG385659 XDC385659 GU451195 QQ451195 AAM451195 AKI451195 AUE451195 BEA451195 BNW451195 BXS451195 CHO451195 CRK451195 DBG451195 DLC451195 DUY451195 EEU451195 EOQ451195 EYM451195 FII451195 FSE451195 GCA451195 GLW451195 GVS451195 HFO451195 HPK451195 HZG451195 IJC451195 ISY451195 JCU451195 JMQ451195 JWM451195 KGI451195 KQE451195 LAA451195 LJW451195 LTS451195 MDO451195 MNK451195 MXG451195 NHC451195 NQY451195 OAU451195 OKQ451195 OUM451195 PEI451195 POE451195 PYA451195 QHW451195 QRS451195 RBO451195 RLK451195 RVG451195 SFC451195 SOY451195 SYU451195 TIQ451195 TSM451195 UCI451195 UME451195 UWA451195 VFW451195 VPS451195 VZO451195 WJK451195 WTG451195 XDC451195 GU516731 QQ516731 AAM516731 AKI516731 AUE516731 BEA516731 BNW516731 BXS516731 CHO516731 CRK516731 DBG516731 DLC516731 DUY516731 EEU516731 EOQ516731 EYM516731 FII516731 FSE516731 GCA516731 GLW516731 GVS516731 HFO516731 HPK516731 HZG516731 IJC516731 ISY516731 JCU516731 JMQ516731 JWM516731 KGI516731 KQE516731 LAA516731 LJW516731 LTS516731 MDO516731 MNK516731 MXG516731 NHC516731 NQY516731 OAU516731 OKQ516731 OUM516731 PEI516731 POE516731 PYA516731 QHW516731 QRS516731 RBO516731 RLK516731 RVG516731 SFC516731 SOY516731 SYU516731 TIQ516731 TSM516731 UCI516731 UME516731 UWA516731 VFW516731 VPS516731 VZO516731 WJK516731 WTG516731 XDC516731 GU582267 QQ582267 AAM582267 AKI582267 AUE582267 BEA582267 BNW582267 BXS582267 CHO582267 CRK582267 DBG582267 DLC582267 DUY582267 EEU582267 EOQ582267 EYM582267 FII582267 FSE582267 GCA582267 GLW582267 GVS582267 HFO582267 HPK582267 HZG582267 IJC582267 ISY582267 JCU582267 JMQ582267 JWM582267 KGI582267 KQE582267 LAA582267 LJW582267 LTS582267 MDO582267 MNK582267 MXG582267 NHC582267 NQY582267 OAU582267 OKQ582267 OUM582267 PEI582267 POE582267 PYA582267 QHW582267 QRS582267 RBO582267 RLK582267 RVG582267 SFC582267 SOY582267 SYU582267 TIQ582267 TSM582267 UCI582267 UME582267 UWA582267 VFW582267 VPS582267 VZO582267 WJK582267 WTG582267 XDC582267 GU647803 QQ647803 AAM647803 AKI647803 AUE647803 BEA647803 BNW647803 BXS647803 CHO647803 CRK647803 DBG647803 DLC647803 DUY647803 EEU647803 EOQ647803 EYM647803 FII647803 FSE647803 GCA647803 GLW647803 GVS647803 HFO647803 HPK647803 HZG647803 IJC647803 ISY647803 JCU647803 JMQ647803 JWM647803 KGI647803 KQE647803 LAA647803 LJW647803 LTS647803 MDO647803 MNK647803 MXG647803 NHC647803 NQY647803 OAU647803 OKQ647803 OUM647803 PEI647803 POE647803 PYA647803 QHW647803 QRS647803 RBO647803 RLK647803 RVG647803 SFC647803 SOY647803 SYU647803 TIQ647803 TSM647803 UCI647803 UME647803 UWA647803 VFW647803 VPS647803 VZO647803 WJK647803 WTG647803 XDC647803 GU713339 QQ713339 AAM713339 AKI713339 AUE713339 BEA713339 BNW713339 BXS713339 CHO713339 CRK713339 DBG713339 DLC713339 DUY713339 EEU713339 EOQ713339 EYM713339 FII713339 FSE713339 GCA713339 GLW713339 GVS713339 HFO713339 HPK713339 HZG713339 IJC713339 ISY713339 JCU713339 JMQ713339 JWM713339 KGI713339 KQE713339 LAA713339 LJW713339 LTS713339 MDO713339 MNK713339 MXG713339 NHC713339 NQY713339 OAU713339 OKQ713339 OUM713339 PEI713339 POE713339 PYA713339 QHW713339 QRS713339 RBO713339 RLK713339 RVG713339 SFC713339 SOY713339 SYU713339 TIQ713339 TSM713339 UCI713339 UME713339 UWA713339 VFW713339 VPS713339 VZO713339 WJK713339 WTG713339 XDC713339 GU778875 QQ778875 AAM778875 AKI778875 AUE778875 BEA778875 BNW778875 BXS778875 CHO778875 CRK778875 DBG778875 DLC778875 DUY778875 EEU778875 EOQ778875 EYM778875 FII778875 FSE778875 GCA778875 GLW778875 GVS778875 HFO778875 HPK778875 HZG778875 IJC778875 ISY778875 JCU778875 JMQ778875 JWM778875 KGI778875 KQE778875 LAA778875 LJW778875 LTS778875 MDO778875 MNK778875 MXG778875 NHC778875 NQY778875 OAU778875 OKQ778875 OUM778875 PEI778875 POE778875 PYA778875 QHW778875 QRS778875 RBO778875 RLK778875 RVG778875 SFC778875 SOY778875 SYU778875 TIQ778875 TSM778875 UCI778875 UME778875 UWA778875 VFW778875 VPS778875 VZO778875 WJK778875 WTG778875 XDC778875 GU844411 QQ844411 AAM844411 AKI844411 AUE844411 BEA844411 BNW844411 BXS844411 CHO844411 CRK844411 DBG844411 DLC844411 DUY844411 EEU844411 EOQ844411 EYM844411 FII844411 FSE844411 GCA844411 GLW844411 GVS844411 HFO844411 HPK844411 HZG844411 IJC844411 ISY844411 JCU844411 JMQ844411 JWM844411 KGI844411 KQE844411 LAA844411 LJW844411 LTS844411 MDO844411 MNK844411 MXG844411 NHC844411 NQY844411 OAU844411 OKQ844411 OUM844411 PEI844411 POE844411 PYA844411 QHW844411 QRS844411 RBO844411 RLK844411 RVG844411 SFC844411 SOY844411 SYU844411 TIQ844411 TSM844411 UCI844411 UME844411 UWA844411 VFW844411 VPS844411 VZO844411 WJK844411 WTG844411 XDC844411 GU909947 QQ909947 AAM909947 AKI909947 AUE909947 BEA909947 BNW909947 BXS909947 CHO909947 CRK909947 DBG909947 DLC909947 DUY909947 EEU909947 EOQ909947 EYM909947 FII909947 FSE909947 GCA909947 GLW909947 GVS909947 HFO909947 HPK909947 HZG909947 IJC909947 ISY909947 JCU909947 JMQ909947 JWM909947 KGI909947 KQE909947 LAA909947 LJW909947 LTS909947 MDO909947 MNK909947 MXG909947 NHC909947 NQY909947 OAU909947 OKQ909947 OUM909947 PEI909947 POE909947 PYA909947 QHW909947 QRS909947 RBO909947 RLK909947 RVG909947 SFC909947 SOY909947 SYU909947 TIQ909947 TSM909947 UCI909947 UME909947 UWA909947 VFW909947 VPS909947 VZO909947 WJK909947 WTG909947 XDC909947 GU975483 QQ975483 AAM975483 AKI975483 AUE975483 BEA975483 BNW975483 BXS975483 CHO975483 CRK975483 DBG975483 DLC975483 DUY975483 EEU975483 EOQ975483 EYM975483 FII975483 FSE975483 GCA975483 GLW975483 GVS975483 HFO975483 HPK975483 HZG975483 IJC975483 ISY975483 JCU975483 JMQ975483 JWM975483 KGI975483 KQE975483 LAA975483 LJW975483 LTS975483 MDO975483 MNK975483 MXG975483 NHC975483 NQY975483 OAU975483 OKQ975483 OUM975483 PEI975483 POE975483 PYA975483 QHW975483 QRS975483 RBO975483 RLK975483 RVG975483 SFC975483 SOY975483 SYU975483 TIQ975483 TSM975483 UCI975483 UME975483 UWA975483 VFW975483 VPS975483 VZO975483 WJK975483 WTG975483 XDC975483 GU1041019 QQ1041019 AAM1041019 AKI1041019 AUE1041019 BEA1041019 BNW1041019 BXS1041019 CHO1041019 CRK1041019 DBG1041019 DLC1041019 DUY1041019 EEU1041019 EOQ1041019 EYM1041019 FII1041019 FSE1041019 GCA1041019 GLW1041019 GVS1041019 HFO1041019 HPK1041019 HZG1041019 IJC1041019 ISY1041019 JCU1041019 JMQ1041019 JWM1041019 KGI1041019 KQE1041019 LAA1041019 LJW1041019 LTS1041019 MDO1041019 MNK1041019 MXG1041019 NHC1041019 NQY1041019 OAU1041019 OKQ1041019 OUM1041019 PEI1041019 POE1041019 PYA1041019 QHW1041019 QRS1041019 RBO1041019 RLK1041019 RVG1041019 SFC1041019 SOY1041019 SYU1041019 TIQ1041019 TSM1041019 UCI1041019 UME1041019 UWA1041019 VFW1041019 VPS1041019 VZO1041019 WJK1041019 WTG1041019 XDC1041019" xr:uid="{3C8F42B4-3AA5-4EB4-BF81-C5A5874C8A89}">
      <formula1>"Model Data"</formula1>
    </dataValidation>
    <dataValidation type="list" showInputMessage="1" sqref="N1:O1 JJ1:JK1 TF1:TG1 ADB1:ADC1 AMX1:AMY1 AWT1:AWU1 BGP1:BGQ1 BQL1:BQM1 CAH1:CAI1 CKD1:CKE1 CTZ1:CUA1 DDV1:DDW1 DNR1:DNS1 DXN1:DXO1 EHJ1:EHK1 ERF1:ERG1 FBB1:FBC1 FKX1:FKY1 FUT1:FUU1 GEP1:GEQ1 GOL1:GOM1 GYH1:GYI1 HID1:HIE1 HRZ1:HSA1 IBV1:IBW1 ILR1:ILS1 IVN1:IVO1 JFJ1:JFK1 JPF1:JPG1 JZB1:JZC1 KIX1:KIY1 KST1:KSU1 LCP1:LCQ1 LML1:LMM1 LWH1:LWI1 MGD1:MGE1 MPZ1:MQA1 MZV1:MZW1 NJR1:NJS1 NTN1:NTO1 ODJ1:ODK1 ONF1:ONG1 OXB1:OXC1 PGX1:PGY1 PQT1:PQU1 QAP1:QAQ1 QKL1:QKM1 QUH1:QUI1 RED1:REE1 RNZ1:ROA1 RXV1:RXW1 SHR1:SHS1 SRN1:SRO1 TBJ1:TBK1 TLF1:TLG1 TVB1:TVC1 UEX1:UEY1 UOT1:UOU1 UYP1:UYQ1 VIL1:VIM1 VSH1:VSI1 WCD1:WCE1 WLZ1:WMA1 WVV1:WVW1 N65537:O65537 JJ65537:JK65537 TF65537:TG65537 ADB65537:ADC65537 AMX65537:AMY65537 AWT65537:AWU65537 BGP65537:BGQ65537 BQL65537:BQM65537 CAH65537:CAI65537 CKD65537:CKE65537 CTZ65537:CUA65537 DDV65537:DDW65537 DNR65537:DNS65537 DXN65537:DXO65537 EHJ65537:EHK65537 ERF65537:ERG65537 FBB65537:FBC65537 FKX65537:FKY65537 FUT65537:FUU65537 GEP65537:GEQ65537 GOL65537:GOM65537 GYH65537:GYI65537 HID65537:HIE65537 HRZ65537:HSA65537 IBV65537:IBW65537 ILR65537:ILS65537 IVN65537:IVO65537 JFJ65537:JFK65537 JPF65537:JPG65537 JZB65537:JZC65537 KIX65537:KIY65537 KST65537:KSU65537 LCP65537:LCQ65537 LML65537:LMM65537 LWH65537:LWI65537 MGD65537:MGE65537 MPZ65537:MQA65537 MZV65537:MZW65537 NJR65537:NJS65537 NTN65537:NTO65537 ODJ65537:ODK65537 ONF65537:ONG65537 OXB65537:OXC65537 PGX65537:PGY65537 PQT65537:PQU65537 QAP65537:QAQ65537 QKL65537:QKM65537 QUH65537:QUI65537 RED65537:REE65537 RNZ65537:ROA65537 RXV65537:RXW65537 SHR65537:SHS65537 SRN65537:SRO65537 TBJ65537:TBK65537 TLF65537:TLG65537 TVB65537:TVC65537 UEX65537:UEY65537 UOT65537:UOU65537 UYP65537:UYQ65537 VIL65537:VIM65537 VSH65537:VSI65537 WCD65537:WCE65537 WLZ65537:WMA65537 WVV65537:WVW65537 N131073:O131073 JJ131073:JK131073 TF131073:TG131073 ADB131073:ADC131073 AMX131073:AMY131073 AWT131073:AWU131073 BGP131073:BGQ131073 BQL131073:BQM131073 CAH131073:CAI131073 CKD131073:CKE131073 CTZ131073:CUA131073 DDV131073:DDW131073 DNR131073:DNS131073 DXN131073:DXO131073 EHJ131073:EHK131073 ERF131073:ERG131073 FBB131073:FBC131073 FKX131073:FKY131073 FUT131073:FUU131073 GEP131073:GEQ131073 GOL131073:GOM131073 GYH131073:GYI131073 HID131073:HIE131073 HRZ131073:HSA131073 IBV131073:IBW131073 ILR131073:ILS131073 IVN131073:IVO131073 JFJ131073:JFK131073 JPF131073:JPG131073 JZB131073:JZC131073 KIX131073:KIY131073 KST131073:KSU131073 LCP131073:LCQ131073 LML131073:LMM131073 LWH131073:LWI131073 MGD131073:MGE131073 MPZ131073:MQA131073 MZV131073:MZW131073 NJR131073:NJS131073 NTN131073:NTO131073 ODJ131073:ODK131073 ONF131073:ONG131073 OXB131073:OXC131073 PGX131073:PGY131073 PQT131073:PQU131073 QAP131073:QAQ131073 QKL131073:QKM131073 QUH131073:QUI131073 RED131073:REE131073 RNZ131073:ROA131073 RXV131073:RXW131073 SHR131073:SHS131073 SRN131073:SRO131073 TBJ131073:TBK131073 TLF131073:TLG131073 TVB131073:TVC131073 UEX131073:UEY131073 UOT131073:UOU131073 UYP131073:UYQ131073 VIL131073:VIM131073 VSH131073:VSI131073 WCD131073:WCE131073 WLZ131073:WMA131073 WVV131073:WVW131073 N196609:O196609 JJ196609:JK196609 TF196609:TG196609 ADB196609:ADC196609 AMX196609:AMY196609 AWT196609:AWU196609 BGP196609:BGQ196609 BQL196609:BQM196609 CAH196609:CAI196609 CKD196609:CKE196609 CTZ196609:CUA196609 DDV196609:DDW196609 DNR196609:DNS196609 DXN196609:DXO196609 EHJ196609:EHK196609 ERF196609:ERG196609 FBB196609:FBC196609 FKX196609:FKY196609 FUT196609:FUU196609 GEP196609:GEQ196609 GOL196609:GOM196609 GYH196609:GYI196609 HID196609:HIE196609 HRZ196609:HSA196609 IBV196609:IBW196609 ILR196609:ILS196609 IVN196609:IVO196609 JFJ196609:JFK196609 JPF196609:JPG196609 JZB196609:JZC196609 KIX196609:KIY196609 KST196609:KSU196609 LCP196609:LCQ196609 LML196609:LMM196609 LWH196609:LWI196609 MGD196609:MGE196609 MPZ196609:MQA196609 MZV196609:MZW196609 NJR196609:NJS196609 NTN196609:NTO196609 ODJ196609:ODK196609 ONF196609:ONG196609 OXB196609:OXC196609 PGX196609:PGY196609 PQT196609:PQU196609 QAP196609:QAQ196609 QKL196609:QKM196609 QUH196609:QUI196609 RED196609:REE196609 RNZ196609:ROA196609 RXV196609:RXW196609 SHR196609:SHS196609 SRN196609:SRO196609 TBJ196609:TBK196609 TLF196609:TLG196609 TVB196609:TVC196609 UEX196609:UEY196609 UOT196609:UOU196609 UYP196609:UYQ196609 VIL196609:VIM196609 VSH196609:VSI196609 WCD196609:WCE196609 WLZ196609:WMA196609 WVV196609:WVW196609 N262145:O262145 JJ262145:JK262145 TF262145:TG262145 ADB262145:ADC262145 AMX262145:AMY262145 AWT262145:AWU262145 BGP262145:BGQ262145 BQL262145:BQM262145 CAH262145:CAI262145 CKD262145:CKE262145 CTZ262145:CUA262145 DDV262145:DDW262145 DNR262145:DNS262145 DXN262145:DXO262145 EHJ262145:EHK262145 ERF262145:ERG262145 FBB262145:FBC262145 FKX262145:FKY262145 FUT262145:FUU262145 GEP262145:GEQ262145 GOL262145:GOM262145 GYH262145:GYI262145 HID262145:HIE262145 HRZ262145:HSA262145 IBV262145:IBW262145 ILR262145:ILS262145 IVN262145:IVO262145 JFJ262145:JFK262145 JPF262145:JPG262145 JZB262145:JZC262145 KIX262145:KIY262145 KST262145:KSU262145 LCP262145:LCQ262145 LML262145:LMM262145 LWH262145:LWI262145 MGD262145:MGE262145 MPZ262145:MQA262145 MZV262145:MZW262145 NJR262145:NJS262145 NTN262145:NTO262145 ODJ262145:ODK262145 ONF262145:ONG262145 OXB262145:OXC262145 PGX262145:PGY262145 PQT262145:PQU262145 QAP262145:QAQ262145 QKL262145:QKM262145 QUH262145:QUI262145 RED262145:REE262145 RNZ262145:ROA262145 RXV262145:RXW262145 SHR262145:SHS262145 SRN262145:SRO262145 TBJ262145:TBK262145 TLF262145:TLG262145 TVB262145:TVC262145 UEX262145:UEY262145 UOT262145:UOU262145 UYP262145:UYQ262145 VIL262145:VIM262145 VSH262145:VSI262145 WCD262145:WCE262145 WLZ262145:WMA262145 WVV262145:WVW262145 N327681:O327681 JJ327681:JK327681 TF327681:TG327681 ADB327681:ADC327681 AMX327681:AMY327681 AWT327681:AWU327681 BGP327681:BGQ327681 BQL327681:BQM327681 CAH327681:CAI327681 CKD327681:CKE327681 CTZ327681:CUA327681 DDV327681:DDW327681 DNR327681:DNS327681 DXN327681:DXO327681 EHJ327681:EHK327681 ERF327681:ERG327681 FBB327681:FBC327681 FKX327681:FKY327681 FUT327681:FUU327681 GEP327681:GEQ327681 GOL327681:GOM327681 GYH327681:GYI327681 HID327681:HIE327681 HRZ327681:HSA327681 IBV327681:IBW327681 ILR327681:ILS327681 IVN327681:IVO327681 JFJ327681:JFK327681 JPF327681:JPG327681 JZB327681:JZC327681 KIX327681:KIY327681 KST327681:KSU327681 LCP327681:LCQ327681 LML327681:LMM327681 LWH327681:LWI327681 MGD327681:MGE327681 MPZ327681:MQA327681 MZV327681:MZW327681 NJR327681:NJS327681 NTN327681:NTO327681 ODJ327681:ODK327681 ONF327681:ONG327681 OXB327681:OXC327681 PGX327681:PGY327681 PQT327681:PQU327681 QAP327681:QAQ327681 QKL327681:QKM327681 QUH327681:QUI327681 RED327681:REE327681 RNZ327681:ROA327681 RXV327681:RXW327681 SHR327681:SHS327681 SRN327681:SRO327681 TBJ327681:TBK327681 TLF327681:TLG327681 TVB327681:TVC327681 UEX327681:UEY327681 UOT327681:UOU327681 UYP327681:UYQ327681 VIL327681:VIM327681 VSH327681:VSI327681 WCD327681:WCE327681 WLZ327681:WMA327681 WVV327681:WVW327681 N393217:O393217 JJ393217:JK393217 TF393217:TG393217 ADB393217:ADC393217 AMX393217:AMY393217 AWT393217:AWU393217 BGP393217:BGQ393217 BQL393217:BQM393217 CAH393217:CAI393217 CKD393217:CKE393217 CTZ393217:CUA393217 DDV393217:DDW393217 DNR393217:DNS393217 DXN393217:DXO393217 EHJ393217:EHK393217 ERF393217:ERG393217 FBB393217:FBC393217 FKX393217:FKY393217 FUT393217:FUU393217 GEP393217:GEQ393217 GOL393217:GOM393217 GYH393217:GYI393217 HID393217:HIE393217 HRZ393217:HSA393217 IBV393217:IBW393217 ILR393217:ILS393217 IVN393217:IVO393217 JFJ393217:JFK393217 JPF393217:JPG393217 JZB393217:JZC393217 KIX393217:KIY393217 KST393217:KSU393217 LCP393217:LCQ393217 LML393217:LMM393217 LWH393217:LWI393217 MGD393217:MGE393217 MPZ393217:MQA393217 MZV393217:MZW393217 NJR393217:NJS393217 NTN393217:NTO393217 ODJ393217:ODK393217 ONF393217:ONG393217 OXB393217:OXC393217 PGX393217:PGY393217 PQT393217:PQU393217 QAP393217:QAQ393217 QKL393217:QKM393217 QUH393217:QUI393217 RED393217:REE393217 RNZ393217:ROA393217 RXV393217:RXW393217 SHR393217:SHS393217 SRN393217:SRO393217 TBJ393217:TBK393217 TLF393217:TLG393217 TVB393217:TVC393217 UEX393217:UEY393217 UOT393217:UOU393217 UYP393217:UYQ393217 VIL393217:VIM393217 VSH393217:VSI393217 WCD393217:WCE393217 WLZ393217:WMA393217 WVV393217:WVW393217 N458753:O458753 JJ458753:JK458753 TF458753:TG458753 ADB458753:ADC458753 AMX458753:AMY458753 AWT458753:AWU458753 BGP458753:BGQ458753 BQL458753:BQM458753 CAH458753:CAI458753 CKD458753:CKE458753 CTZ458753:CUA458753 DDV458753:DDW458753 DNR458753:DNS458753 DXN458753:DXO458753 EHJ458753:EHK458753 ERF458753:ERG458753 FBB458753:FBC458753 FKX458753:FKY458753 FUT458753:FUU458753 GEP458753:GEQ458753 GOL458753:GOM458753 GYH458753:GYI458753 HID458753:HIE458753 HRZ458753:HSA458753 IBV458753:IBW458753 ILR458753:ILS458753 IVN458753:IVO458753 JFJ458753:JFK458753 JPF458753:JPG458753 JZB458753:JZC458753 KIX458753:KIY458753 KST458753:KSU458753 LCP458753:LCQ458753 LML458753:LMM458753 LWH458753:LWI458753 MGD458753:MGE458753 MPZ458753:MQA458753 MZV458753:MZW458753 NJR458753:NJS458753 NTN458753:NTO458753 ODJ458753:ODK458753 ONF458753:ONG458753 OXB458753:OXC458753 PGX458753:PGY458753 PQT458753:PQU458753 QAP458753:QAQ458753 QKL458753:QKM458753 QUH458753:QUI458753 RED458753:REE458753 RNZ458753:ROA458753 RXV458753:RXW458753 SHR458753:SHS458753 SRN458753:SRO458753 TBJ458753:TBK458753 TLF458753:TLG458753 TVB458753:TVC458753 UEX458753:UEY458753 UOT458753:UOU458753 UYP458753:UYQ458753 VIL458753:VIM458753 VSH458753:VSI458753 WCD458753:WCE458753 WLZ458753:WMA458753 WVV458753:WVW458753 N524289:O524289 JJ524289:JK524289 TF524289:TG524289 ADB524289:ADC524289 AMX524289:AMY524289 AWT524289:AWU524289 BGP524289:BGQ524289 BQL524289:BQM524289 CAH524289:CAI524289 CKD524289:CKE524289 CTZ524289:CUA524289 DDV524289:DDW524289 DNR524289:DNS524289 DXN524289:DXO524289 EHJ524289:EHK524289 ERF524289:ERG524289 FBB524289:FBC524289 FKX524289:FKY524289 FUT524289:FUU524289 GEP524289:GEQ524289 GOL524289:GOM524289 GYH524289:GYI524289 HID524289:HIE524289 HRZ524289:HSA524289 IBV524289:IBW524289 ILR524289:ILS524289 IVN524289:IVO524289 JFJ524289:JFK524289 JPF524289:JPG524289 JZB524289:JZC524289 KIX524289:KIY524289 KST524289:KSU524289 LCP524289:LCQ524289 LML524289:LMM524289 LWH524289:LWI524289 MGD524289:MGE524289 MPZ524289:MQA524289 MZV524289:MZW524289 NJR524289:NJS524289 NTN524289:NTO524289 ODJ524289:ODK524289 ONF524289:ONG524289 OXB524289:OXC524289 PGX524289:PGY524289 PQT524289:PQU524289 QAP524289:QAQ524289 QKL524289:QKM524289 QUH524289:QUI524289 RED524289:REE524289 RNZ524289:ROA524289 RXV524289:RXW524289 SHR524289:SHS524289 SRN524289:SRO524289 TBJ524289:TBK524289 TLF524289:TLG524289 TVB524289:TVC524289 UEX524289:UEY524289 UOT524289:UOU524289 UYP524289:UYQ524289 VIL524289:VIM524289 VSH524289:VSI524289 WCD524289:WCE524289 WLZ524289:WMA524289 WVV524289:WVW524289 N589825:O589825 JJ589825:JK589825 TF589825:TG589825 ADB589825:ADC589825 AMX589825:AMY589825 AWT589825:AWU589825 BGP589825:BGQ589825 BQL589825:BQM589825 CAH589825:CAI589825 CKD589825:CKE589825 CTZ589825:CUA589825 DDV589825:DDW589825 DNR589825:DNS589825 DXN589825:DXO589825 EHJ589825:EHK589825 ERF589825:ERG589825 FBB589825:FBC589825 FKX589825:FKY589825 FUT589825:FUU589825 GEP589825:GEQ589825 GOL589825:GOM589825 GYH589825:GYI589825 HID589825:HIE589825 HRZ589825:HSA589825 IBV589825:IBW589825 ILR589825:ILS589825 IVN589825:IVO589825 JFJ589825:JFK589825 JPF589825:JPG589825 JZB589825:JZC589825 KIX589825:KIY589825 KST589825:KSU589825 LCP589825:LCQ589825 LML589825:LMM589825 LWH589825:LWI589825 MGD589825:MGE589825 MPZ589825:MQA589825 MZV589825:MZW589825 NJR589825:NJS589825 NTN589825:NTO589825 ODJ589825:ODK589825 ONF589825:ONG589825 OXB589825:OXC589825 PGX589825:PGY589825 PQT589825:PQU589825 QAP589825:QAQ589825 QKL589825:QKM589825 QUH589825:QUI589825 RED589825:REE589825 RNZ589825:ROA589825 RXV589825:RXW589825 SHR589825:SHS589825 SRN589825:SRO589825 TBJ589825:TBK589825 TLF589825:TLG589825 TVB589825:TVC589825 UEX589825:UEY589825 UOT589825:UOU589825 UYP589825:UYQ589825 VIL589825:VIM589825 VSH589825:VSI589825 WCD589825:WCE589825 WLZ589825:WMA589825 WVV589825:WVW589825 N655361:O655361 JJ655361:JK655361 TF655361:TG655361 ADB655361:ADC655361 AMX655361:AMY655361 AWT655361:AWU655361 BGP655361:BGQ655361 BQL655361:BQM655361 CAH655361:CAI655361 CKD655361:CKE655361 CTZ655361:CUA655361 DDV655361:DDW655361 DNR655361:DNS655361 DXN655361:DXO655361 EHJ655361:EHK655361 ERF655361:ERG655361 FBB655361:FBC655361 FKX655361:FKY655361 FUT655361:FUU655361 GEP655361:GEQ655361 GOL655361:GOM655361 GYH655361:GYI655361 HID655361:HIE655361 HRZ655361:HSA655361 IBV655361:IBW655361 ILR655361:ILS655361 IVN655361:IVO655361 JFJ655361:JFK655361 JPF655361:JPG655361 JZB655361:JZC655361 KIX655361:KIY655361 KST655361:KSU655361 LCP655361:LCQ655361 LML655361:LMM655361 LWH655361:LWI655361 MGD655361:MGE655361 MPZ655361:MQA655361 MZV655361:MZW655361 NJR655361:NJS655361 NTN655361:NTO655361 ODJ655361:ODK655361 ONF655361:ONG655361 OXB655361:OXC655361 PGX655361:PGY655361 PQT655361:PQU655361 QAP655361:QAQ655361 QKL655361:QKM655361 QUH655361:QUI655361 RED655361:REE655361 RNZ655361:ROA655361 RXV655361:RXW655361 SHR655361:SHS655361 SRN655361:SRO655361 TBJ655361:TBK655361 TLF655361:TLG655361 TVB655361:TVC655361 UEX655361:UEY655361 UOT655361:UOU655361 UYP655361:UYQ655361 VIL655361:VIM655361 VSH655361:VSI655361 WCD655361:WCE655361 WLZ655361:WMA655361 WVV655361:WVW655361 N720897:O720897 JJ720897:JK720897 TF720897:TG720897 ADB720897:ADC720897 AMX720897:AMY720897 AWT720897:AWU720897 BGP720897:BGQ720897 BQL720897:BQM720897 CAH720897:CAI720897 CKD720897:CKE720897 CTZ720897:CUA720897 DDV720897:DDW720897 DNR720897:DNS720897 DXN720897:DXO720897 EHJ720897:EHK720897 ERF720897:ERG720897 FBB720897:FBC720897 FKX720897:FKY720897 FUT720897:FUU720897 GEP720897:GEQ720897 GOL720897:GOM720897 GYH720897:GYI720897 HID720897:HIE720897 HRZ720897:HSA720897 IBV720897:IBW720897 ILR720897:ILS720897 IVN720897:IVO720897 JFJ720897:JFK720897 JPF720897:JPG720897 JZB720897:JZC720897 KIX720897:KIY720897 KST720897:KSU720897 LCP720897:LCQ720897 LML720897:LMM720897 LWH720897:LWI720897 MGD720897:MGE720897 MPZ720897:MQA720897 MZV720897:MZW720897 NJR720897:NJS720897 NTN720897:NTO720897 ODJ720897:ODK720897 ONF720897:ONG720897 OXB720897:OXC720897 PGX720897:PGY720897 PQT720897:PQU720897 QAP720897:QAQ720897 QKL720897:QKM720897 QUH720897:QUI720897 RED720897:REE720897 RNZ720897:ROA720897 RXV720897:RXW720897 SHR720897:SHS720897 SRN720897:SRO720897 TBJ720897:TBK720897 TLF720897:TLG720897 TVB720897:TVC720897 UEX720897:UEY720897 UOT720897:UOU720897 UYP720897:UYQ720897 VIL720897:VIM720897 VSH720897:VSI720897 WCD720897:WCE720897 WLZ720897:WMA720897 WVV720897:WVW720897 N786433:O786433 JJ786433:JK786433 TF786433:TG786433 ADB786433:ADC786433 AMX786433:AMY786433 AWT786433:AWU786433 BGP786433:BGQ786433 BQL786433:BQM786433 CAH786433:CAI786433 CKD786433:CKE786433 CTZ786433:CUA786433 DDV786433:DDW786433 DNR786433:DNS786433 DXN786433:DXO786433 EHJ786433:EHK786433 ERF786433:ERG786433 FBB786433:FBC786433 FKX786433:FKY786433 FUT786433:FUU786433 GEP786433:GEQ786433 GOL786433:GOM786433 GYH786433:GYI786433 HID786433:HIE786433 HRZ786433:HSA786433 IBV786433:IBW786433 ILR786433:ILS786433 IVN786433:IVO786433 JFJ786433:JFK786433 JPF786433:JPG786433 JZB786433:JZC786433 KIX786433:KIY786433 KST786433:KSU786433 LCP786433:LCQ786433 LML786433:LMM786433 LWH786433:LWI786433 MGD786433:MGE786433 MPZ786433:MQA786433 MZV786433:MZW786433 NJR786433:NJS786433 NTN786433:NTO786433 ODJ786433:ODK786433 ONF786433:ONG786433 OXB786433:OXC786433 PGX786433:PGY786433 PQT786433:PQU786433 QAP786433:QAQ786433 QKL786433:QKM786433 QUH786433:QUI786433 RED786433:REE786433 RNZ786433:ROA786433 RXV786433:RXW786433 SHR786433:SHS786433 SRN786433:SRO786433 TBJ786433:TBK786433 TLF786433:TLG786433 TVB786433:TVC786433 UEX786433:UEY786433 UOT786433:UOU786433 UYP786433:UYQ786433 VIL786433:VIM786433 VSH786433:VSI786433 WCD786433:WCE786433 WLZ786433:WMA786433 WVV786433:WVW786433 N851969:O851969 JJ851969:JK851969 TF851969:TG851969 ADB851969:ADC851969 AMX851969:AMY851969 AWT851969:AWU851969 BGP851969:BGQ851969 BQL851969:BQM851969 CAH851969:CAI851969 CKD851969:CKE851969 CTZ851969:CUA851969 DDV851969:DDW851969 DNR851969:DNS851969 DXN851969:DXO851969 EHJ851969:EHK851969 ERF851969:ERG851969 FBB851969:FBC851969 FKX851969:FKY851969 FUT851969:FUU851969 GEP851969:GEQ851969 GOL851969:GOM851969 GYH851969:GYI851969 HID851969:HIE851969 HRZ851969:HSA851969 IBV851969:IBW851969 ILR851969:ILS851969 IVN851969:IVO851969 JFJ851969:JFK851969 JPF851969:JPG851969 JZB851969:JZC851969 KIX851969:KIY851969 KST851969:KSU851969 LCP851969:LCQ851969 LML851969:LMM851969 LWH851969:LWI851969 MGD851969:MGE851969 MPZ851969:MQA851969 MZV851969:MZW851969 NJR851969:NJS851969 NTN851969:NTO851969 ODJ851969:ODK851969 ONF851969:ONG851969 OXB851969:OXC851969 PGX851969:PGY851969 PQT851969:PQU851969 QAP851969:QAQ851969 QKL851969:QKM851969 QUH851969:QUI851969 RED851969:REE851969 RNZ851969:ROA851969 RXV851969:RXW851969 SHR851969:SHS851969 SRN851969:SRO851969 TBJ851969:TBK851969 TLF851969:TLG851969 TVB851969:TVC851969 UEX851969:UEY851969 UOT851969:UOU851969 UYP851969:UYQ851969 VIL851969:VIM851969 VSH851969:VSI851969 WCD851969:WCE851969 WLZ851969:WMA851969 WVV851969:WVW851969 N917505:O917505 JJ917505:JK917505 TF917505:TG917505 ADB917505:ADC917505 AMX917505:AMY917505 AWT917505:AWU917505 BGP917505:BGQ917505 BQL917505:BQM917505 CAH917505:CAI917505 CKD917505:CKE917505 CTZ917505:CUA917505 DDV917505:DDW917505 DNR917505:DNS917505 DXN917505:DXO917505 EHJ917505:EHK917505 ERF917505:ERG917505 FBB917505:FBC917505 FKX917505:FKY917505 FUT917505:FUU917505 GEP917505:GEQ917505 GOL917505:GOM917505 GYH917505:GYI917505 HID917505:HIE917505 HRZ917505:HSA917505 IBV917505:IBW917505 ILR917505:ILS917505 IVN917505:IVO917505 JFJ917505:JFK917505 JPF917505:JPG917505 JZB917505:JZC917505 KIX917505:KIY917505 KST917505:KSU917505 LCP917505:LCQ917505 LML917505:LMM917505 LWH917505:LWI917505 MGD917505:MGE917505 MPZ917505:MQA917505 MZV917505:MZW917505 NJR917505:NJS917505 NTN917505:NTO917505 ODJ917505:ODK917505 ONF917505:ONG917505 OXB917505:OXC917505 PGX917505:PGY917505 PQT917505:PQU917505 QAP917505:QAQ917505 QKL917505:QKM917505 QUH917505:QUI917505 RED917505:REE917505 RNZ917505:ROA917505 RXV917505:RXW917505 SHR917505:SHS917505 SRN917505:SRO917505 TBJ917505:TBK917505 TLF917505:TLG917505 TVB917505:TVC917505 UEX917505:UEY917505 UOT917505:UOU917505 UYP917505:UYQ917505 VIL917505:VIM917505 VSH917505:VSI917505 WCD917505:WCE917505 WLZ917505:WMA917505 WVV917505:WVW917505 N983041:O983041 JJ983041:JK983041 TF983041:TG983041 ADB983041:ADC983041 AMX983041:AMY983041 AWT983041:AWU983041 BGP983041:BGQ983041 BQL983041:BQM983041 CAH983041:CAI983041 CKD983041:CKE983041 CTZ983041:CUA983041 DDV983041:DDW983041 DNR983041:DNS983041 DXN983041:DXO983041 EHJ983041:EHK983041 ERF983041:ERG983041 FBB983041:FBC983041 FKX983041:FKY983041 FUT983041:FUU983041 GEP983041:GEQ983041 GOL983041:GOM983041 GYH983041:GYI983041 HID983041:HIE983041 HRZ983041:HSA983041 IBV983041:IBW983041 ILR983041:ILS983041 IVN983041:IVO983041 JFJ983041:JFK983041 JPF983041:JPG983041 JZB983041:JZC983041 KIX983041:KIY983041 KST983041:KSU983041 LCP983041:LCQ983041 LML983041:LMM983041 LWH983041:LWI983041 MGD983041:MGE983041 MPZ983041:MQA983041 MZV983041:MZW983041 NJR983041:NJS983041 NTN983041:NTO983041 ODJ983041:ODK983041 ONF983041:ONG983041 OXB983041:OXC983041 PGX983041:PGY983041 PQT983041:PQU983041 QAP983041:QAQ983041 QKL983041:QKM983041 QUH983041:QUI983041 RED983041:REE983041 RNZ983041:ROA983041 RXV983041:RXW983041 SHR983041:SHS983041 SRN983041:SRO983041 TBJ983041:TBK983041 TLF983041:TLG983041 TVB983041:TVC983041 UEX983041:UEY983041 UOT983041:UOU983041 UYP983041:UYQ983041 VIL983041:VIM983041 VSH983041:VSI983041 WCD983041:WCE983041 WLZ983041:WMA983041 WVV983041:WVW983041 HF1:HG1 RB1:RC1 AAX1:AAY1 AKT1:AKU1 AUP1:AUQ1 BEL1:BEM1 BOH1:BOI1 BYD1:BYE1 CHZ1:CIA1 CRV1:CRW1 DBR1:DBS1 DLN1:DLO1 DVJ1:DVK1 EFF1:EFG1 EPB1:EPC1 EYX1:EYY1 FIT1:FIU1 FSP1:FSQ1 GCL1:GCM1 GMH1:GMI1 GWD1:GWE1 HFZ1:HGA1 HPV1:HPW1 HZR1:HZS1 IJN1:IJO1 ITJ1:ITK1 JDF1:JDG1 JNB1:JNC1 JWX1:JWY1 KGT1:KGU1 KQP1:KQQ1 LAL1:LAM1 LKH1:LKI1 LUD1:LUE1 MDZ1:MEA1 MNV1:MNW1 MXR1:MXS1 NHN1:NHO1 NRJ1:NRK1 OBF1:OBG1 OLB1:OLC1 OUX1:OUY1 PET1:PEU1 POP1:POQ1 PYL1:PYM1 QIH1:QII1 QSD1:QSE1 RBZ1:RCA1 RLV1:RLW1 RVR1:RVS1 SFN1:SFO1 SPJ1:SPK1 SZF1:SZG1 TJB1:TJC1 TSX1:TSY1 UCT1:UCU1 UMP1:UMQ1 UWL1:UWM1 VGH1:VGI1 VQD1:VQE1 VZZ1:WAA1 WJV1:WJW1 WTR1:WTS1 XDN1:XDO1 HF65537:HG65537 RB65537:RC65537 AAX65537:AAY65537 AKT65537:AKU65537 AUP65537:AUQ65537 BEL65537:BEM65537 BOH65537:BOI65537 BYD65537:BYE65537 CHZ65537:CIA65537 CRV65537:CRW65537 DBR65537:DBS65537 DLN65537:DLO65537 DVJ65537:DVK65537 EFF65537:EFG65537 EPB65537:EPC65537 EYX65537:EYY65537 FIT65537:FIU65537 FSP65537:FSQ65537 GCL65537:GCM65537 GMH65537:GMI65537 GWD65537:GWE65537 HFZ65537:HGA65537 HPV65537:HPW65537 HZR65537:HZS65537 IJN65537:IJO65537 ITJ65537:ITK65537 JDF65537:JDG65537 JNB65537:JNC65537 JWX65537:JWY65537 KGT65537:KGU65537 KQP65537:KQQ65537 LAL65537:LAM65537 LKH65537:LKI65537 LUD65537:LUE65537 MDZ65537:MEA65537 MNV65537:MNW65537 MXR65537:MXS65537 NHN65537:NHO65537 NRJ65537:NRK65537 OBF65537:OBG65537 OLB65537:OLC65537 OUX65537:OUY65537 PET65537:PEU65537 POP65537:POQ65537 PYL65537:PYM65537 QIH65537:QII65537 QSD65537:QSE65537 RBZ65537:RCA65537 RLV65537:RLW65537 RVR65537:RVS65537 SFN65537:SFO65537 SPJ65537:SPK65537 SZF65537:SZG65537 TJB65537:TJC65537 TSX65537:TSY65537 UCT65537:UCU65537 UMP65537:UMQ65537 UWL65537:UWM65537 VGH65537:VGI65537 VQD65537:VQE65537 VZZ65537:WAA65537 WJV65537:WJW65537 WTR65537:WTS65537 XDN65537:XDO65537 HF131073:HG131073 RB131073:RC131073 AAX131073:AAY131073 AKT131073:AKU131073 AUP131073:AUQ131073 BEL131073:BEM131073 BOH131073:BOI131073 BYD131073:BYE131073 CHZ131073:CIA131073 CRV131073:CRW131073 DBR131073:DBS131073 DLN131073:DLO131073 DVJ131073:DVK131073 EFF131073:EFG131073 EPB131073:EPC131073 EYX131073:EYY131073 FIT131073:FIU131073 FSP131073:FSQ131073 GCL131073:GCM131073 GMH131073:GMI131073 GWD131073:GWE131073 HFZ131073:HGA131073 HPV131073:HPW131073 HZR131073:HZS131073 IJN131073:IJO131073 ITJ131073:ITK131073 JDF131073:JDG131073 JNB131073:JNC131073 JWX131073:JWY131073 KGT131073:KGU131073 KQP131073:KQQ131073 LAL131073:LAM131073 LKH131073:LKI131073 LUD131073:LUE131073 MDZ131073:MEA131073 MNV131073:MNW131073 MXR131073:MXS131073 NHN131073:NHO131073 NRJ131073:NRK131073 OBF131073:OBG131073 OLB131073:OLC131073 OUX131073:OUY131073 PET131073:PEU131073 POP131073:POQ131073 PYL131073:PYM131073 QIH131073:QII131073 QSD131073:QSE131073 RBZ131073:RCA131073 RLV131073:RLW131073 RVR131073:RVS131073 SFN131073:SFO131073 SPJ131073:SPK131073 SZF131073:SZG131073 TJB131073:TJC131073 TSX131073:TSY131073 UCT131073:UCU131073 UMP131073:UMQ131073 UWL131073:UWM131073 VGH131073:VGI131073 VQD131073:VQE131073 VZZ131073:WAA131073 WJV131073:WJW131073 WTR131073:WTS131073 XDN131073:XDO131073 HF196609:HG196609 RB196609:RC196609 AAX196609:AAY196609 AKT196609:AKU196609 AUP196609:AUQ196609 BEL196609:BEM196609 BOH196609:BOI196609 BYD196609:BYE196609 CHZ196609:CIA196609 CRV196609:CRW196609 DBR196609:DBS196609 DLN196609:DLO196609 DVJ196609:DVK196609 EFF196609:EFG196609 EPB196609:EPC196609 EYX196609:EYY196609 FIT196609:FIU196609 FSP196609:FSQ196609 GCL196609:GCM196609 GMH196609:GMI196609 GWD196609:GWE196609 HFZ196609:HGA196609 HPV196609:HPW196609 HZR196609:HZS196609 IJN196609:IJO196609 ITJ196609:ITK196609 JDF196609:JDG196609 JNB196609:JNC196609 JWX196609:JWY196609 KGT196609:KGU196609 KQP196609:KQQ196609 LAL196609:LAM196609 LKH196609:LKI196609 LUD196609:LUE196609 MDZ196609:MEA196609 MNV196609:MNW196609 MXR196609:MXS196609 NHN196609:NHO196609 NRJ196609:NRK196609 OBF196609:OBG196609 OLB196609:OLC196609 OUX196609:OUY196609 PET196609:PEU196609 POP196609:POQ196609 PYL196609:PYM196609 QIH196609:QII196609 QSD196609:QSE196609 RBZ196609:RCA196609 RLV196609:RLW196609 RVR196609:RVS196609 SFN196609:SFO196609 SPJ196609:SPK196609 SZF196609:SZG196609 TJB196609:TJC196609 TSX196609:TSY196609 UCT196609:UCU196609 UMP196609:UMQ196609 UWL196609:UWM196609 VGH196609:VGI196609 VQD196609:VQE196609 VZZ196609:WAA196609 WJV196609:WJW196609 WTR196609:WTS196609 XDN196609:XDO196609 HF262145:HG262145 RB262145:RC262145 AAX262145:AAY262145 AKT262145:AKU262145 AUP262145:AUQ262145 BEL262145:BEM262145 BOH262145:BOI262145 BYD262145:BYE262145 CHZ262145:CIA262145 CRV262145:CRW262145 DBR262145:DBS262145 DLN262145:DLO262145 DVJ262145:DVK262145 EFF262145:EFG262145 EPB262145:EPC262145 EYX262145:EYY262145 FIT262145:FIU262145 FSP262145:FSQ262145 GCL262145:GCM262145 GMH262145:GMI262145 GWD262145:GWE262145 HFZ262145:HGA262145 HPV262145:HPW262145 HZR262145:HZS262145 IJN262145:IJO262145 ITJ262145:ITK262145 JDF262145:JDG262145 JNB262145:JNC262145 JWX262145:JWY262145 KGT262145:KGU262145 KQP262145:KQQ262145 LAL262145:LAM262145 LKH262145:LKI262145 LUD262145:LUE262145 MDZ262145:MEA262145 MNV262145:MNW262145 MXR262145:MXS262145 NHN262145:NHO262145 NRJ262145:NRK262145 OBF262145:OBG262145 OLB262145:OLC262145 OUX262145:OUY262145 PET262145:PEU262145 POP262145:POQ262145 PYL262145:PYM262145 QIH262145:QII262145 QSD262145:QSE262145 RBZ262145:RCA262145 RLV262145:RLW262145 RVR262145:RVS262145 SFN262145:SFO262145 SPJ262145:SPK262145 SZF262145:SZG262145 TJB262145:TJC262145 TSX262145:TSY262145 UCT262145:UCU262145 UMP262145:UMQ262145 UWL262145:UWM262145 VGH262145:VGI262145 VQD262145:VQE262145 VZZ262145:WAA262145 WJV262145:WJW262145 WTR262145:WTS262145 XDN262145:XDO262145 HF327681:HG327681 RB327681:RC327681 AAX327681:AAY327681 AKT327681:AKU327681 AUP327681:AUQ327681 BEL327681:BEM327681 BOH327681:BOI327681 BYD327681:BYE327681 CHZ327681:CIA327681 CRV327681:CRW327681 DBR327681:DBS327681 DLN327681:DLO327681 DVJ327681:DVK327681 EFF327681:EFG327681 EPB327681:EPC327681 EYX327681:EYY327681 FIT327681:FIU327681 FSP327681:FSQ327681 GCL327681:GCM327681 GMH327681:GMI327681 GWD327681:GWE327681 HFZ327681:HGA327681 HPV327681:HPW327681 HZR327681:HZS327681 IJN327681:IJO327681 ITJ327681:ITK327681 JDF327681:JDG327681 JNB327681:JNC327681 JWX327681:JWY327681 KGT327681:KGU327681 KQP327681:KQQ327681 LAL327681:LAM327681 LKH327681:LKI327681 LUD327681:LUE327681 MDZ327681:MEA327681 MNV327681:MNW327681 MXR327681:MXS327681 NHN327681:NHO327681 NRJ327681:NRK327681 OBF327681:OBG327681 OLB327681:OLC327681 OUX327681:OUY327681 PET327681:PEU327681 POP327681:POQ327681 PYL327681:PYM327681 QIH327681:QII327681 QSD327681:QSE327681 RBZ327681:RCA327681 RLV327681:RLW327681 RVR327681:RVS327681 SFN327681:SFO327681 SPJ327681:SPK327681 SZF327681:SZG327681 TJB327681:TJC327681 TSX327681:TSY327681 UCT327681:UCU327681 UMP327681:UMQ327681 UWL327681:UWM327681 VGH327681:VGI327681 VQD327681:VQE327681 VZZ327681:WAA327681 WJV327681:WJW327681 WTR327681:WTS327681 XDN327681:XDO327681 HF393217:HG393217 RB393217:RC393217 AAX393217:AAY393217 AKT393217:AKU393217 AUP393217:AUQ393217 BEL393217:BEM393217 BOH393217:BOI393217 BYD393217:BYE393217 CHZ393217:CIA393217 CRV393217:CRW393217 DBR393217:DBS393217 DLN393217:DLO393217 DVJ393217:DVK393217 EFF393217:EFG393217 EPB393217:EPC393217 EYX393217:EYY393217 FIT393217:FIU393217 FSP393217:FSQ393217 GCL393217:GCM393217 GMH393217:GMI393217 GWD393217:GWE393217 HFZ393217:HGA393217 HPV393217:HPW393217 HZR393217:HZS393217 IJN393217:IJO393217 ITJ393217:ITK393217 JDF393217:JDG393217 JNB393217:JNC393217 JWX393217:JWY393217 KGT393217:KGU393217 KQP393217:KQQ393217 LAL393217:LAM393217 LKH393217:LKI393217 LUD393217:LUE393217 MDZ393217:MEA393217 MNV393217:MNW393217 MXR393217:MXS393217 NHN393217:NHO393217 NRJ393217:NRK393217 OBF393217:OBG393217 OLB393217:OLC393217 OUX393217:OUY393217 PET393217:PEU393217 POP393217:POQ393217 PYL393217:PYM393217 QIH393217:QII393217 QSD393217:QSE393217 RBZ393217:RCA393217 RLV393217:RLW393217 RVR393217:RVS393217 SFN393217:SFO393217 SPJ393217:SPK393217 SZF393217:SZG393217 TJB393217:TJC393217 TSX393217:TSY393217 UCT393217:UCU393217 UMP393217:UMQ393217 UWL393217:UWM393217 VGH393217:VGI393217 VQD393217:VQE393217 VZZ393217:WAA393217 WJV393217:WJW393217 WTR393217:WTS393217 XDN393217:XDO393217 HF458753:HG458753 RB458753:RC458753 AAX458753:AAY458753 AKT458753:AKU458753 AUP458753:AUQ458753 BEL458753:BEM458753 BOH458753:BOI458753 BYD458753:BYE458753 CHZ458753:CIA458753 CRV458753:CRW458753 DBR458753:DBS458753 DLN458753:DLO458753 DVJ458753:DVK458753 EFF458753:EFG458753 EPB458753:EPC458753 EYX458753:EYY458753 FIT458753:FIU458753 FSP458753:FSQ458753 GCL458753:GCM458753 GMH458753:GMI458753 GWD458753:GWE458753 HFZ458753:HGA458753 HPV458753:HPW458753 HZR458753:HZS458753 IJN458753:IJO458753 ITJ458753:ITK458753 JDF458753:JDG458753 JNB458753:JNC458753 JWX458753:JWY458753 KGT458753:KGU458753 KQP458753:KQQ458753 LAL458753:LAM458753 LKH458753:LKI458753 LUD458753:LUE458753 MDZ458753:MEA458753 MNV458753:MNW458753 MXR458753:MXS458753 NHN458753:NHO458753 NRJ458753:NRK458753 OBF458753:OBG458753 OLB458753:OLC458753 OUX458753:OUY458753 PET458753:PEU458753 POP458753:POQ458753 PYL458753:PYM458753 QIH458753:QII458753 QSD458753:QSE458753 RBZ458753:RCA458753 RLV458753:RLW458753 RVR458753:RVS458753 SFN458753:SFO458753 SPJ458753:SPK458753 SZF458753:SZG458753 TJB458753:TJC458753 TSX458753:TSY458753 UCT458753:UCU458753 UMP458753:UMQ458753 UWL458753:UWM458753 VGH458753:VGI458753 VQD458753:VQE458753 VZZ458753:WAA458753 WJV458753:WJW458753 WTR458753:WTS458753 XDN458753:XDO458753 HF524289:HG524289 RB524289:RC524289 AAX524289:AAY524289 AKT524289:AKU524289 AUP524289:AUQ524289 BEL524289:BEM524289 BOH524289:BOI524289 BYD524289:BYE524289 CHZ524289:CIA524289 CRV524289:CRW524289 DBR524289:DBS524289 DLN524289:DLO524289 DVJ524289:DVK524289 EFF524289:EFG524289 EPB524289:EPC524289 EYX524289:EYY524289 FIT524289:FIU524289 FSP524289:FSQ524289 GCL524289:GCM524289 GMH524289:GMI524289 GWD524289:GWE524289 HFZ524289:HGA524289 HPV524289:HPW524289 HZR524289:HZS524289 IJN524289:IJO524289 ITJ524289:ITK524289 JDF524289:JDG524289 JNB524289:JNC524289 JWX524289:JWY524289 KGT524289:KGU524289 KQP524289:KQQ524289 LAL524289:LAM524289 LKH524289:LKI524289 LUD524289:LUE524289 MDZ524289:MEA524289 MNV524289:MNW524289 MXR524289:MXS524289 NHN524289:NHO524289 NRJ524289:NRK524289 OBF524289:OBG524289 OLB524289:OLC524289 OUX524289:OUY524289 PET524289:PEU524289 POP524289:POQ524289 PYL524289:PYM524289 QIH524289:QII524289 QSD524289:QSE524289 RBZ524289:RCA524289 RLV524289:RLW524289 RVR524289:RVS524289 SFN524289:SFO524289 SPJ524289:SPK524289 SZF524289:SZG524289 TJB524289:TJC524289 TSX524289:TSY524289 UCT524289:UCU524289 UMP524289:UMQ524289 UWL524289:UWM524289 VGH524289:VGI524289 VQD524289:VQE524289 VZZ524289:WAA524289 WJV524289:WJW524289 WTR524289:WTS524289 XDN524289:XDO524289 HF589825:HG589825 RB589825:RC589825 AAX589825:AAY589825 AKT589825:AKU589825 AUP589825:AUQ589825 BEL589825:BEM589825 BOH589825:BOI589825 BYD589825:BYE589825 CHZ589825:CIA589825 CRV589825:CRW589825 DBR589825:DBS589825 DLN589825:DLO589825 DVJ589825:DVK589825 EFF589825:EFG589825 EPB589825:EPC589825 EYX589825:EYY589825 FIT589825:FIU589825 FSP589825:FSQ589825 GCL589825:GCM589825 GMH589825:GMI589825 GWD589825:GWE589825 HFZ589825:HGA589825 HPV589825:HPW589825 HZR589825:HZS589825 IJN589825:IJO589825 ITJ589825:ITK589825 JDF589825:JDG589825 JNB589825:JNC589825 JWX589825:JWY589825 KGT589825:KGU589825 KQP589825:KQQ589825 LAL589825:LAM589825 LKH589825:LKI589825 LUD589825:LUE589825 MDZ589825:MEA589825 MNV589825:MNW589825 MXR589825:MXS589825 NHN589825:NHO589825 NRJ589825:NRK589825 OBF589825:OBG589825 OLB589825:OLC589825 OUX589825:OUY589825 PET589825:PEU589825 POP589825:POQ589825 PYL589825:PYM589825 QIH589825:QII589825 QSD589825:QSE589825 RBZ589825:RCA589825 RLV589825:RLW589825 RVR589825:RVS589825 SFN589825:SFO589825 SPJ589825:SPK589825 SZF589825:SZG589825 TJB589825:TJC589825 TSX589825:TSY589825 UCT589825:UCU589825 UMP589825:UMQ589825 UWL589825:UWM589825 VGH589825:VGI589825 VQD589825:VQE589825 VZZ589825:WAA589825 WJV589825:WJW589825 WTR589825:WTS589825 XDN589825:XDO589825 HF655361:HG655361 RB655361:RC655361 AAX655361:AAY655361 AKT655361:AKU655361 AUP655361:AUQ655361 BEL655361:BEM655361 BOH655361:BOI655361 BYD655361:BYE655361 CHZ655361:CIA655361 CRV655361:CRW655361 DBR655361:DBS655361 DLN655361:DLO655361 DVJ655361:DVK655361 EFF655361:EFG655361 EPB655361:EPC655361 EYX655361:EYY655361 FIT655361:FIU655361 FSP655361:FSQ655361 GCL655361:GCM655361 GMH655361:GMI655361 GWD655361:GWE655361 HFZ655361:HGA655361 HPV655361:HPW655361 HZR655361:HZS655361 IJN655361:IJO655361 ITJ655361:ITK655361 JDF655361:JDG655361 JNB655361:JNC655361 JWX655361:JWY655361 KGT655361:KGU655361 KQP655361:KQQ655361 LAL655361:LAM655361 LKH655361:LKI655361 LUD655361:LUE655361 MDZ655361:MEA655361 MNV655361:MNW655361 MXR655361:MXS655361 NHN655361:NHO655361 NRJ655361:NRK655361 OBF655361:OBG655361 OLB655361:OLC655361 OUX655361:OUY655361 PET655361:PEU655361 POP655361:POQ655361 PYL655361:PYM655361 QIH655361:QII655361 QSD655361:QSE655361 RBZ655361:RCA655361 RLV655361:RLW655361 RVR655361:RVS655361 SFN655361:SFO655361 SPJ655361:SPK655361 SZF655361:SZG655361 TJB655361:TJC655361 TSX655361:TSY655361 UCT655361:UCU655361 UMP655361:UMQ655361 UWL655361:UWM655361 VGH655361:VGI655361 VQD655361:VQE655361 VZZ655361:WAA655361 WJV655361:WJW655361 WTR655361:WTS655361 XDN655361:XDO655361 HF720897:HG720897 RB720897:RC720897 AAX720897:AAY720897 AKT720897:AKU720897 AUP720897:AUQ720897 BEL720897:BEM720897 BOH720897:BOI720897 BYD720897:BYE720897 CHZ720897:CIA720897 CRV720897:CRW720897 DBR720897:DBS720897 DLN720897:DLO720897 DVJ720897:DVK720897 EFF720897:EFG720897 EPB720897:EPC720897 EYX720897:EYY720897 FIT720897:FIU720897 FSP720897:FSQ720897 GCL720897:GCM720897 GMH720897:GMI720897 GWD720897:GWE720897 HFZ720897:HGA720897 HPV720897:HPW720897 HZR720897:HZS720897 IJN720897:IJO720897 ITJ720897:ITK720897 JDF720897:JDG720897 JNB720897:JNC720897 JWX720897:JWY720897 KGT720897:KGU720897 KQP720897:KQQ720897 LAL720897:LAM720897 LKH720897:LKI720897 LUD720897:LUE720897 MDZ720897:MEA720897 MNV720897:MNW720897 MXR720897:MXS720897 NHN720897:NHO720897 NRJ720897:NRK720897 OBF720897:OBG720897 OLB720897:OLC720897 OUX720897:OUY720897 PET720897:PEU720897 POP720897:POQ720897 PYL720897:PYM720897 QIH720897:QII720897 QSD720897:QSE720897 RBZ720897:RCA720897 RLV720897:RLW720897 RVR720897:RVS720897 SFN720897:SFO720897 SPJ720897:SPK720897 SZF720897:SZG720897 TJB720897:TJC720897 TSX720897:TSY720897 UCT720897:UCU720897 UMP720897:UMQ720897 UWL720897:UWM720897 VGH720897:VGI720897 VQD720897:VQE720897 VZZ720897:WAA720897 WJV720897:WJW720897 WTR720897:WTS720897 XDN720897:XDO720897 HF786433:HG786433 RB786433:RC786433 AAX786433:AAY786433 AKT786433:AKU786433 AUP786433:AUQ786433 BEL786433:BEM786433 BOH786433:BOI786433 BYD786433:BYE786433 CHZ786433:CIA786433 CRV786433:CRW786433 DBR786433:DBS786433 DLN786433:DLO786433 DVJ786433:DVK786433 EFF786433:EFG786433 EPB786433:EPC786433 EYX786433:EYY786433 FIT786433:FIU786433 FSP786433:FSQ786433 GCL786433:GCM786433 GMH786433:GMI786433 GWD786433:GWE786433 HFZ786433:HGA786433 HPV786433:HPW786433 HZR786433:HZS786433 IJN786433:IJO786433 ITJ786433:ITK786433 JDF786433:JDG786433 JNB786433:JNC786433 JWX786433:JWY786433 KGT786433:KGU786433 KQP786433:KQQ786433 LAL786433:LAM786433 LKH786433:LKI786433 LUD786433:LUE786433 MDZ786433:MEA786433 MNV786433:MNW786433 MXR786433:MXS786433 NHN786433:NHO786433 NRJ786433:NRK786433 OBF786433:OBG786433 OLB786433:OLC786433 OUX786433:OUY786433 PET786433:PEU786433 POP786433:POQ786433 PYL786433:PYM786433 QIH786433:QII786433 QSD786433:QSE786433 RBZ786433:RCA786433 RLV786433:RLW786433 RVR786433:RVS786433 SFN786433:SFO786433 SPJ786433:SPK786433 SZF786433:SZG786433 TJB786433:TJC786433 TSX786433:TSY786433 UCT786433:UCU786433 UMP786433:UMQ786433 UWL786433:UWM786433 VGH786433:VGI786433 VQD786433:VQE786433 VZZ786433:WAA786433 WJV786433:WJW786433 WTR786433:WTS786433 XDN786433:XDO786433 HF851969:HG851969 RB851969:RC851969 AAX851969:AAY851969 AKT851969:AKU851969 AUP851969:AUQ851969 BEL851969:BEM851969 BOH851969:BOI851969 BYD851969:BYE851969 CHZ851969:CIA851969 CRV851969:CRW851969 DBR851969:DBS851969 DLN851969:DLO851969 DVJ851969:DVK851969 EFF851969:EFG851969 EPB851969:EPC851969 EYX851969:EYY851969 FIT851969:FIU851969 FSP851969:FSQ851969 GCL851969:GCM851969 GMH851969:GMI851969 GWD851969:GWE851969 HFZ851969:HGA851969 HPV851969:HPW851969 HZR851969:HZS851969 IJN851969:IJO851969 ITJ851969:ITK851969 JDF851969:JDG851969 JNB851969:JNC851969 JWX851969:JWY851969 KGT851969:KGU851969 KQP851969:KQQ851969 LAL851969:LAM851969 LKH851969:LKI851969 LUD851969:LUE851969 MDZ851969:MEA851969 MNV851969:MNW851969 MXR851969:MXS851969 NHN851969:NHO851969 NRJ851969:NRK851969 OBF851969:OBG851969 OLB851969:OLC851969 OUX851969:OUY851969 PET851969:PEU851969 POP851969:POQ851969 PYL851969:PYM851969 QIH851969:QII851969 QSD851969:QSE851969 RBZ851969:RCA851969 RLV851969:RLW851969 RVR851969:RVS851969 SFN851969:SFO851969 SPJ851969:SPK851969 SZF851969:SZG851969 TJB851969:TJC851969 TSX851969:TSY851969 UCT851969:UCU851969 UMP851969:UMQ851969 UWL851969:UWM851969 VGH851969:VGI851969 VQD851969:VQE851969 VZZ851969:WAA851969 WJV851969:WJW851969 WTR851969:WTS851969 XDN851969:XDO851969 HF917505:HG917505 RB917505:RC917505 AAX917505:AAY917505 AKT917505:AKU917505 AUP917505:AUQ917505 BEL917505:BEM917505 BOH917505:BOI917505 BYD917505:BYE917505 CHZ917505:CIA917505 CRV917505:CRW917505 DBR917505:DBS917505 DLN917505:DLO917505 DVJ917505:DVK917505 EFF917505:EFG917505 EPB917505:EPC917505 EYX917505:EYY917505 FIT917505:FIU917505 FSP917505:FSQ917505 GCL917505:GCM917505 GMH917505:GMI917505 GWD917505:GWE917505 HFZ917505:HGA917505 HPV917505:HPW917505 HZR917505:HZS917505 IJN917505:IJO917505 ITJ917505:ITK917505 JDF917505:JDG917505 JNB917505:JNC917505 JWX917505:JWY917505 KGT917505:KGU917505 KQP917505:KQQ917505 LAL917505:LAM917505 LKH917505:LKI917505 LUD917505:LUE917505 MDZ917505:MEA917505 MNV917505:MNW917505 MXR917505:MXS917505 NHN917505:NHO917505 NRJ917505:NRK917505 OBF917505:OBG917505 OLB917505:OLC917505 OUX917505:OUY917505 PET917505:PEU917505 POP917505:POQ917505 PYL917505:PYM917505 QIH917505:QII917505 QSD917505:QSE917505 RBZ917505:RCA917505 RLV917505:RLW917505 RVR917505:RVS917505 SFN917505:SFO917505 SPJ917505:SPK917505 SZF917505:SZG917505 TJB917505:TJC917505 TSX917505:TSY917505 UCT917505:UCU917505 UMP917505:UMQ917505 UWL917505:UWM917505 VGH917505:VGI917505 VQD917505:VQE917505 VZZ917505:WAA917505 WJV917505:WJW917505 WTR917505:WTS917505 XDN917505:XDO917505 HF983041:HG983041 RB983041:RC983041 AAX983041:AAY983041 AKT983041:AKU983041 AUP983041:AUQ983041 BEL983041:BEM983041 BOH983041:BOI983041 BYD983041:BYE983041 CHZ983041:CIA983041 CRV983041:CRW983041 DBR983041:DBS983041 DLN983041:DLO983041 DVJ983041:DVK983041 EFF983041:EFG983041 EPB983041:EPC983041 EYX983041:EYY983041 FIT983041:FIU983041 FSP983041:FSQ983041 GCL983041:GCM983041 GMH983041:GMI983041 GWD983041:GWE983041 HFZ983041:HGA983041 HPV983041:HPW983041 HZR983041:HZS983041 IJN983041:IJO983041 ITJ983041:ITK983041 JDF983041:JDG983041 JNB983041:JNC983041 JWX983041:JWY983041 KGT983041:KGU983041 KQP983041:KQQ983041 LAL983041:LAM983041 LKH983041:LKI983041 LUD983041:LUE983041 MDZ983041:MEA983041 MNV983041:MNW983041 MXR983041:MXS983041 NHN983041:NHO983041 NRJ983041:NRK983041 OBF983041:OBG983041 OLB983041:OLC983041 OUX983041:OUY983041 PET983041:PEU983041 POP983041:POQ983041 PYL983041:PYM983041 QIH983041:QII983041 QSD983041:QSE983041 RBZ983041:RCA983041 RLV983041:RLW983041 RVR983041:RVS983041 SFN983041:SFO983041 SPJ983041:SPK983041 SZF983041:SZG983041 TJB983041:TJC983041 TSX983041:TSY983041 UCT983041:UCU983041 UMP983041:UMQ983041 UWL983041:UWM983041 VGH983041:VGI983041 VQD983041:VQE983041 VZZ983041:WAA983041 WJV983041:WJW983041 WTR983041:WTS983041 XDN983041:XDO983041 N57968:O57968 JJ57968:JK57968 TF57968:TG57968 ADB57968:ADC57968 AMX57968:AMY57968 AWT57968:AWU57968 BGP57968:BGQ57968 BQL57968:BQM57968 CAH57968:CAI57968 CKD57968:CKE57968 CTZ57968:CUA57968 DDV57968:DDW57968 DNR57968:DNS57968 DXN57968:DXO57968 EHJ57968:EHK57968 ERF57968:ERG57968 FBB57968:FBC57968 FKX57968:FKY57968 FUT57968:FUU57968 GEP57968:GEQ57968 GOL57968:GOM57968 GYH57968:GYI57968 HID57968:HIE57968 HRZ57968:HSA57968 IBV57968:IBW57968 ILR57968:ILS57968 IVN57968:IVO57968 JFJ57968:JFK57968 JPF57968:JPG57968 JZB57968:JZC57968 KIX57968:KIY57968 KST57968:KSU57968 LCP57968:LCQ57968 LML57968:LMM57968 LWH57968:LWI57968 MGD57968:MGE57968 MPZ57968:MQA57968 MZV57968:MZW57968 NJR57968:NJS57968 NTN57968:NTO57968 ODJ57968:ODK57968 ONF57968:ONG57968 OXB57968:OXC57968 PGX57968:PGY57968 PQT57968:PQU57968 QAP57968:QAQ57968 QKL57968:QKM57968 QUH57968:QUI57968 RED57968:REE57968 RNZ57968:ROA57968 RXV57968:RXW57968 SHR57968:SHS57968 SRN57968:SRO57968 TBJ57968:TBK57968 TLF57968:TLG57968 TVB57968:TVC57968 UEX57968:UEY57968 UOT57968:UOU57968 UYP57968:UYQ57968 VIL57968:VIM57968 VSH57968:VSI57968 WCD57968:WCE57968 WLZ57968:WMA57968 WVV57968:WVW57968 N123504:O123504 JJ123504:JK123504 TF123504:TG123504 ADB123504:ADC123504 AMX123504:AMY123504 AWT123504:AWU123504 BGP123504:BGQ123504 BQL123504:BQM123504 CAH123504:CAI123504 CKD123504:CKE123504 CTZ123504:CUA123504 DDV123504:DDW123504 DNR123504:DNS123504 DXN123504:DXO123504 EHJ123504:EHK123504 ERF123504:ERG123504 FBB123504:FBC123504 FKX123504:FKY123504 FUT123504:FUU123504 GEP123504:GEQ123504 GOL123504:GOM123504 GYH123504:GYI123504 HID123504:HIE123504 HRZ123504:HSA123504 IBV123504:IBW123504 ILR123504:ILS123504 IVN123504:IVO123504 JFJ123504:JFK123504 JPF123504:JPG123504 JZB123504:JZC123504 KIX123504:KIY123504 KST123504:KSU123504 LCP123504:LCQ123504 LML123504:LMM123504 LWH123504:LWI123504 MGD123504:MGE123504 MPZ123504:MQA123504 MZV123504:MZW123504 NJR123504:NJS123504 NTN123504:NTO123504 ODJ123504:ODK123504 ONF123504:ONG123504 OXB123504:OXC123504 PGX123504:PGY123504 PQT123504:PQU123504 QAP123504:QAQ123504 QKL123504:QKM123504 QUH123504:QUI123504 RED123504:REE123504 RNZ123504:ROA123504 RXV123504:RXW123504 SHR123504:SHS123504 SRN123504:SRO123504 TBJ123504:TBK123504 TLF123504:TLG123504 TVB123504:TVC123504 UEX123504:UEY123504 UOT123504:UOU123504 UYP123504:UYQ123504 VIL123504:VIM123504 VSH123504:VSI123504 WCD123504:WCE123504 WLZ123504:WMA123504 WVV123504:WVW123504 N189040:O189040 JJ189040:JK189040 TF189040:TG189040 ADB189040:ADC189040 AMX189040:AMY189040 AWT189040:AWU189040 BGP189040:BGQ189040 BQL189040:BQM189040 CAH189040:CAI189040 CKD189040:CKE189040 CTZ189040:CUA189040 DDV189040:DDW189040 DNR189040:DNS189040 DXN189040:DXO189040 EHJ189040:EHK189040 ERF189040:ERG189040 FBB189040:FBC189040 FKX189040:FKY189040 FUT189040:FUU189040 GEP189040:GEQ189040 GOL189040:GOM189040 GYH189040:GYI189040 HID189040:HIE189040 HRZ189040:HSA189040 IBV189040:IBW189040 ILR189040:ILS189040 IVN189040:IVO189040 JFJ189040:JFK189040 JPF189040:JPG189040 JZB189040:JZC189040 KIX189040:KIY189040 KST189040:KSU189040 LCP189040:LCQ189040 LML189040:LMM189040 LWH189040:LWI189040 MGD189040:MGE189040 MPZ189040:MQA189040 MZV189040:MZW189040 NJR189040:NJS189040 NTN189040:NTO189040 ODJ189040:ODK189040 ONF189040:ONG189040 OXB189040:OXC189040 PGX189040:PGY189040 PQT189040:PQU189040 QAP189040:QAQ189040 QKL189040:QKM189040 QUH189040:QUI189040 RED189040:REE189040 RNZ189040:ROA189040 RXV189040:RXW189040 SHR189040:SHS189040 SRN189040:SRO189040 TBJ189040:TBK189040 TLF189040:TLG189040 TVB189040:TVC189040 UEX189040:UEY189040 UOT189040:UOU189040 UYP189040:UYQ189040 VIL189040:VIM189040 VSH189040:VSI189040 WCD189040:WCE189040 WLZ189040:WMA189040 WVV189040:WVW189040 N254576:O254576 JJ254576:JK254576 TF254576:TG254576 ADB254576:ADC254576 AMX254576:AMY254576 AWT254576:AWU254576 BGP254576:BGQ254576 BQL254576:BQM254576 CAH254576:CAI254576 CKD254576:CKE254576 CTZ254576:CUA254576 DDV254576:DDW254576 DNR254576:DNS254576 DXN254576:DXO254576 EHJ254576:EHK254576 ERF254576:ERG254576 FBB254576:FBC254576 FKX254576:FKY254576 FUT254576:FUU254576 GEP254576:GEQ254576 GOL254576:GOM254576 GYH254576:GYI254576 HID254576:HIE254576 HRZ254576:HSA254576 IBV254576:IBW254576 ILR254576:ILS254576 IVN254576:IVO254576 JFJ254576:JFK254576 JPF254576:JPG254576 JZB254576:JZC254576 KIX254576:KIY254576 KST254576:KSU254576 LCP254576:LCQ254576 LML254576:LMM254576 LWH254576:LWI254576 MGD254576:MGE254576 MPZ254576:MQA254576 MZV254576:MZW254576 NJR254576:NJS254576 NTN254576:NTO254576 ODJ254576:ODK254576 ONF254576:ONG254576 OXB254576:OXC254576 PGX254576:PGY254576 PQT254576:PQU254576 QAP254576:QAQ254576 QKL254576:QKM254576 QUH254576:QUI254576 RED254576:REE254576 RNZ254576:ROA254576 RXV254576:RXW254576 SHR254576:SHS254576 SRN254576:SRO254576 TBJ254576:TBK254576 TLF254576:TLG254576 TVB254576:TVC254576 UEX254576:UEY254576 UOT254576:UOU254576 UYP254576:UYQ254576 VIL254576:VIM254576 VSH254576:VSI254576 WCD254576:WCE254576 WLZ254576:WMA254576 WVV254576:WVW254576 N320112:O320112 JJ320112:JK320112 TF320112:TG320112 ADB320112:ADC320112 AMX320112:AMY320112 AWT320112:AWU320112 BGP320112:BGQ320112 BQL320112:BQM320112 CAH320112:CAI320112 CKD320112:CKE320112 CTZ320112:CUA320112 DDV320112:DDW320112 DNR320112:DNS320112 DXN320112:DXO320112 EHJ320112:EHK320112 ERF320112:ERG320112 FBB320112:FBC320112 FKX320112:FKY320112 FUT320112:FUU320112 GEP320112:GEQ320112 GOL320112:GOM320112 GYH320112:GYI320112 HID320112:HIE320112 HRZ320112:HSA320112 IBV320112:IBW320112 ILR320112:ILS320112 IVN320112:IVO320112 JFJ320112:JFK320112 JPF320112:JPG320112 JZB320112:JZC320112 KIX320112:KIY320112 KST320112:KSU320112 LCP320112:LCQ320112 LML320112:LMM320112 LWH320112:LWI320112 MGD320112:MGE320112 MPZ320112:MQA320112 MZV320112:MZW320112 NJR320112:NJS320112 NTN320112:NTO320112 ODJ320112:ODK320112 ONF320112:ONG320112 OXB320112:OXC320112 PGX320112:PGY320112 PQT320112:PQU320112 QAP320112:QAQ320112 QKL320112:QKM320112 QUH320112:QUI320112 RED320112:REE320112 RNZ320112:ROA320112 RXV320112:RXW320112 SHR320112:SHS320112 SRN320112:SRO320112 TBJ320112:TBK320112 TLF320112:TLG320112 TVB320112:TVC320112 UEX320112:UEY320112 UOT320112:UOU320112 UYP320112:UYQ320112 VIL320112:VIM320112 VSH320112:VSI320112 WCD320112:WCE320112 WLZ320112:WMA320112 WVV320112:WVW320112 N385648:O385648 JJ385648:JK385648 TF385648:TG385648 ADB385648:ADC385648 AMX385648:AMY385648 AWT385648:AWU385648 BGP385648:BGQ385648 BQL385648:BQM385648 CAH385648:CAI385648 CKD385648:CKE385648 CTZ385648:CUA385648 DDV385648:DDW385648 DNR385648:DNS385648 DXN385648:DXO385648 EHJ385648:EHK385648 ERF385648:ERG385648 FBB385648:FBC385648 FKX385648:FKY385648 FUT385648:FUU385648 GEP385648:GEQ385648 GOL385648:GOM385648 GYH385648:GYI385648 HID385648:HIE385648 HRZ385648:HSA385648 IBV385648:IBW385648 ILR385648:ILS385648 IVN385648:IVO385648 JFJ385648:JFK385648 JPF385648:JPG385648 JZB385648:JZC385648 KIX385648:KIY385648 KST385648:KSU385648 LCP385648:LCQ385648 LML385648:LMM385648 LWH385648:LWI385648 MGD385648:MGE385648 MPZ385648:MQA385648 MZV385648:MZW385648 NJR385648:NJS385648 NTN385648:NTO385648 ODJ385648:ODK385648 ONF385648:ONG385648 OXB385648:OXC385648 PGX385648:PGY385648 PQT385648:PQU385648 QAP385648:QAQ385648 QKL385648:QKM385648 QUH385648:QUI385648 RED385648:REE385648 RNZ385648:ROA385648 RXV385648:RXW385648 SHR385648:SHS385648 SRN385648:SRO385648 TBJ385648:TBK385648 TLF385648:TLG385648 TVB385648:TVC385648 UEX385648:UEY385648 UOT385648:UOU385648 UYP385648:UYQ385648 VIL385648:VIM385648 VSH385648:VSI385648 WCD385648:WCE385648 WLZ385648:WMA385648 WVV385648:WVW385648 N451184:O451184 JJ451184:JK451184 TF451184:TG451184 ADB451184:ADC451184 AMX451184:AMY451184 AWT451184:AWU451184 BGP451184:BGQ451184 BQL451184:BQM451184 CAH451184:CAI451184 CKD451184:CKE451184 CTZ451184:CUA451184 DDV451184:DDW451184 DNR451184:DNS451184 DXN451184:DXO451184 EHJ451184:EHK451184 ERF451184:ERG451184 FBB451184:FBC451184 FKX451184:FKY451184 FUT451184:FUU451184 GEP451184:GEQ451184 GOL451184:GOM451184 GYH451184:GYI451184 HID451184:HIE451184 HRZ451184:HSA451184 IBV451184:IBW451184 ILR451184:ILS451184 IVN451184:IVO451184 JFJ451184:JFK451184 JPF451184:JPG451184 JZB451184:JZC451184 KIX451184:KIY451184 KST451184:KSU451184 LCP451184:LCQ451184 LML451184:LMM451184 LWH451184:LWI451184 MGD451184:MGE451184 MPZ451184:MQA451184 MZV451184:MZW451184 NJR451184:NJS451184 NTN451184:NTO451184 ODJ451184:ODK451184 ONF451184:ONG451184 OXB451184:OXC451184 PGX451184:PGY451184 PQT451184:PQU451184 QAP451184:QAQ451184 QKL451184:QKM451184 QUH451184:QUI451184 RED451184:REE451184 RNZ451184:ROA451184 RXV451184:RXW451184 SHR451184:SHS451184 SRN451184:SRO451184 TBJ451184:TBK451184 TLF451184:TLG451184 TVB451184:TVC451184 UEX451184:UEY451184 UOT451184:UOU451184 UYP451184:UYQ451184 VIL451184:VIM451184 VSH451184:VSI451184 WCD451184:WCE451184 WLZ451184:WMA451184 WVV451184:WVW451184 N516720:O516720 JJ516720:JK516720 TF516720:TG516720 ADB516720:ADC516720 AMX516720:AMY516720 AWT516720:AWU516720 BGP516720:BGQ516720 BQL516720:BQM516720 CAH516720:CAI516720 CKD516720:CKE516720 CTZ516720:CUA516720 DDV516720:DDW516720 DNR516720:DNS516720 DXN516720:DXO516720 EHJ516720:EHK516720 ERF516720:ERG516720 FBB516720:FBC516720 FKX516720:FKY516720 FUT516720:FUU516720 GEP516720:GEQ516720 GOL516720:GOM516720 GYH516720:GYI516720 HID516720:HIE516720 HRZ516720:HSA516720 IBV516720:IBW516720 ILR516720:ILS516720 IVN516720:IVO516720 JFJ516720:JFK516720 JPF516720:JPG516720 JZB516720:JZC516720 KIX516720:KIY516720 KST516720:KSU516720 LCP516720:LCQ516720 LML516720:LMM516720 LWH516720:LWI516720 MGD516720:MGE516720 MPZ516720:MQA516720 MZV516720:MZW516720 NJR516720:NJS516720 NTN516720:NTO516720 ODJ516720:ODK516720 ONF516720:ONG516720 OXB516720:OXC516720 PGX516720:PGY516720 PQT516720:PQU516720 QAP516720:QAQ516720 QKL516720:QKM516720 QUH516720:QUI516720 RED516720:REE516720 RNZ516720:ROA516720 RXV516720:RXW516720 SHR516720:SHS516720 SRN516720:SRO516720 TBJ516720:TBK516720 TLF516720:TLG516720 TVB516720:TVC516720 UEX516720:UEY516720 UOT516720:UOU516720 UYP516720:UYQ516720 VIL516720:VIM516720 VSH516720:VSI516720 WCD516720:WCE516720 WLZ516720:WMA516720 WVV516720:WVW516720 N582256:O582256 JJ582256:JK582256 TF582256:TG582256 ADB582256:ADC582256 AMX582256:AMY582256 AWT582256:AWU582256 BGP582256:BGQ582256 BQL582256:BQM582256 CAH582256:CAI582256 CKD582256:CKE582256 CTZ582256:CUA582256 DDV582256:DDW582256 DNR582256:DNS582256 DXN582256:DXO582256 EHJ582256:EHK582256 ERF582256:ERG582256 FBB582256:FBC582256 FKX582256:FKY582256 FUT582256:FUU582256 GEP582256:GEQ582256 GOL582256:GOM582256 GYH582256:GYI582256 HID582256:HIE582256 HRZ582256:HSA582256 IBV582256:IBW582256 ILR582256:ILS582256 IVN582256:IVO582256 JFJ582256:JFK582256 JPF582256:JPG582256 JZB582256:JZC582256 KIX582256:KIY582256 KST582256:KSU582256 LCP582256:LCQ582256 LML582256:LMM582256 LWH582256:LWI582256 MGD582256:MGE582256 MPZ582256:MQA582256 MZV582256:MZW582256 NJR582256:NJS582256 NTN582256:NTO582256 ODJ582256:ODK582256 ONF582256:ONG582256 OXB582256:OXC582256 PGX582256:PGY582256 PQT582256:PQU582256 QAP582256:QAQ582256 QKL582256:QKM582256 QUH582256:QUI582256 RED582256:REE582256 RNZ582256:ROA582256 RXV582256:RXW582256 SHR582256:SHS582256 SRN582256:SRO582256 TBJ582256:TBK582256 TLF582256:TLG582256 TVB582256:TVC582256 UEX582256:UEY582256 UOT582256:UOU582256 UYP582256:UYQ582256 VIL582256:VIM582256 VSH582256:VSI582256 WCD582256:WCE582256 WLZ582256:WMA582256 WVV582256:WVW582256 N647792:O647792 JJ647792:JK647792 TF647792:TG647792 ADB647792:ADC647792 AMX647792:AMY647792 AWT647792:AWU647792 BGP647792:BGQ647792 BQL647792:BQM647792 CAH647792:CAI647792 CKD647792:CKE647792 CTZ647792:CUA647792 DDV647792:DDW647792 DNR647792:DNS647792 DXN647792:DXO647792 EHJ647792:EHK647792 ERF647792:ERG647792 FBB647792:FBC647792 FKX647792:FKY647792 FUT647792:FUU647792 GEP647792:GEQ647792 GOL647792:GOM647792 GYH647792:GYI647792 HID647792:HIE647792 HRZ647792:HSA647792 IBV647792:IBW647792 ILR647792:ILS647792 IVN647792:IVO647792 JFJ647792:JFK647792 JPF647792:JPG647792 JZB647792:JZC647792 KIX647792:KIY647792 KST647792:KSU647792 LCP647792:LCQ647792 LML647792:LMM647792 LWH647792:LWI647792 MGD647792:MGE647792 MPZ647792:MQA647792 MZV647792:MZW647792 NJR647792:NJS647792 NTN647792:NTO647792 ODJ647792:ODK647792 ONF647792:ONG647792 OXB647792:OXC647792 PGX647792:PGY647792 PQT647792:PQU647792 QAP647792:QAQ647792 QKL647792:QKM647792 QUH647792:QUI647792 RED647792:REE647792 RNZ647792:ROA647792 RXV647792:RXW647792 SHR647792:SHS647792 SRN647792:SRO647792 TBJ647792:TBK647792 TLF647792:TLG647792 TVB647792:TVC647792 UEX647792:UEY647792 UOT647792:UOU647792 UYP647792:UYQ647792 VIL647792:VIM647792 VSH647792:VSI647792 WCD647792:WCE647792 WLZ647792:WMA647792 WVV647792:WVW647792 N713328:O713328 JJ713328:JK713328 TF713328:TG713328 ADB713328:ADC713328 AMX713328:AMY713328 AWT713328:AWU713328 BGP713328:BGQ713328 BQL713328:BQM713328 CAH713328:CAI713328 CKD713328:CKE713328 CTZ713328:CUA713328 DDV713328:DDW713328 DNR713328:DNS713328 DXN713328:DXO713328 EHJ713328:EHK713328 ERF713328:ERG713328 FBB713328:FBC713328 FKX713328:FKY713328 FUT713328:FUU713328 GEP713328:GEQ713328 GOL713328:GOM713328 GYH713328:GYI713328 HID713328:HIE713328 HRZ713328:HSA713328 IBV713328:IBW713328 ILR713328:ILS713328 IVN713328:IVO713328 JFJ713328:JFK713328 JPF713328:JPG713328 JZB713328:JZC713328 KIX713328:KIY713328 KST713328:KSU713328 LCP713328:LCQ713328 LML713328:LMM713328 LWH713328:LWI713328 MGD713328:MGE713328 MPZ713328:MQA713328 MZV713328:MZW713328 NJR713328:NJS713328 NTN713328:NTO713328 ODJ713328:ODK713328 ONF713328:ONG713328 OXB713328:OXC713328 PGX713328:PGY713328 PQT713328:PQU713328 QAP713328:QAQ713328 QKL713328:QKM713328 QUH713328:QUI713328 RED713328:REE713328 RNZ713328:ROA713328 RXV713328:RXW713328 SHR713328:SHS713328 SRN713328:SRO713328 TBJ713328:TBK713328 TLF713328:TLG713328 TVB713328:TVC713328 UEX713328:UEY713328 UOT713328:UOU713328 UYP713328:UYQ713328 VIL713328:VIM713328 VSH713328:VSI713328 WCD713328:WCE713328 WLZ713328:WMA713328 WVV713328:WVW713328 N778864:O778864 JJ778864:JK778864 TF778864:TG778864 ADB778864:ADC778864 AMX778864:AMY778864 AWT778864:AWU778864 BGP778864:BGQ778864 BQL778864:BQM778864 CAH778864:CAI778864 CKD778864:CKE778864 CTZ778864:CUA778864 DDV778864:DDW778864 DNR778864:DNS778864 DXN778864:DXO778864 EHJ778864:EHK778864 ERF778864:ERG778864 FBB778864:FBC778864 FKX778864:FKY778864 FUT778864:FUU778864 GEP778864:GEQ778864 GOL778864:GOM778864 GYH778864:GYI778864 HID778864:HIE778864 HRZ778864:HSA778864 IBV778864:IBW778864 ILR778864:ILS778864 IVN778864:IVO778864 JFJ778864:JFK778864 JPF778864:JPG778864 JZB778864:JZC778864 KIX778864:KIY778864 KST778864:KSU778864 LCP778864:LCQ778864 LML778864:LMM778864 LWH778864:LWI778864 MGD778864:MGE778864 MPZ778864:MQA778864 MZV778864:MZW778864 NJR778864:NJS778864 NTN778864:NTO778864 ODJ778864:ODK778864 ONF778864:ONG778864 OXB778864:OXC778864 PGX778864:PGY778864 PQT778864:PQU778864 QAP778864:QAQ778864 QKL778864:QKM778864 QUH778864:QUI778864 RED778864:REE778864 RNZ778864:ROA778864 RXV778864:RXW778864 SHR778864:SHS778864 SRN778864:SRO778864 TBJ778864:TBK778864 TLF778864:TLG778864 TVB778864:TVC778864 UEX778864:UEY778864 UOT778864:UOU778864 UYP778864:UYQ778864 VIL778864:VIM778864 VSH778864:VSI778864 WCD778864:WCE778864 WLZ778864:WMA778864 WVV778864:WVW778864 N844400:O844400 JJ844400:JK844400 TF844400:TG844400 ADB844400:ADC844400 AMX844400:AMY844400 AWT844400:AWU844400 BGP844400:BGQ844400 BQL844400:BQM844400 CAH844400:CAI844400 CKD844400:CKE844400 CTZ844400:CUA844400 DDV844400:DDW844400 DNR844400:DNS844400 DXN844400:DXO844400 EHJ844400:EHK844400 ERF844400:ERG844400 FBB844400:FBC844400 FKX844400:FKY844400 FUT844400:FUU844400 GEP844400:GEQ844400 GOL844400:GOM844400 GYH844400:GYI844400 HID844400:HIE844400 HRZ844400:HSA844400 IBV844400:IBW844400 ILR844400:ILS844400 IVN844400:IVO844400 JFJ844400:JFK844400 JPF844400:JPG844400 JZB844400:JZC844400 KIX844400:KIY844400 KST844400:KSU844400 LCP844400:LCQ844400 LML844400:LMM844400 LWH844400:LWI844400 MGD844400:MGE844400 MPZ844400:MQA844400 MZV844400:MZW844400 NJR844400:NJS844400 NTN844400:NTO844400 ODJ844400:ODK844400 ONF844400:ONG844400 OXB844400:OXC844400 PGX844400:PGY844400 PQT844400:PQU844400 QAP844400:QAQ844400 QKL844400:QKM844400 QUH844400:QUI844400 RED844400:REE844400 RNZ844400:ROA844400 RXV844400:RXW844400 SHR844400:SHS844400 SRN844400:SRO844400 TBJ844400:TBK844400 TLF844400:TLG844400 TVB844400:TVC844400 UEX844400:UEY844400 UOT844400:UOU844400 UYP844400:UYQ844400 VIL844400:VIM844400 VSH844400:VSI844400 WCD844400:WCE844400 WLZ844400:WMA844400 WVV844400:WVW844400 N909936:O909936 JJ909936:JK909936 TF909936:TG909936 ADB909936:ADC909936 AMX909936:AMY909936 AWT909936:AWU909936 BGP909936:BGQ909936 BQL909936:BQM909936 CAH909936:CAI909936 CKD909936:CKE909936 CTZ909936:CUA909936 DDV909936:DDW909936 DNR909936:DNS909936 DXN909936:DXO909936 EHJ909936:EHK909936 ERF909936:ERG909936 FBB909936:FBC909936 FKX909936:FKY909936 FUT909936:FUU909936 GEP909936:GEQ909936 GOL909936:GOM909936 GYH909936:GYI909936 HID909936:HIE909936 HRZ909936:HSA909936 IBV909936:IBW909936 ILR909936:ILS909936 IVN909936:IVO909936 JFJ909936:JFK909936 JPF909936:JPG909936 JZB909936:JZC909936 KIX909936:KIY909936 KST909936:KSU909936 LCP909936:LCQ909936 LML909936:LMM909936 LWH909936:LWI909936 MGD909936:MGE909936 MPZ909936:MQA909936 MZV909936:MZW909936 NJR909936:NJS909936 NTN909936:NTO909936 ODJ909936:ODK909936 ONF909936:ONG909936 OXB909936:OXC909936 PGX909936:PGY909936 PQT909936:PQU909936 QAP909936:QAQ909936 QKL909936:QKM909936 QUH909936:QUI909936 RED909936:REE909936 RNZ909936:ROA909936 RXV909936:RXW909936 SHR909936:SHS909936 SRN909936:SRO909936 TBJ909936:TBK909936 TLF909936:TLG909936 TVB909936:TVC909936 UEX909936:UEY909936 UOT909936:UOU909936 UYP909936:UYQ909936 VIL909936:VIM909936 VSH909936:VSI909936 WCD909936:WCE909936 WLZ909936:WMA909936 WVV909936:WVW909936 N975472:O975472 JJ975472:JK975472 TF975472:TG975472 ADB975472:ADC975472 AMX975472:AMY975472 AWT975472:AWU975472 BGP975472:BGQ975472 BQL975472:BQM975472 CAH975472:CAI975472 CKD975472:CKE975472 CTZ975472:CUA975472 DDV975472:DDW975472 DNR975472:DNS975472 DXN975472:DXO975472 EHJ975472:EHK975472 ERF975472:ERG975472 FBB975472:FBC975472 FKX975472:FKY975472 FUT975472:FUU975472 GEP975472:GEQ975472 GOL975472:GOM975472 GYH975472:GYI975472 HID975472:HIE975472 HRZ975472:HSA975472 IBV975472:IBW975472 ILR975472:ILS975472 IVN975472:IVO975472 JFJ975472:JFK975472 JPF975472:JPG975472 JZB975472:JZC975472 KIX975472:KIY975472 KST975472:KSU975472 LCP975472:LCQ975472 LML975472:LMM975472 LWH975472:LWI975472 MGD975472:MGE975472 MPZ975472:MQA975472 MZV975472:MZW975472 NJR975472:NJS975472 NTN975472:NTO975472 ODJ975472:ODK975472 ONF975472:ONG975472 OXB975472:OXC975472 PGX975472:PGY975472 PQT975472:PQU975472 QAP975472:QAQ975472 QKL975472:QKM975472 QUH975472:QUI975472 RED975472:REE975472 RNZ975472:ROA975472 RXV975472:RXW975472 SHR975472:SHS975472 SRN975472:SRO975472 TBJ975472:TBK975472 TLF975472:TLG975472 TVB975472:TVC975472 UEX975472:UEY975472 UOT975472:UOU975472 UYP975472:UYQ975472 VIL975472:VIM975472 VSH975472:VSI975472 WCD975472:WCE975472 WLZ975472:WMA975472 WVV975472:WVW975472 N1041008:O1041008 JJ1041008:JK1041008 TF1041008:TG1041008 ADB1041008:ADC1041008 AMX1041008:AMY1041008 AWT1041008:AWU1041008 BGP1041008:BGQ1041008 BQL1041008:BQM1041008 CAH1041008:CAI1041008 CKD1041008:CKE1041008 CTZ1041008:CUA1041008 DDV1041008:DDW1041008 DNR1041008:DNS1041008 DXN1041008:DXO1041008 EHJ1041008:EHK1041008 ERF1041008:ERG1041008 FBB1041008:FBC1041008 FKX1041008:FKY1041008 FUT1041008:FUU1041008 GEP1041008:GEQ1041008 GOL1041008:GOM1041008 GYH1041008:GYI1041008 HID1041008:HIE1041008 HRZ1041008:HSA1041008 IBV1041008:IBW1041008 ILR1041008:ILS1041008 IVN1041008:IVO1041008 JFJ1041008:JFK1041008 JPF1041008:JPG1041008 JZB1041008:JZC1041008 KIX1041008:KIY1041008 KST1041008:KSU1041008 LCP1041008:LCQ1041008 LML1041008:LMM1041008 LWH1041008:LWI1041008 MGD1041008:MGE1041008 MPZ1041008:MQA1041008 MZV1041008:MZW1041008 NJR1041008:NJS1041008 NTN1041008:NTO1041008 ODJ1041008:ODK1041008 ONF1041008:ONG1041008 OXB1041008:OXC1041008 PGX1041008:PGY1041008 PQT1041008:PQU1041008 QAP1041008:QAQ1041008 QKL1041008:QKM1041008 QUH1041008:QUI1041008 RED1041008:REE1041008 RNZ1041008:ROA1041008 RXV1041008:RXW1041008 SHR1041008:SHS1041008 SRN1041008:SRO1041008 TBJ1041008:TBK1041008 TLF1041008:TLG1041008 TVB1041008:TVC1041008 UEX1041008:UEY1041008 UOT1041008:UOU1041008 UYP1041008:UYQ1041008 VIL1041008:VIM1041008 VSH1041008:VSI1041008 WCD1041008:WCE1041008 WLZ1041008:WMA1041008 WVV1041008:WVW1041008 HF57968:HG57968 RB57968:RC57968 AAX57968:AAY57968 AKT57968:AKU57968 AUP57968:AUQ57968 BEL57968:BEM57968 BOH57968:BOI57968 BYD57968:BYE57968 CHZ57968:CIA57968 CRV57968:CRW57968 DBR57968:DBS57968 DLN57968:DLO57968 DVJ57968:DVK57968 EFF57968:EFG57968 EPB57968:EPC57968 EYX57968:EYY57968 FIT57968:FIU57968 FSP57968:FSQ57968 GCL57968:GCM57968 GMH57968:GMI57968 GWD57968:GWE57968 HFZ57968:HGA57968 HPV57968:HPW57968 HZR57968:HZS57968 IJN57968:IJO57968 ITJ57968:ITK57968 JDF57968:JDG57968 JNB57968:JNC57968 JWX57968:JWY57968 KGT57968:KGU57968 KQP57968:KQQ57968 LAL57968:LAM57968 LKH57968:LKI57968 LUD57968:LUE57968 MDZ57968:MEA57968 MNV57968:MNW57968 MXR57968:MXS57968 NHN57968:NHO57968 NRJ57968:NRK57968 OBF57968:OBG57968 OLB57968:OLC57968 OUX57968:OUY57968 PET57968:PEU57968 POP57968:POQ57968 PYL57968:PYM57968 QIH57968:QII57968 QSD57968:QSE57968 RBZ57968:RCA57968 RLV57968:RLW57968 RVR57968:RVS57968 SFN57968:SFO57968 SPJ57968:SPK57968 SZF57968:SZG57968 TJB57968:TJC57968 TSX57968:TSY57968 UCT57968:UCU57968 UMP57968:UMQ57968 UWL57968:UWM57968 VGH57968:VGI57968 VQD57968:VQE57968 VZZ57968:WAA57968 WJV57968:WJW57968 WTR57968:WTS57968 XDN57968:XDO57968 HF123504:HG123504 RB123504:RC123504 AAX123504:AAY123504 AKT123504:AKU123504 AUP123504:AUQ123504 BEL123504:BEM123504 BOH123504:BOI123504 BYD123504:BYE123504 CHZ123504:CIA123504 CRV123504:CRW123504 DBR123504:DBS123504 DLN123504:DLO123504 DVJ123504:DVK123504 EFF123504:EFG123504 EPB123504:EPC123504 EYX123504:EYY123504 FIT123504:FIU123504 FSP123504:FSQ123504 GCL123504:GCM123504 GMH123504:GMI123504 GWD123504:GWE123504 HFZ123504:HGA123504 HPV123504:HPW123504 HZR123504:HZS123504 IJN123504:IJO123504 ITJ123504:ITK123504 JDF123504:JDG123504 JNB123504:JNC123504 JWX123504:JWY123504 KGT123504:KGU123504 KQP123504:KQQ123504 LAL123504:LAM123504 LKH123504:LKI123504 LUD123504:LUE123504 MDZ123504:MEA123504 MNV123504:MNW123504 MXR123504:MXS123504 NHN123504:NHO123504 NRJ123504:NRK123504 OBF123504:OBG123504 OLB123504:OLC123504 OUX123504:OUY123504 PET123504:PEU123504 POP123504:POQ123504 PYL123504:PYM123504 QIH123504:QII123504 QSD123504:QSE123504 RBZ123504:RCA123504 RLV123504:RLW123504 RVR123504:RVS123504 SFN123504:SFO123504 SPJ123504:SPK123504 SZF123504:SZG123504 TJB123504:TJC123504 TSX123504:TSY123504 UCT123504:UCU123504 UMP123504:UMQ123504 UWL123504:UWM123504 VGH123504:VGI123504 VQD123504:VQE123504 VZZ123504:WAA123504 WJV123504:WJW123504 WTR123504:WTS123504 XDN123504:XDO123504 HF189040:HG189040 RB189040:RC189040 AAX189040:AAY189040 AKT189040:AKU189040 AUP189040:AUQ189040 BEL189040:BEM189040 BOH189040:BOI189040 BYD189040:BYE189040 CHZ189040:CIA189040 CRV189040:CRW189040 DBR189040:DBS189040 DLN189040:DLO189040 DVJ189040:DVK189040 EFF189040:EFG189040 EPB189040:EPC189040 EYX189040:EYY189040 FIT189040:FIU189040 FSP189040:FSQ189040 GCL189040:GCM189040 GMH189040:GMI189040 GWD189040:GWE189040 HFZ189040:HGA189040 HPV189040:HPW189040 HZR189040:HZS189040 IJN189040:IJO189040 ITJ189040:ITK189040 JDF189040:JDG189040 JNB189040:JNC189040 JWX189040:JWY189040 KGT189040:KGU189040 KQP189040:KQQ189040 LAL189040:LAM189040 LKH189040:LKI189040 LUD189040:LUE189040 MDZ189040:MEA189040 MNV189040:MNW189040 MXR189040:MXS189040 NHN189040:NHO189040 NRJ189040:NRK189040 OBF189040:OBG189040 OLB189040:OLC189040 OUX189040:OUY189040 PET189040:PEU189040 POP189040:POQ189040 PYL189040:PYM189040 QIH189040:QII189040 QSD189040:QSE189040 RBZ189040:RCA189040 RLV189040:RLW189040 RVR189040:RVS189040 SFN189040:SFO189040 SPJ189040:SPK189040 SZF189040:SZG189040 TJB189040:TJC189040 TSX189040:TSY189040 UCT189040:UCU189040 UMP189040:UMQ189040 UWL189040:UWM189040 VGH189040:VGI189040 VQD189040:VQE189040 VZZ189040:WAA189040 WJV189040:WJW189040 WTR189040:WTS189040 XDN189040:XDO189040 HF254576:HG254576 RB254576:RC254576 AAX254576:AAY254576 AKT254576:AKU254576 AUP254576:AUQ254576 BEL254576:BEM254576 BOH254576:BOI254576 BYD254576:BYE254576 CHZ254576:CIA254576 CRV254576:CRW254576 DBR254576:DBS254576 DLN254576:DLO254576 DVJ254576:DVK254576 EFF254576:EFG254576 EPB254576:EPC254576 EYX254576:EYY254576 FIT254576:FIU254576 FSP254576:FSQ254576 GCL254576:GCM254576 GMH254576:GMI254576 GWD254576:GWE254576 HFZ254576:HGA254576 HPV254576:HPW254576 HZR254576:HZS254576 IJN254576:IJO254576 ITJ254576:ITK254576 JDF254576:JDG254576 JNB254576:JNC254576 JWX254576:JWY254576 KGT254576:KGU254576 KQP254576:KQQ254576 LAL254576:LAM254576 LKH254576:LKI254576 LUD254576:LUE254576 MDZ254576:MEA254576 MNV254576:MNW254576 MXR254576:MXS254576 NHN254576:NHO254576 NRJ254576:NRK254576 OBF254576:OBG254576 OLB254576:OLC254576 OUX254576:OUY254576 PET254576:PEU254576 POP254576:POQ254576 PYL254576:PYM254576 QIH254576:QII254576 QSD254576:QSE254576 RBZ254576:RCA254576 RLV254576:RLW254576 RVR254576:RVS254576 SFN254576:SFO254576 SPJ254576:SPK254576 SZF254576:SZG254576 TJB254576:TJC254576 TSX254576:TSY254576 UCT254576:UCU254576 UMP254576:UMQ254576 UWL254576:UWM254576 VGH254576:VGI254576 VQD254576:VQE254576 VZZ254576:WAA254576 WJV254576:WJW254576 WTR254576:WTS254576 XDN254576:XDO254576 HF320112:HG320112 RB320112:RC320112 AAX320112:AAY320112 AKT320112:AKU320112 AUP320112:AUQ320112 BEL320112:BEM320112 BOH320112:BOI320112 BYD320112:BYE320112 CHZ320112:CIA320112 CRV320112:CRW320112 DBR320112:DBS320112 DLN320112:DLO320112 DVJ320112:DVK320112 EFF320112:EFG320112 EPB320112:EPC320112 EYX320112:EYY320112 FIT320112:FIU320112 FSP320112:FSQ320112 GCL320112:GCM320112 GMH320112:GMI320112 GWD320112:GWE320112 HFZ320112:HGA320112 HPV320112:HPW320112 HZR320112:HZS320112 IJN320112:IJO320112 ITJ320112:ITK320112 JDF320112:JDG320112 JNB320112:JNC320112 JWX320112:JWY320112 KGT320112:KGU320112 KQP320112:KQQ320112 LAL320112:LAM320112 LKH320112:LKI320112 LUD320112:LUE320112 MDZ320112:MEA320112 MNV320112:MNW320112 MXR320112:MXS320112 NHN320112:NHO320112 NRJ320112:NRK320112 OBF320112:OBG320112 OLB320112:OLC320112 OUX320112:OUY320112 PET320112:PEU320112 POP320112:POQ320112 PYL320112:PYM320112 QIH320112:QII320112 QSD320112:QSE320112 RBZ320112:RCA320112 RLV320112:RLW320112 RVR320112:RVS320112 SFN320112:SFO320112 SPJ320112:SPK320112 SZF320112:SZG320112 TJB320112:TJC320112 TSX320112:TSY320112 UCT320112:UCU320112 UMP320112:UMQ320112 UWL320112:UWM320112 VGH320112:VGI320112 VQD320112:VQE320112 VZZ320112:WAA320112 WJV320112:WJW320112 WTR320112:WTS320112 XDN320112:XDO320112 HF385648:HG385648 RB385648:RC385648 AAX385648:AAY385648 AKT385648:AKU385648 AUP385648:AUQ385648 BEL385648:BEM385648 BOH385648:BOI385648 BYD385648:BYE385648 CHZ385648:CIA385648 CRV385648:CRW385648 DBR385648:DBS385648 DLN385648:DLO385648 DVJ385648:DVK385648 EFF385648:EFG385648 EPB385648:EPC385648 EYX385648:EYY385648 FIT385648:FIU385648 FSP385648:FSQ385648 GCL385648:GCM385648 GMH385648:GMI385648 GWD385648:GWE385648 HFZ385648:HGA385648 HPV385648:HPW385648 HZR385648:HZS385648 IJN385648:IJO385648 ITJ385648:ITK385648 JDF385648:JDG385648 JNB385648:JNC385648 JWX385648:JWY385648 KGT385648:KGU385648 KQP385648:KQQ385648 LAL385648:LAM385648 LKH385648:LKI385648 LUD385648:LUE385648 MDZ385648:MEA385648 MNV385648:MNW385648 MXR385648:MXS385648 NHN385648:NHO385648 NRJ385648:NRK385648 OBF385648:OBG385648 OLB385648:OLC385648 OUX385648:OUY385648 PET385648:PEU385648 POP385648:POQ385648 PYL385648:PYM385648 QIH385648:QII385648 QSD385648:QSE385648 RBZ385648:RCA385648 RLV385648:RLW385648 RVR385648:RVS385648 SFN385648:SFO385648 SPJ385648:SPK385648 SZF385648:SZG385648 TJB385648:TJC385648 TSX385648:TSY385648 UCT385648:UCU385648 UMP385648:UMQ385648 UWL385648:UWM385648 VGH385648:VGI385648 VQD385648:VQE385648 VZZ385648:WAA385648 WJV385648:WJW385648 WTR385648:WTS385648 XDN385648:XDO385648 HF451184:HG451184 RB451184:RC451184 AAX451184:AAY451184 AKT451184:AKU451184 AUP451184:AUQ451184 BEL451184:BEM451184 BOH451184:BOI451184 BYD451184:BYE451184 CHZ451184:CIA451184 CRV451184:CRW451184 DBR451184:DBS451184 DLN451184:DLO451184 DVJ451184:DVK451184 EFF451184:EFG451184 EPB451184:EPC451184 EYX451184:EYY451184 FIT451184:FIU451184 FSP451184:FSQ451184 GCL451184:GCM451184 GMH451184:GMI451184 GWD451184:GWE451184 HFZ451184:HGA451184 HPV451184:HPW451184 HZR451184:HZS451184 IJN451184:IJO451184 ITJ451184:ITK451184 JDF451184:JDG451184 JNB451184:JNC451184 JWX451184:JWY451184 KGT451184:KGU451184 KQP451184:KQQ451184 LAL451184:LAM451184 LKH451184:LKI451184 LUD451184:LUE451184 MDZ451184:MEA451184 MNV451184:MNW451184 MXR451184:MXS451184 NHN451184:NHO451184 NRJ451184:NRK451184 OBF451184:OBG451184 OLB451184:OLC451184 OUX451184:OUY451184 PET451184:PEU451184 POP451184:POQ451184 PYL451184:PYM451184 QIH451184:QII451184 QSD451184:QSE451184 RBZ451184:RCA451184 RLV451184:RLW451184 RVR451184:RVS451184 SFN451184:SFO451184 SPJ451184:SPK451184 SZF451184:SZG451184 TJB451184:TJC451184 TSX451184:TSY451184 UCT451184:UCU451184 UMP451184:UMQ451184 UWL451184:UWM451184 VGH451184:VGI451184 VQD451184:VQE451184 VZZ451184:WAA451184 WJV451184:WJW451184 WTR451184:WTS451184 XDN451184:XDO451184 HF516720:HG516720 RB516720:RC516720 AAX516720:AAY516720 AKT516720:AKU516720 AUP516720:AUQ516720 BEL516720:BEM516720 BOH516720:BOI516720 BYD516720:BYE516720 CHZ516720:CIA516720 CRV516720:CRW516720 DBR516720:DBS516720 DLN516720:DLO516720 DVJ516720:DVK516720 EFF516720:EFG516720 EPB516720:EPC516720 EYX516720:EYY516720 FIT516720:FIU516720 FSP516720:FSQ516720 GCL516720:GCM516720 GMH516720:GMI516720 GWD516720:GWE516720 HFZ516720:HGA516720 HPV516720:HPW516720 HZR516720:HZS516720 IJN516720:IJO516720 ITJ516720:ITK516720 JDF516720:JDG516720 JNB516720:JNC516720 JWX516720:JWY516720 KGT516720:KGU516720 KQP516720:KQQ516720 LAL516720:LAM516720 LKH516720:LKI516720 LUD516720:LUE516720 MDZ516720:MEA516720 MNV516720:MNW516720 MXR516720:MXS516720 NHN516720:NHO516720 NRJ516720:NRK516720 OBF516720:OBG516720 OLB516720:OLC516720 OUX516720:OUY516720 PET516720:PEU516720 POP516720:POQ516720 PYL516720:PYM516720 QIH516720:QII516720 QSD516720:QSE516720 RBZ516720:RCA516720 RLV516720:RLW516720 RVR516720:RVS516720 SFN516720:SFO516720 SPJ516720:SPK516720 SZF516720:SZG516720 TJB516720:TJC516720 TSX516720:TSY516720 UCT516720:UCU516720 UMP516720:UMQ516720 UWL516720:UWM516720 VGH516720:VGI516720 VQD516720:VQE516720 VZZ516720:WAA516720 WJV516720:WJW516720 WTR516720:WTS516720 XDN516720:XDO516720 HF582256:HG582256 RB582256:RC582256 AAX582256:AAY582256 AKT582256:AKU582256 AUP582256:AUQ582256 BEL582256:BEM582256 BOH582256:BOI582256 BYD582256:BYE582256 CHZ582256:CIA582256 CRV582256:CRW582256 DBR582256:DBS582256 DLN582256:DLO582256 DVJ582256:DVK582256 EFF582256:EFG582256 EPB582256:EPC582256 EYX582256:EYY582256 FIT582256:FIU582256 FSP582256:FSQ582256 GCL582256:GCM582256 GMH582256:GMI582256 GWD582256:GWE582256 HFZ582256:HGA582256 HPV582256:HPW582256 HZR582256:HZS582256 IJN582256:IJO582256 ITJ582256:ITK582256 JDF582256:JDG582256 JNB582256:JNC582256 JWX582256:JWY582256 KGT582256:KGU582256 KQP582256:KQQ582256 LAL582256:LAM582256 LKH582256:LKI582256 LUD582256:LUE582256 MDZ582256:MEA582256 MNV582256:MNW582256 MXR582256:MXS582256 NHN582256:NHO582256 NRJ582256:NRK582256 OBF582256:OBG582256 OLB582256:OLC582256 OUX582256:OUY582256 PET582256:PEU582256 POP582256:POQ582256 PYL582256:PYM582256 QIH582256:QII582256 QSD582256:QSE582256 RBZ582256:RCA582256 RLV582256:RLW582256 RVR582256:RVS582256 SFN582256:SFO582256 SPJ582256:SPK582256 SZF582256:SZG582256 TJB582256:TJC582256 TSX582256:TSY582256 UCT582256:UCU582256 UMP582256:UMQ582256 UWL582256:UWM582256 VGH582256:VGI582256 VQD582256:VQE582256 VZZ582256:WAA582256 WJV582256:WJW582256 WTR582256:WTS582256 XDN582256:XDO582256 HF647792:HG647792 RB647792:RC647792 AAX647792:AAY647792 AKT647792:AKU647792 AUP647792:AUQ647792 BEL647792:BEM647792 BOH647792:BOI647792 BYD647792:BYE647792 CHZ647792:CIA647792 CRV647792:CRW647792 DBR647792:DBS647792 DLN647792:DLO647792 DVJ647792:DVK647792 EFF647792:EFG647792 EPB647792:EPC647792 EYX647792:EYY647792 FIT647792:FIU647792 FSP647792:FSQ647792 GCL647792:GCM647792 GMH647792:GMI647792 GWD647792:GWE647792 HFZ647792:HGA647792 HPV647792:HPW647792 HZR647792:HZS647792 IJN647792:IJO647792 ITJ647792:ITK647792 JDF647792:JDG647792 JNB647792:JNC647792 JWX647792:JWY647792 KGT647792:KGU647792 KQP647792:KQQ647792 LAL647792:LAM647792 LKH647792:LKI647792 LUD647792:LUE647792 MDZ647792:MEA647792 MNV647792:MNW647792 MXR647792:MXS647792 NHN647792:NHO647792 NRJ647792:NRK647792 OBF647792:OBG647792 OLB647792:OLC647792 OUX647792:OUY647792 PET647792:PEU647792 POP647792:POQ647792 PYL647792:PYM647792 QIH647792:QII647792 QSD647792:QSE647792 RBZ647792:RCA647792 RLV647792:RLW647792 RVR647792:RVS647792 SFN647792:SFO647792 SPJ647792:SPK647792 SZF647792:SZG647792 TJB647792:TJC647792 TSX647792:TSY647792 UCT647792:UCU647792 UMP647792:UMQ647792 UWL647792:UWM647792 VGH647792:VGI647792 VQD647792:VQE647792 VZZ647792:WAA647792 WJV647792:WJW647792 WTR647792:WTS647792 XDN647792:XDO647792 HF713328:HG713328 RB713328:RC713328 AAX713328:AAY713328 AKT713328:AKU713328 AUP713328:AUQ713328 BEL713328:BEM713328 BOH713328:BOI713328 BYD713328:BYE713328 CHZ713328:CIA713328 CRV713328:CRW713328 DBR713328:DBS713328 DLN713328:DLO713328 DVJ713328:DVK713328 EFF713328:EFG713328 EPB713328:EPC713328 EYX713328:EYY713328 FIT713328:FIU713328 FSP713328:FSQ713328 GCL713328:GCM713328 GMH713328:GMI713328 GWD713328:GWE713328 HFZ713328:HGA713328 HPV713328:HPW713328 HZR713328:HZS713328 IJN713328:IJO713328 ITJ713328:ITK713328 JDF713328:JDG713328 JNB713328:JNC713328 JWX713328:JWY713328 KGT713328:KGU713328 KQP713328:KQQ713328 LAL713328:LAM713328 LKH713328:LKI713328 LUD713328:LUE713328 MDZ713328:MEA713328 MNV713328:MNW713328 MXR713328:MXS713328 NHN713328:NHO713328 NRJ713328:NRK713328 OBF713328:OBG713328 OLB713328:OLC713328 OUX713328:OUY713328 PET713328:PEU713328 POP713328:POQ713328 PYL713328:PYM713328 QIH713328:QII713328 QSD713328:QSE713328 RBZ713328:RCA713328 RLV713328:RLW713328 RVR713328:RVS713328 SFN713328:SFO713328 SPJ713328:SPK713328 SZF713328:SZG713328 TJB713328:TJC713328 TSX713328:TSY713328 UCT713328:UCU713328 UMP713328:UMQ713328 UWL713328:UWM713328 VGH713328:VGI713328 VQD713328:VQE713328 VZZ713328:WAA713328 WJV713328:WJW713328 WTR713328:WTS713328 XDN713328:XDO713328 HF778864:HG778864 RB778864:RC778864 AAX778864:AAY778864 AKT778864:AKU778864 AUP778864:AUQ778864 BEL778864:BEM778864 BOH778864:BOI778864 BYD778864:BYE778864 CHZ778864:CIA778864 CRV778864:CRW778864 DBR778864:DBS778864 DLN778864:DLO778864 DVJ778864:DVK778864 EFF778864:EFG778864 EPB778864:EPC778864 EYX778864:EYY778864 FIT778864:FIU778864 FSP778864:FSQ778864 GCL778864:GCM778864 GMH778864:GMI778864 GWD778864:GWE778864 HFZ778864:HGA778864 HPV778864:HPW778864 HZR778864:HZS778864 IJN778864:IJO778864 ITJ778864:ITK778864 JDF778864:JDG778864 JNB778864:JNC778864 JWX778864:JWY778864 KGT778864:KGU778864 KQP778864:KQQ778864 LAL778864:LAM778864 LKH778864:LKI778864 LUD778864:LUE778864 MDZ778864:MEA778864 MNV778864:MNW778864 MXR778864:MXS778864 NHN778864:NHO778864 NRJ778864:NRK778864 OBF778864:OBG778864 OLB778864:OLC778864 OUX778864:OUY778864 PET778864:PEU778864 POP778864:POQ778864 PYL778864:PYM778864 QIH778864:QII778864 QSD778864:QSE778864 RBZ778864:RCA778864 RLV778864:RLW778864 RVR778864:RVS778864 SFN778864:SFO778864 SPJ778864:SPK778864 SZF778864:SZG778864 TJB778864:TJC778864 TSX778864:TSY778864 UCT778864:UCU778864 UMP778864:UMQ778864 UWL778864:UWM778864 VGH778864:VGI778864 VQD778864:VQE778864 VZZ778864:WAA778864 WJV778864:WJW778864 WTR778864:WTS778864 XDN778864:XDO778864 HF844400:HG844400 RB844400:RC844400 AAX844400:AAY844400 AKT844400:AKU844400 AUP844400:AUQ844400 BEL844400:BEM844400 BOH844400:BOI844400 BYD844400:BYE844400 CHZ844400:CIA844400 CRV844400:CRW844400 DBR844400:DBS844400 DLN844400:DLO844400 DVJ844400:DVK844400 EFF844400:EFG844400 EPB844400:EPC844400 EYX844400:EYY844400 FIT844400:FIU844400 FSP844400:FSQ844400 GCL844400:GCM844400 GMH844400:GMI844400 GWD844400:GWE844400 HFZ844400:HGA844400 HPV844400:HPW844400 HZR844400:HZS844400 IJN844400:IJO844400 ITJ844400:ITK844400 JDF844400:JDG844400 JNB844400:JNC844400 JWX844400:JWY844400 KGT844400:KGU844400 KQP844400:KQQ844400 LAL844400:LAM844400 LKH844400:LKI844400 LUD844400:LUE844400 MDZ844400:MEA844400 MNV844400:MNW844400 MXR844400:MXS844400 NHN844400:NHO844400 NRJ844400:NRK844400 OBF844400:OBG844400 OLB844400:OLC844400 OUX844400:OUY844400 PET844400:PEU844400 POP844400:POQ844400 PYL844400:PYM844400 QIH844400:QII844400 QSD844400:QSE844400 RBZ844400:RCA844400 RLV844400:RLW844400 RVR844400:RVS844400 SFN844400:SFO844400 SPJ844400:SPK844400 SZF844400:SZG844400 TJB844400:TJC844400 TSX844400:TSY844400 UCT844400:UCU844400 UMP844400:UMQ844400 UWL844400:UWM844400 VGH844400:VGI844400 VQD844400:VQE844400 VZZ844400:WAA844400 WJV844400:WJW844400 WTR844400:WTS844400 XDN844400:XDO844400 HF909936:HG909936 RB909936:RC909936 AAX909936:AAY909936 AKT909936:AKU909936 AUP909936:AUQ909936 BEL909936:BEM909936 BOH909936:BOI909936 BYD909936:BYE909936 CHZ909936:CIA909936 CRV909936:CRW909936 DBR909936:DBS909936 DLN909936:DLO909936 DVJ909936:DVK909936 EFF909936:EFG909936 EPB909936:EPC909936 EYX909936:EYY909936 FIT909936:FIU909936 FSP909936:FSQ909936 GCL909936:GCM909936 GMH909936:GMI909936 GWD909936:GWE909936 HFZ909936:HGA909936 HPV909936:HPW909936 HZR909936:HZS909936 IJN909936:IJO909936 ITJ909936:ITK909936 JDF909936:JDG909936 JNB909936:JNC909936 JWX909936:JWY909936 KGT909936:KGU909936 KQP909936:KQQ909936 LAL909936:LAM909936 LKH909936:LKI909936 LUD909936:LUE909936 MDZ909936:MEA909936 MNV909936:MNW909936 MXR909936:MXS909936 NHN909936:NHO909936 NRJ909936:NRK909936 OBF909936:OBG909936 OLB909936:OLC909936 OUX909936:OUY909936 PET909936:PEU909936 POP909936:POQ909936 PYL909936:PYM909936 QIH909936:QII909936 QSD909936:QSE909936 RBZ909936:RCA909936 RLV909936:RLW909936 RVR909936:RVS909936 SFN909936:SFO909936 SPJ909936:SPK909936 SZF909936:SZG909936 TJB909936:TJC909936 TSX909936:TSY909936 UCT909936:UCU909936 UMP909936:UMQ909936 UWL909936:UWM909936 VGH909936:VGI909936 VQD909936:VQE909936 VZZ909936:WAA909936 WJV909936:WJW909936 WTR909936:WTS909936 XDN909936:XDO909936 HF975472:HG975472 RB975472:RC975472 AAX975472:AAY975472 AKT975472:AKU975472 AUP975472:AUQ975472 BEL975472:BEM975472 BOH975472:BOI975472 BYD975472:BYE975472 CHZ975472:CIA975472 CRV975472:CRW975472 DBR975472:DBS975472 DLN975472:DLO975472 DVJ975472:DVK975472 EFF975472:EFG975472 EPB975472:EPC975472 EYX975472:EYY975472 FIT975472:FIU975472 FSP975472:FSQ975472 GCL975472:GCM975472 GMH975472:GMI975472 GWD975472:GWE975472 HFZ975472:HGA975472 HPV975472:HPW975472 HZR975472:HZS975472 IJN975472:IJO975472 ITJ975472:ITK975472 JDF975472:JDG975472 JNB975472:JNC975472 JWX975472:JWY975472 KGT975472:KGU975472 KQP975472:KQQ975472 LAL975472:LAM975472 LKH975472:LKI975472 LUD975472:LUE975472 MDZ975472:MEA975472 MNV975472:MNW975472 MXR975472:MXS975472 NHN975472:NHO975472 NRJ975472:NRK975472 OBF975472:OBG975472 OLB975472:OLC975472 OUX975472:OUY975472 PET975472:PEU975472 POP975472:POQ975472 PYL975472:PYM975472 QIH975472:QII975472 QSD975472:QSE975472 RBZ975472:RCA975472 RLV975472:RLW975472 RVR975472:RVS975472 SFN975472:SFO975472 SPJ975472:SPK975472 SZF975472:SZG975472 TJB975472:TJC975472 TSX975472:TSY975472 UCT975472:UCU975472 UMP975472:UMQ975472 UWL975472:UWM975472 VGH975472:VGI975472 VQD975472:VQE975472 VZZ975472:WAA975472 WJV975472:WJW975472 WTR975472:WTS975472 XDN975472:XDO975472 HF1041008:HG1041008 RB1041008:RC1041008 AAX1041008:AAY1041008 AKT1041008:AKU1041008 AUP1041008:AUQ1041008 BEL1041008:BEM1041008 BOH1041008:BOI1041008 BYD1041008:BYE1041008 CHZ1041008:CIA1041008 CRV1041008:CRW1041008 DBR1041008:DBS1041008 DLN1041008:DLO1041008 DVJ1041008:DVK1041008 EFF1041008:EFG1041008 EPB1041008:EPC1041008 EYX1041008:EYY1041008 FIT1041008:FIU1041008 FSP1041008:FSQ1041008 GCL1041008:GCM1041008 GMH1041008:GMI1041008 GWD1041008:GWE1041008 HFZ1041008:HGA1041008 HPV1041008:HPW1041008 HZR1041008:HZS1041008 IJN1041008:IJO1041008 ITJ1041008:ITK1041008 JDF1041008:JDG1041008 JNB1041008:JNC1041008 JWX1041008:JWY1041008 KGT1041008:KGU1041008 KQP1041008:KQQ1041008 LAL1041008:LAM1041008 LKH1041008:LKI1041008 LUD1041008:LUE1041008 MDZ1041008:MEA1041008 MNV1041008:MNW1041008 MXR1041008:MXS1041008 NHN1041008:NHO1041008 NRJ1041008:NRK1041008 OBF1041008:OBG1041008 OLB1041008:OLC1041008 OUX1041008:OUY1041008 PET1041008:PEU1041008 POP1041008:POQ1041008 PYL1041008:PYM1041008 QIH1041008:QII1041008 QSD1041008:QSE1041008 RBZ1041008:RCA1041008 RLV1041008:RLW1041008 RVR1041008:RVS1041008 SFN1041008:SFO1041008 SPJ1041008:SPK1041008 SZF1041008:SZG1041008 TJB1041008:TJC1041008 TSX1041008:TSY1041008 UCT1041008:UCU1041008 UMP1041008:UMQ1041008 UWL1041008:UWM1041008 VGH1041008:VGI1041008 VQD1041008:VQE1041008 VZZ1041008:WAA1041008 WJV1041008:WJW1041008 WTR1041008:WTS1041008 XDN1041008:XDO1041008" xr:uid="{3678DCA4-A7D9-4D77-9914-10E2559EB306}">
      <formula1>#REF!</formula1>
    </dataValidation>
  </dataValidations>
  <pageMargins left="0.7" right="0.7" top="0.75" bottom="0.75" header="0.3" footer="0.3"/>
  <pageSetup orientation="portrait" verticalDpi="0" r:id="rId1"/>
  <customProperties>
    <customPr name="PDRUploadSheet" r:id="rId2"/>
    <customPr name="UniqueWorksheetId" r:id="rId3"/>
  </customPropertie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35334-6577-44F1-B7B4-197A39D93AA5}">
  <dimension ref="A1:G197"/>
  <sheetViews>
    <sheetView workbookViewId="0">
      <selection activeCell="D19" sqref="D19"/>
    </sheetView>
  </sheetViews>
  <sheetFormatPr defaultColWidth="9.1796875" defaultRowHeight="14" outlineLevelCol="1"/>
  <cols>
    <col min="1" max="1" width="50.81640625" style="489" customWidth="1" outlineLevel="1"/>
    <col min="2" max="2" width="2.81640625" style="468" customWidth="1"/>
    <col min="3" max="3" width="20.453125" style="649" customWidth="1"/>
    <col min="4" max="4" width="12.54296875" style="649" customWidth="1"/>
    <col min="5" max="5" width="12.54296875" style="650" customWidth="1"/>
    <col min="6" max="6" width="20.26953125" style="650" bestFit="1" customWidth="1"/>
    <col min="7" max="7" width="20.26953125" style="650" customWidth="1"/>
    <col min="8" max="256" width="9.1796875" style="650"/>
    <col min="257" max="257" width="50.81640625" style="650" customWidth="1"/>
    <col min="258" max="258" width="2.81640625" style="650" customWidth="1"/>
    <col min="259" max="259" width="20.453125" style="650" customWidth="1"/>
    <col min="260" max="261" width="12.54296875" style="650" customWidth="1"/>
    <col min="262" max="262" width="20.26953125" style="650" bestFit="1" customWidth="1"/>
    <col min="263" max="263" width="20.26953125" style="650" customWidth="1"/>
    <col min="264" max="512" width="9.1796875" style="650"/>
    <col min="513" max="513" width="50.81640625" style="650" customWidth="1"/>
    <col min="514" max="514" width="2.81640625" style="650" customWidth="1"/>
    <col min="515" max="515" width="20.453125" style="650" customWidth="1"/>
    <col min="516" max="517" width="12.54296875" style="650" customWidth="1"/>
    <col min="518" max="518" width="20.26953125" style="650" bestFit="1" customWidth="1"/>
    <col min="519" max="519" width="20.26953125" style="650" customWidth="1"/>
    <col min="520" max="768" width="9.1796875" style="650"/>
    <col min="769" max="769" width="50.81640625" style="650" customWidth="1"/>
    <col min="770" max="770" width="2.81640625" style="650" customWidth="1"/>
    <col min="771" max="771" width="20.453125" style="650" customWidth="1"/>
    <col min="772" max="773" width="12.54296875" style="650" customWidth="1"/>
    <col min="774" max="774" width="20.26953125" style="650" bestFit="1" customWidth="1"/>
    <col min="775" max="775" width="20.26953125" style="650" customWidth="1"/>
    <col min="776" max="1024" width="9.1796875" style="650"/>
    <col min="1025" max="1025" width="50.81640625" style="650" customWidth="1"/>
    <col min="1026" max="1026" width="2.81640625" style="650" customWidth="1"/>
    <col min="1027" max="1027" width="20.453125" style="650" customWidth="1"/>
    <col min="1028" max="1029" width="12.54296875" style="650" customWidth="1"/>
    <col min="1030" max="1030" width="20.26953125" style="650" bestFit="1" customWidth="1"/>
    <col min="1031" max="1031" width="20.26953125" style="650" customWidth="1"/>
    <col min="1032" max="1280" width="9.1796875" style="650"/>
    <col min="1281" max="1281" width="50.81640625" style="650" customWidth="1"/>
    <col min="1282" max="1282" width="2.81640625" style="650" customWidth="1"/>
    <col min="1283" max="1283" width="20.453125" style="650" customWidth="1"/>
    <col min="1284" max="1285" width="12.54296875" style="650" customWidth="1"/>
    <col min="1286" max="1286" width="20.26953125" style="650" bestFit="1" customWidth="1"/>
    <col min="1287" max="1287" width="20.26953125" style="650" customWidth="1"/>
    <col min="1288" max="1536" width="9.1796875" style="650"/>
    <col min="1537" max="1537" width="50.81640625" style="650" customWidth="1"/>
    <col min="1538" max="1538" width="2.81640625" style="650" customWidth="1"/>
    <col min="1539" max="1539" width="20.453125" style="650" customWidth="1"/>
    <col min="1540" max="1541" width="12.54296875" style="650" customWidth="1"/>
    <col min="1542" max="1542" width="20.26953125" style="650" bestFit="1" customWidth="1"/>
    <col min="1543" max="1543" width="20.26953125" style="650" customWidth="1"/>
    <col min="1544" max="1792" width="9.1796875" style="650"/>
    <col min="1793" max="1793" width="50.81640625" style="650" customWidth="1"/>
    <col min="1794" max="1794" width="2.81640625" style="650" customWidth="1"/>
    <col min="1795" max="1795" width="20.453125" style="650" customWidth="1"/>
    <col min="1796" max="1797" width="12.54296875" style="650" customWidth="1"/>
    <col min="1798" max="1798" width="20.26953125" style="650" bestFit="1" customWidth="1"/>
    <col min="1799" max="1799" width="20.26953125" style="650" customWidth="1"/>
    <col min="1800" max="2048" width="9.1796875" style="650"/>
    <col min="2049" max="2049" width="50.81640625" style="650" customWidth="1"/>
    <col min="2050" max="2050" width="2.81640625" style="650" customWidth="1"/>
    <col min="2051" max="2051" width="20.453125" style="650" customWidth="1"/>
    <col min="2052" max="2053" width="12.54296875" style="650" customWidth="1"/>
    <col min="2054" max="2054" width="20.26953125" style="650" bestFit="1" customWidth="1"/>
    <col min="2055" max="2055" width="20.26953125" style="650" customWidth="1"/>
    <col min="2056" max="2304" width="9.1796875" style="650"/>
    <col min="2305" max="2305" width="50.81640625" style="650" customWidth="1"/>
    <col min="2306" max="2306" width="2.81640625" style="650" customWidth="1"/>
    <col min="2307" max="2307" width="20.453125" style="650" customWidth="1"/>
    <col min="2308" max="2309" width="12.54296875" style="650" customWidth="1"/>
    <col min="2310" max="2310" width="20.26953125" style="650" bestFit="1" customWidth="1"/>
    <col min="2311" max="2311" width="20.26953125" style="650" customWidth="1"/>
    <col min="2312" max="2560" width="9.1796875" style="650"/>
    <col min="2561" max="2561" width="50.81640625" style="650" customWidth="1"/>
    <col min="2562" max="2562" width="2.81640625" style="650" customWidth="1"/>
    <col min="2563" max="2563" width="20.453125" style="650" customWidth="1"/>
    <col min="2564" max="2565" width="12.54296875" style="650" customWidth="1"/>
    <col min="2566" max="2566" width="20.26953125" style="650" bestFit="1" customWidth="1"/>
    <col min="2567" max="2567" width="20.26953125" style="650" customWidth="1"/>
    <col min="2568" max="2816" width="9.1796875" style="650"/>
    <col min="2817" max="2817" width="50.81640625" style="650" customWidth="1"/>
    <col min="2818" max="2818" width="2.81640625" style="650" customWidth="1"/>
    <col min="2819" max="2819" width="20.453125" style="650" customWidth="1"/>
    <col min="2820" max="2821" width="12.54296875" style="650" customWidth="1"/>
    <col min="2822" max="2822" width="20.26953125" style="650" bestFit="1" customWidth="1"/>
    <col min="2823" max="2823" width="20.26953125" style="650" customWidth="1"/>
    <col min="2824" max="3072" width="9.1796875" style="650"/>
    <col min="3073" max="3073" width="50.81640625" style="650" customWidth="1"/>
    <col min="3074" max="3074" width="2.81640625" style="650" customWidth="1"/>
    <col min="3075" max="3075" width="20.453125" style="650" customWidth="1"/>
    <col min="3076" max="3077" width="12.54296875" style="650" customWidth="1"/>
    <col min="3078" max="3078" width="20.26953125" style="650" bestFit="1" customWidth="1"/>
    <col min="3079" max="3079" width="20.26953125" style="650" customWidth="1"/>
    <col min="3080" max="3328" width="9.1796875" style="650"/>
    <col min="3329" max="3329" width="50.81640625" style="650" customWidth="1"/>
    <col min="3330" max="3330" width="2.81640625" style="650" customWidth="1"/>
    <col min="3331" max="3331" width="20.453125" style="650" customWidth="1"/>
    <col min="3332" max="3333" width="12.54296875" style="650" customWidth="1"/>
    <col min="3334" max="3334" width="20.26953125" style="650" bestFit="1" customWidth="1"/>
    <col min="3335" max="3335" width="20.26953125" style="650" customWidth="1"/>
    <col min="3336" max="3584" width="9.1796875" style="650"/>
    <col min="3585" max="3585" width="50.81640625" style="650" customWidth="1"/>
    <col min="3586" max="3586" width="2.81640625" style="650" customWidth="1"/>
    <col min="3587" max="3587" width="20.453125" style="650" customWidth="1"/>
    <col min="3588" max="3589" width="12.54296875" style="650" customWidth="1"/>
    <col min="3590" max="3590" width="20.26953125" style="650" bestFit="1" customWidth="1"/>
    <col min="3591" max="3591" width="20.26953125" style="650" customWidth="1"/>
    <col min="3592" max="3840" width="9.1796875" style="650"/>
    <col min="3841" max="3841" width="50.81640625" style="650" customWidth="1"/>
    <col min="3842" max="3842" width="2.81640625" style="650" customWidth="1"/>
    <col min="3843" max="3843" width="20.453125" style="650" customWidth="1"/>
    <col min="3844" max="3845" width="12.54296875" style="650" customWidth="1"/>
    <col min="3846" max="3846" width="20.26953125" style="650" bestFit="1" customWidth="1"/>
    <col min="3847" max="3847" width="20.26953125" style="650" customWidth="1"/>
    <col min="3848" max="4096" width="9.1796875" style="650"/>
    <col min="4097" max="4097" width="50.81640625" style="650" customWidth="1"/>
    <col min="4098" max="4098" width="2.81640625" style="650" customWidth="1"/>
    <col min="4099" max="4099" width="20.453125" style="650" customWidth="1"/>
    <col min="4100" max="4101" width="12.54296875" style="650" customWidth="1"/>
    <col min="4102" max="4102" width="20.26953125" style="650" bestFit="1" customWidth="1"/>
    <col min="4103" max="4103" width="20.26953125" style="650" customWidth="1"/>
    <col min="4104" max="4352" width="9.1796875" style="650"/>
    <col min="4353" max="4353" width="50.81640625" style="650" customWidth="1"/>
    <col min="4354" max="4354" width="2.81640625" style="650" customWidth="1"/>
    <col min="4355" max="4355" width="20.453125" style="650" customWidth="1"/>
    <col min="4356" max="4357" width="12.54296875" style="650" customWidth="1"/>
    <col min="4358" max="4358" width="20.26953125" style="650" bestFit="1" customWidth="1"/>
    <col min="4359" max="4359" width="20.26953125" style="650" customWidth="1"/>
    <col min="4360" max="4608" width="9.1796875" style="650"/>
    <col min="4609" max="4609" width="50.81640625" style="650" customWidth="1"/>
    <col min="4610" max="4610" width="2.81640625" style="650" customWidth="1"/>
    <col min="4611" max="4611" width="20.453125" style="650" customWidth="1"/>
    <col min="4612" max="4613" width="12.54296875" style="650" customWidth="1"/>
    <col min="4614" max="4614" width="20.26953125" style="650" bestFit="1" customWidth="1"/>
    <col min="4615" max="4615" width="20.26953125" style="650" customWidth="1"/>
    <col min="4616" max="4864" width="9.1796875" style="650"/>
    <col min="4865" max="4865" width="50.81640625" style="650" customWidth="1"/>
    <col min="4866" max="4866" width="2.81640625" style="650" customWidth="1"/>
    <col min="4867" max="4867" width="20.453125" style="650" customWidth="1"/>
    <col min="4868" max="4869" width="12.54296875" style="650" customWidth="1"/>
    <col min="4870" max="4870" width="20.26953125" style="650" bestFit="1" customWidth="1"/>
    <col min="4871" max="4871" width="20.26953125" style="650" customWidth="1"/>
    <col min="4872" max="5120" width="9.1796875" style="650"/>
    <col min="5121" max="5121" width="50.81640625" style="650" customWidth="1"/>
    <col min="5122" max="5122" width="2.81640625" style="650" customWidth="1"/>
    <col min="5123" max="5123" width="20.453125" style="650" customWidth="1"/>
    <col min="5124" max="5125" width="12.54296875" style="650" customWidth="1"/>
    <col min="5126" max="5126" width="20.26953125" style="650" bestFit="1" customWidth="1"/>
    <col min="5127" max="5127" width="20.26953125" style="650" customWidth="1"/>
    <col min="5128" max="5376" width="9.1796875" style="650"/>
    <col min="5377" max="5377" width="50.81640625" style="650" customWidth="1"/>
    <col min="5378" max="5378" width="2.81640625" style="650" customWidth="1"/>
    <col min="5379" max="5379" width="20.453125" style="650" customWidth="1"/>
    <col min="5380" max="5381" width="12.54296875" style="650" customWidth="1"/>
    <col min="5382" max="5382" width="20.26953125" style="650" bestFit="1" customWidth="1"/>
    <col min="5383" max="5383" width="20.26953125" style="650" customWidth="1"/>
    <col min="5384" max="5632" width="9.1796875" style="650"/>
    <col min="5633" max="5633" width="50.81640625" style="650" customWidth="1"/>
    <col min="5634" max="5634" width="2.81640625" style="650" customWidth="1"/>
    <col min="5635" max="5635" width="20.453125" style="650" customWidth="1"/>
    <col min="5636" max="5637" width="12.54296875" style="650" customWidth="1"/>
    <col min="5638" max="5638" width="20.26953125" style="650" bestFit="1" customWidth="1"/>
    <col min="5639" max="5639" width="20.26953125" style="650" customWidth="1"/>
    <col min="5640" max="5888" width="9.1796875" style="650"/>
    <col min="5889" max="5889" width="50.81640625" style="650" customWidth="1"/>
    <col min="5890" max="5890" width="2.81640625" style="650" customWidth="1"/>
    <col min="5891" max="5891" width="20.453125" style="650" customWidth="1"/>
    <col min="5892" max="5893" width="12.54296875" style="650" customWidth="1"/>
    <col min="5894" max="5894" width="20.26953125" style="650" bestFit="1" customWidth="1"/>
    <col min="5895" max="5895" width="20.26953125" style="650" customWidth="1"/>
    <col min="5896" max="6144" width="9.1796875" style="650"/>
    <col min="6145" max="6145" width="50.81640625" style="650" customWidth="1"/>
    <col min="6146" max="6146" width="2.81640625" style="650" customWidth="1"/>
    <col min="6147" max="6147" width="20.453125" style="650" customWidth="1"/>
    <col min="6148" max="6149" width="12.54296875" style="650" customWidth="1"/>
    <col min="6150" max="6150" width="20.26953125" style="650" bestFit="1" customWidth="1"/>
    <col min="6151" max="6151" width="20.26953125" style="650" customWidth="1"/>
    <col min="6152" max="6400" width="9.1796875" style="650"/>
    <col min="6401" max="6401" width="50.81640625" style="650" customWidth="1"/>
    <col min="6402" max="6402" width="2.81640625" style="650" customWidth="1"/>
    <col min="6403" max="6403" width="20.453125" style="650" customWidth="1"/>
    <col min="6404" max="6405" width="12.54296875" style="650" customWidth="1"/>
    <col min="6406" max="6406" width="20.26953125" style="650" bestFit="1" customWidth="1"/>
    <col min="6407" max="6407" width="20.26953125" style="650" customWidth="1"/>
    <col min="6408" max="6656" width="9.1796875" style="650"/>
    <col min="6657" max="6657" width="50.81640625" style="650" customWidth="1"/>
    <col min="6658" max="6658" width="2.81640625" style="650" customWidth="1"/>
    <col min="6659" max="6659" width="20.453125" style="650" customWidth="1"/>
    <col min="6660" max="6661" width="12.54296875" style="650" customWidth="1"/>
    <col min="6662" max="6662" width="20.26953125" style="650" bestFit="1" customWidth="1"/>
    <col min="6663" max="6663" width="20.26953125" style="650" customWidth="1"/>
    <col min="6664" max="6912" width="9.1796875" style="650"/>
    <col min="6913" max="6913" width="50.81640625" style="650" customWidth="1"/>
    <col min="6914" max="6914" width="2.81640625" style="650" customWidth="1"/>
    <col min="6915" max="6915" width="20.453125" style="650" customWidth="1"/>
    <col min="6916" max="6917" width="12.54296875" style="650" customWidth="1"/>
    <col min="6918" max="6918" width="20.26953125" style="650" bestFit="1" customWidth="1"/>
    <col min="6919" max="6919" width="20.26953125" style="650" customWidth="1"/>
    <col min="6920" max="7168" width="9.1796875" style="650"/>
    <col min="7169" max="7169" width="50.81640625" style="650" customWidth="1"/>
    <col min="7170" max="7170" width="2.81640625" style="650" customWidth="1"/>
    <col min="7171" max="7171" width="20.453125" style="650" customWidth="1"/>
    <col min="7172" max="7173" width="12.54296875" style="650" customWidth="1"/>
    <col min="7174" max="7174" width="20.26953125" style="650" bestFit="1" customWidth="1"/>
    <col min="7175" max="7175" width="20.26953125" style="650" customWidth="1"/>
    <col min="7176" max="7424" width="9.1796875" style="650"/>
    <col min="7425" max="7425" width="50.81640625" style="650" customWidth="1"/>
    <col min="7426" max="7426" width="2.81640625" style="650" customWidth="1"/>
    <col min="7427" max="7427" width="20.453125" style="650" customWidth="1"/>
    <col min="7428" max="7429" width="12.54296875" style="650" customWidth="1"/>
    <col min="7430" max="7430" width="20.26953125" style="650" bestFit="1" customWidth="1"/>
    <col min="7431" max="7431" width="20.26953125" style="650" customWidth="1"/>
    <col min="7432" max="7680" width="9.1796875" style="650"/>
    <col min="7681" max="7681" width="50.81640625" style="650" customWidth="1"/>
    <col min="7682" max="7682" width="2.81640625" style="650" customWidth="1"/>
    <col min="7683" max="7683" width="20.453125" style="650" customWidth="1"/>
    <col min="7684" max="7685" width="12.54296875" style="650" customWidth="1"/>
    <col min="7686" max="7686" width="20.26953125" style="650" bestFit="1" customWidth="1"/>
    <col min="7687" max="7687" width="20.26953125" style="650" customWidth="1"/>
    <col min="7688" max="7936" width="9.1796875" style="650"/>
    <col min="7937" max="7937" width="50.81640625" style="650" customWidth="1"/>
    <col min="7938" max="7938" width="2.81640625" style="650" customWidth="1"/>
    <col min="7939" max="7939" width="20.453125" style="650" customWidth="1"/>
    <col min="7940" max="7941" width="12.54296875" style="650" customWidth="1"/>
    <col min="7942" max="7942" width="20.26953125" style="650" bestFit="1" customWidth="1"/>
    <col min="7943" max="7943" width="20.26953125" style="650" customWidth="1"/>
    <col min="7944" max="8192" width="9.1796875" style="650"/>
    <col min="8193" max="8193" width="50.81640625" style="650" customWidth="1"/>
    <col min="8194" max="8194" width="2.81640625" style="650" customWidth="1"/>
    <col min="8195" max="8195" width="20.453125" style="650" customWidth="1"/>
    <col min="8196" max="8197" width="12.54296875" style="650" customWidth="1"/>
    <col min="8198" max="8198" width="20.26953125" style="650" bestFit="1" customWidth="1"/>
    <col min="8199" max="8199" width="20.26953125" style="650" customWidth="1"/>
    <col min="8200" max="8448" width="9.1796875" style="650"/>
    <col min="8449" max="8449" width="50.81640625" style="650" customWidth="1"/>
    <col min="8450" max="8450" width="2.81640625" style="650" customWidth="1"/>
    <col min="8451" max="8451" width="20.453125" style="650" customWidth="1"/>
    <col min="8452" max="8453" width="12.54296875" style="650" customWidth="1"/>
    <col min="8454" max="8454" width="20.26953125" style="650" bestFit="1" customWidth="1"/>
    <col min="8455" max="8455" width="20.26953125" style="650" customWidth="1"/>
    <col min="8456" max="8704" width="9.1796875" style="650"/>
    <col min="8705" max="8705" width="50.81640625" style="650" customWidth="1"/>
    <col min="8706" max="8706" width="2.81640625" style="650" customWidth="1"/>
    <col min="8707" max="8707" width="20.453125" style="650" customWidth="1"/>
    <col min="8708" max="8709" width="12.54296875" style="650" customWidth="1"/>
    <col min="8710" max="8710" width="20.26953125" style="650" bestFit="1" customWidth="1"/>
    <col min="8711" max="8711" width="20.26953125" style="650" customWidth="1"/>
    <col min="8712" max="8960" width="9.1796875" style="650"/>
    <col min="8961" max="8961" width="50.81640625" style="650" customWidth="1"/>
    <col min="8962" max="8962" width="2.81640625" style="650" customWidth="1"/>
    <col min="8963" max="8963" width="20.453125" style="650" customWidth="1"/>
    <col min="8964" max="8965" width="12.54296875" style="650" customWidth="1"/>
    <col min="8966" max="8966" width="20.26953125" style="650" bestFit="1" customWidth="1"/>
    <col min="8967" max="8967" width="20.26953125" style="650" customWidth="1"/>
    <col min="8968" max="9216" width="9.1796875" style="650"/>
    <col min="9217" max="9217" width="50.81640625" style="650" customWidth="1"/>
    <col min="9218" max="9218" width="2.81640625" style="650" customWidth="1"/>
    <col min="9219" max="9219" width="20.453125" style="650" customWidth="1"/>
    <col min="9220" max="9221" width="12.54296875" style="650" customWidth="1"/>
    <col min="9222" max="9222" width="20.26953125" style="650" bestFit="1" customWidth="1"/>
    <col min="9223" max="9223" width="20.26953125" style="650" customWidth="1"/>
    <col min="9224" max="9472" width="9.1796875" style="650"/>
    <col min="9473" max="9473" width="50.81640625" style="650" customWidth="1"/>
    <col min="9474" max="9474" width="2.81640625" style="650" customWidth="1"/>
    <col min="9475" max="9475" width="20.453125" style="650" customWidth="1"/>
    <col min="9476" max="9477" width="12.54296875" style="650" customWidth="1"/>
    <col min="9478" max="9478" width="20.26953125" style="650" bestFit="1" customWidth="1"/>
    <col min="9479" max="9479" width="20.26953125" style="650" customWidth="1"/>
    <col min="9480" max="9728" width="9.1796875" style="650"/>
    <col min="9729" max="9729" width="50.81640625" style="650" customWidth="1"/>
    <col min="9730" max="9730" width="2.81640625" style="650" customWidth="1"/>
    <col min="9731" max="9731" width="20.453125" style="650" customWidth="1"/>
    <col min="9732" max="9733" width="12.54296875" style="650" customWidth="1"/>
    <col min="9734" max="9734" width="20.26953125" style="650" bestFit="1" customWidth="1"/>
    <col min="9735" max="9735" width="20.26953125" style="650" customWidth="1"/>
    <col min="9736" max="9984" width="9.1796875" style="650"/>
    <col min="9985" max="9985" width="50.81640625" style="650" customWidth="1"/>
    <col min="9986" max="9986" width="2.81640625" style="650" customWidth="1"/>
    <col min="9987" max="9987" width="20.453125" style="650" customWidth="1"/>
    <col min="9988" max="9989" width="12.54296875" style="650" customWidth="1"/>
    <col min="9990" max="9990" width="20.26953125" style="650" bestFit="1" customWidth="1"/>
    <col min="9991" max="9991" width="20.26953125" style="650" customWidth="1"/>
    <col min="9992" max="10240" width="9.1796875" style="650"/>
    <col min="10241" max="10241" width="50.81640625" style="650" customWidth="1"/>
    <col min="10242" max="10242" width="2.81640625" style="650" customWidth="1"/>
    <col min="10243" max="10243" width="20.453125" style="650" customWidth="1"/>
    <col min="10244" max="10245" width="12.54296875" style="650" customWidth="1"/>
    <col min="10246" max="10246" width="20.26953125" style="650" bestFit="1" customWidth="1"/>
    <col min="10247" max="10247" width="20.26953125" style="650" customWidth="1"/>
    <col min="10248" max="10496" width="9.1796875" style="650"/>
    <col min="10497" max="10497" width="50.81640625" style="650" customWidth="1"/>
    <col min="10498" max="10498" width="2.81640625" style="650" customWidth="1"/>
    <col min="10499" max="10499" width="20.453125" style="650" customWidth="1"/>
    <col min="10500" max="10501" width="12.54296875" style="650" customWidth="1"/>
    <col min="10502" max="10502" width="20.26953125" style="650" bestFit="1" customWidth="1"/>
    <col min="10503" max="10503" width="20.26953125" style="650" customWidth="1"/>
    <col min="10504" max="10752" width="9.1796875" style="650"/>
    <col min="10753" max="10753" width="50.81640625" style="650" customWidth="1"/>
    <col min="10754" max="10754" width="2.81640625" style="650" customWidth="1"/>
    <col min="10755" max="10755" width="20.453125" style="650" customWidth="1"/>
    <col min="10756" max="10757" width="12.54296875" style="650" customWidth="1"/>
    <col min="10758" max="10758" width="20.26953125" style="650" bestFit="1" customWidth="1"/>
    <col min="10759" max="10759" width="20.26953125" style="650" customWidth="1"/>
    <col min="10760" max="11008" width="9.1796875" style="650"/>
    <col min="11009" max="11009" width="50.81640625" style="650" customWidth="1"/>
    <col min="11010" max="11010" width="2.81640625" style="650" customWidth="1"/>
    <col min="11011" max="11011" width="20.453125" style="650" customWidth="1"/>
    <col min="11012" max="11013" width="12.54296875" style="650" customWidth="1"/>
    <col min="11014" max="11014" width="20.26953125" style="650" bestFit="1" customWidth="1"/>
    <col min="11015" max="11015" width="20.26953125" style="650" customWidth="1"/>
    <col min="11016" max="11264" width="9.1796875" style="650"/>
    <col min="11265" max="11265" width="50.81640625" style="650" customWidth="1"/>
    <col min="11266" max="11266" width="2.81640625" style="650" customWidth="1"/>
    <col min="11267" max="11267" width="20.453125" style="650" customWidth="1"/>
    <col min="11268" max="11269" width="12.54296875" style="650" customWidth="1"/>
    <col min="11270" max="11270" width="20.26953125" style="650" bestFit="1" customWidth="1"/>
    <col min="11271" max="11271" width="20.26953125" style="650" customWidth="1"/>
    <col min="11272" max="11520" width="9.1796875" style="650"/>
    <col min="11521" max="11521" width="50.81640625" style="650" customWidth="1"/>
    <col min="11522" max="11522" width="2.81640625" style="650" customWidth="1"/>
    <col min="11523" max="11523" width="20.453125" style="650" customWidth="1"/>
    <col min="11524" max="11525" width="12.54296875" style="650" customWidth="1"/>
    <col min="11526" max="11526" width="20.26953125" style="650" bestFit="1" customWidth="1"/>
    <col min="11527" max="11527" width="20.26953125" style="650" customWidth="1"/>
    <col min="11528" max="11776" width="9.1796875" style="650"/>
    <col min="11777" max="11777" width="50.81640625" style="650" customWidth="1"/>
    <col min="11778" max="11778" width="2.81640625" style="650" customWidth="1"/>
    <col min="11779" max="11779" width="20.453125" style="650" customWidth="1"/>
    <col min="11780" max="11781" width="12.54296875" style="650" customWidth="1"/>
    <col min="11782" max="11782" width="20.26953125" style="650" bestFit="1" customWidth="1"/>
    <col min="11783" max="11783" width="20.26953125" style="650" customWidth="1"/>
    <col min="11784" max="12032" width="9.1796875" style="650"/>
    <col min="12033" max="12033" width="50.81640625" style="650" customWidth="1"/>
    <col min="12034" max="12034" width="2.81640625" style="650" customWidth="1"/>
    <col min="12035" max="12035" width="20.453125" style="650" customWidth="1"/>
    <col min="12036" max="12037" width="12.54296875" style="650" customWidth="1"/>
    <col min="12038" max="12038" width="20.26953125" style="650" bestFit="1" customWidth="1"/>
    <col min="12039" max="12039" width="20.26953125" style="650" customWidth="1"/>
    <col min="12040" max="12288" width="9.1796875" style="650"/>
    <col min="12289" max="12289" width="50.81640625" style="650" customWidth="1"/>
    <col min="12290" max="12290" width="2.81640625" style="650" customWidth="1"/>
    <col min="12291" max="12291" width="20.453125" style="650" customWidth="1"/>
    <col min="12292" max="12293" width="12.54296875" style="650" customWidth="1"/>
    <col min="12294" max="12294" width="20.26953125" style="650" bestFit="1" customWidth="1"/>
    <col min="12295" max="12295" width="20.26953125" style="650" customWidth="1"/>
    <col min="12296" max="12544" width="9.1796875" style="650"/>
    <col min="12545" max="12545" width="50.81640625" style="650" customWidth="1"/>
    <col min="12546" max="12546" width="2.81640625" style="650" customWidth="1"/>
    <col min="12547" max="12547" width="20.453125" style="650" customWidth="1"/>
    <col min="12548" max="12549" width="12.54296875" style="650" customWidth="1"/>
    <col min="12550" max="12550" width="20.26953125" style="650" bestFit="1" customWidth="1"/>
    <col min="12551" max="12551" width="20.26953125" style="650" customWidth="1"/>
    <col min="12552" max="12800" width="9.1796875" style="650"/>
    <col min="12801" max="12801" width="50.81640625" style="650" customWidth="1"/>
    <col min="12802" max="12802" width="2.81640625" style="650" customWidth="1"/>
    <col min="12803" max="12803" width="20.453125" style="650" customWidth="1"/>
    <col min="12804" max="12805" width="12.54296875" style="650" customWidth="1"/>
    <col min="12806" max="12806" width="20.26953125" style="650" bestFit="1" customWidth="1"/>
    <col min="12807" max="12807" width="20.26953125" style="650" customWidth="1"/>
    <col min="12808" max="13056" width="9.1796875" style="650"/>
    <col min="13057" max="13057" width="50.81640625" style="650" customWidth="1"/>
    <col min="13058" max="13058" width="2.81640625" style="650" customWidth="1"/>
    <col min="13059" max="13059" width="20.453125" style="650" customWidth="1"/>
    <col min="13060" max="13061" width="12.54296875" style="650" customWidth="1"/>
    <col min="13062" max="13062" width="20.26953125" style="650" bestFit="1" customWidth="1"/>
    <col min="13063" max="13063" width="20.26953125" style="650" customWidth="1"/>
    <col min="13064" max="13312" width="9.1796875" style="650"/>
    <col min="13313" max="13313" width="50.81640625" style="650" customWidth="1"/>
    <col min="13314" max="13314" width="2.81640625" style="650" customWidth="1"/>
    <col min="13315" max="13315" width="20.453125" style="650" customWidth="1"/>
    <col min="13316" max="13317" width="12.54296875" style="650" customWidth="1"/>
    <col min="13318" max="13318" width="20.26953125" style="650" bestFit="1" customWidth="1"/>
    <col min="13319" max="13319" width="20.26953125" style="650" customWidth="1"/>
    <col min="13320" max="13568" width="9.1796875" style="650"/>
    <col min="13569" max="13569" width="50.81640625" style="650" customWidth="1"/>
    <col min="13570" max="13570" width="2.81640625" style="650" customWidth="1"/>
    <col min="13571" max="13571" width="20.453125" style="650" customWidth="1"/>
    <col min="13572" max="13573" width="12.54296875" style="650" customWidth="1"/>
    <col min="13574" max="13574" width="20.26953125" style="650" bestFit="1" customWidth="1"/>
    <col min="13575" max="13575" width="20.26953125" style="650" customWidth="1"/>
    <col min="13576" max="13824" width="9.1796875" style="650"/>
    <col min="13825" max="13825" width="50.81640625" style="650" customWidth="1"/>
    <col min="13826" max="13826" width="2.81640625" style="650" customWidth="1"/>
    <col min="13827" max="13827" width="20.453125" style="650" customWidth="1"/>
    <col min="13828" max="13829" width="12.54296875" style="650" customWidth="1"/>
    <col min="13830" max="13830" width="20.26953125" style="650" bestFit="1" customWidth="1"/>
    <col min="13831" max="13831" width="20.26953125" style="650" customWidth="1"/>
    <col min="13832" max="14080" width="9.1796875" style="650"/>
    <col min="14081" max="14081" width="50.81640625" style="650" customWidth="1"/>
    <col min="14082" max="14082" width="2.81640625" style="650" customWidth="1"/>
    <col min="14083" max="14083" width="20.453125" style="650" customWidth="1"/>
    <col min="14084" max="14085" width="12.54296875" style="650" customWidth="1"/>
    <col min="14086" max="14086" width="20.26953125" style="650" bestFit="1" customWidth="1"/>
    <col min="14087" max="14087" width="20.26953125" style="650" customWidth="1"/>
    <col min="14088" max="14336" width="9.1796875" style="650"/>
    <col min="14337" max="14337" width="50.81640625" style="650" customWidth="1"/>
    <col min="14338" max="14338" width="2.81640625" style="650" customWidth="1"/>
    <col min="14339" max="14339" width="20.453125" style="650" customWidth="1"/>
    <col min="14340" max="14341" width="12.54296875" style="650" customWidth="1"/>
    <col min="14342" max="14342" width="20.26953125" style="650" bestFit="1" customWidth="1"/>
    <col min="14343" max="14343" width="20.26953125" style="650" customWidth="1"/>
    <col min="14344" max="14592" width="9.1796875" style="650"/>
    <col min="14593" max="14593" width="50.81640625" style="650" customWidth="1"/>
    <col min="14594" max="14594" width="2.81640625" style="650" customWidth="1"/>
    <col min="14595" max="14595" width="20.453125" style="650" customWidth="1"/>
    <col min="14596" max="14597" width="12.54296875" style="650" customWidth="1"/>
    <col min="14598" max="14598" width="20.26953125" style="650" bestFit="1" customWidth="1"/>
    <col min="14599" max="14599" width="20.26953125" style="650" customWidth="1"/>
    <col min="14600" max="14848" width="9.1796875" style="650"/>
    <col min="14849" max="14849" width="50.81640625" style="650" customWidth="1"/>
    <col min="14850" max="14850" width="2.81640625" style="650" customWidth="1"/>
    <col min="14851" max="14851" width="20.453125" style="650" customWidth="1"/>
    <col min="14852" max="14853" width="12.54296875" style="650" customWidth="1"/>
    <col min="14854" max="14854" width="20.26953125" style="650" bestFit="1" customWidth="1"/>
    <col min="14855" max="14855" width="20.26953125" style="650" customWidth="1"/>
    <col min="14856" max="15104" width="9.1796875" style="650"/>
    <col min="15105" max="15105" width="50.81640625" style="650" customWidth="1"/>
    <col min="15106" max="15106" width="2.81640625" style="650" customWidth="1"/>
    <col min="15107" max="15107" width="20.453125" style="650" customWidth="1"/>
    <col min="15108" max="15109" width="12.54296875" style="650" customWidth="1"/>
    <col min="15110" max="15110" width="20.26953125" style="650" bestFit="1" customWidth="1"/>
    <col min="15111" max="15111" width="20.26953125" style="650" customWidth="1"/>
    <col min="15112" max="15360" width="9.1796875" style="650"/>
    <col min="15361" max="15361" width="50.81640625" style="650" customWidth="1"/>
    <col min="15362" max="15362" width="2.81640625" style="650" customWidth="1"/>
    <col min="15363" max="15363" width="20.453125" style="650" customWidth="1"/>
    <col min="15364" max="15365" width="12.54296875" style="650" customWidth="1"/>
    <col min="15366" max="15366" width="20.26953125" style="650" bestFit="1" customWidth="1"/>
    <col min="15367" max="15367" width="20.26953125" style="650" customWidth="1"/>
    <col min="15368" max="15616" width="9.1796875" style="650"/>
    <col min="15617" max="15617" width="50.81640625" style="650" customWidth="1"/>
    <col min="15618" max="15618" width="2.81640625" style="650" customWidth="1"/>
    <col min="15619" max="15619" width="20.453125" style="650" customWidth="1"/>
    <col min="15620" max="15621" width="12.54296875" style="650" customWidth="1"/>
    <col min="15622" max="15622" width="20.26953125" style="650" bestFit="1" customWidth="1"/>
    <col min="15623" max="15623" width="20.26953125" style="650" customWidth="1"/>
    <col min="15624" max="15872" width="9.1796875" style="650"/>
    <col min="15873" max="15873" width="50.81640625" style="650" customWidth="1"/>
    <col min="15874" max="15874" width="2.81640625" style="650" customWidth="1"/>
    <col min="15875" max="15875" width="20.453125" style="650" customWidth="1"/>
    <col min="15876" max="15877" width="12.54296875" style="650" customWidth="1"/>
    <col min="15878" max="15878" width="20.26953125" style="650" bestFit="1" customWidth="1"/>
    <col min="15879" max="15879" width="20.26953125" style="650" customWidth="1"/>
    <col min="15880" max="16128" width="9.1796875" style="650"/>
    <col min="16129" max="16129" width="50.81640625" style="650" customWidth="1"/>
    <col min="16130" max="16130" width="2.81640625" style="650" customWidth="1"/>
    <col min="16131" max="16131" width="20.453125" style="650" customWidth="1"/>
    <col min="16132" max="16133" width="12.54296875" style="650" customWidth="1"/>
    <col min="16134" max="16134" width="20.26953125" style="650" bestFit="1" customWidth="1"/>
    <col min="16135" max="16135" width="20.26953125" style="650" customWidth="1"/>
    <col min="16136" max="16384" width="9.1796875" style="650"/>
  </cols>
  <sheetData>
    <row r="1" spans="1:7">
      <c r="A1" s="645"/>
    </row>
    <row r="2" spans="1:7" ht="15.5">
      <c r="A2" s="472" t="s">
        <v>715</v>
      </c>
      <c r="C2" s="679" t="s">
        <v>932</v>
      </c>
      <c r="D2" s="679"/>
    </row>
    <row r="3" spans="1:7">
      <c r="A3" s="677" t="s">
        <v>933</v>
      </c>
      <c r="B3" s="475"/>
      <c r="C3" s="470"/>
    </row>
    <row r="4" spans="1:7">
      <c r="A4" s="677"/>
      <c r="B4" s="475"/>
      <c r="C4" s="651" t="s">
        <v>304</v>
      </c>
      <c r="D4" s="652" t="s">
        <v>352</v>
      </c>
    </row>
    <row r="5" spans="1:7">
      <c r="A5" s="477" t="s">
        <v>934</v>
      </c>
      <c r="B5" s="478"/>
      <c r="C5" s="470"/>
    </row>
    <row r="6" spans="1:7" ht="15.5">
      <c r="A6" s="646" t="s">
        <v>935</v>
      </c>
      <c r="C6" s="651" t="s">
        <v>540</v>
      </c>
      <c r="D6" s="653" t="s">
        <v>931</v>
      </c>
      <c r="F6" s="654" t="s">
        <v>923</v>
      </c>
      <c r="G6" s="655" t="s">
        <v>941</v>
      </c>
    </row>
    <row r="7" spans="1:7">
      <c r="A7" s="646" t="s">
        <v>936</v>
      </c>
    </row>
    <row r="8" spans="1:7" ht="14.25" customHeight="1">
      <c r="A8" s="677" t="s">
        <v>937</v>
      </c>
      <c r="B8" s="471"/>
      <c r="C8" s="654" t="s">
        <v>938</v>
      </c>
      <c r="D8" s="656"/>
      <c r="E8" s="657"/>
    </row>
    <row r="9" spans="1:7">
      <c r="A9" s="677"/>
      <c r="B9" s="471"/>
      <c r="C9" s="654"/>
      <c r="D9" s="644" t="s">
        <v>60</v>
      </c>
      <c r="E9" s="658" t="s">
        <v>924</v>
      </c>
    </row>
    <row r="10" spans="1:7" ht="14.25" customHeight="1">
      <c r="A10" s="677" t="s">
        <v>939</v>
      </c>
      <c r="B10" s="471"/>
      <c r="C10" s="659" t="s">
        <v>374</v>
      </c>
      <c r="D10" s="660">
        <v>37</v>
      </c>
      <c r="E10" s="661">
        <v>0.75</v>
      </c>
    </row>
    <row r="11" spans="1:7">
      <c r="A11" s="677"/>
      <c r="C11" s="659" t="s">
        <v>930</v>
      </c>
      <c r="D11" s="660">
        <f ca="1">Cover!G9</f>
        <v>36.598702023104217</v>
      </c>
      <c r="E11" s="661">
        <v>0.2</v>
      </c>
    </row>
    <row r="12" spans="1:7" ht="14.25" customHeight="1">
      <c r="A12" s="677" t="s">
        <v>940</v>
      </c>
      <c r="C12" s="659" t="s">
        <v>375</v>
      </c>
      <c r="D12" s="660">
        <v>30</v>
      </c>
      <c r="E12" s="661">
        <v>0.05</v>
      </c>
    </row>
    <row r="13" spans="1:7">
      <c r="A13" s="677"/>
      <c r="C13" s="650"/>
      <c r="D13" s="659"/>
    </row>
    <row r="14" spans="1:7">
      <c r="A14" s="646"/>
      <c r="C14" s="651" t="s">
        <v>929</v>
      </c>
      <c r="D14" s="662" t="s">
        <v>207</v>
      </c>
    </row>
    <row r="15" spans="1:7">
      <c r="A15" s="487" t="s">
        <v>725</v>
      </c>
      <c r="C15" s="470" t="s">
        <v>925</v>
      </c>
      <c r="D15" s="650" t="str">
        <f>'Reference Data Upload Sheet'!G6</f>
        <v>Long KDP, thesis revolves around beverage pricing going up aggressively, which the street doesn't expect, leading to EBIT expansion -&gt; EPS upside</v>
      </c>
    </row>
    <row r="16" spans="1:7">
      <c r="A16" s="487" t="s">
        <v>727</v>
      </c>
      <c r="C16" s="470" t="s">
        <v>926</v>
      </c>
      <c r="D16" s="650" t="s">
        <v>942</v>
      </c>
    </row>
    <row r="17" spans="1:4">
      <c r="A17" s="646"/>
      <c r="C17" s="470" t="s">
        <v>927</v>
      </c>
      <c r="D17" s="650" t="s">
        <v>943</v>
      </c>
    </row>
    <row r="18" spans="1:4">
      <c r="A18" s="646"/>
      <c r="C18" s="470" t="s">
        <v>928</v>
      </c>
      <c r="D18" s="650" t="s">
        <v>944</v>
      </c>
    </row>
    <row r="19" spans="1:4">
      <c r="A19" s="646"/>
    </row>
    <row r="20" spans="1:4">
      <c r="A20" s="646"/>
    </row>
    <row r="21" spans="1:4">
      <c r="A21" s="646"/>
    </row>
    <row r="22" spans="1:4">
      <c r="A22" s="646"/>
    </row>
    <row r="23" spans="1:4">
      <c r="A23" s="646"/>
    </row>
    <row r="24" spans="1:4">
      <c r="A24" s="646"/>
    </row>
    <row r="25" spans="1:4">
      <c r="A25" s="646"/>
    </row>
    <row r="26" spans="1:4">
      <c r="A26" s="646"/>
    </row>
    <row r="27" spans="1:4">
      <c r="A27" s="646"/>
    </row>
    <row r="28" spans="1:4">
      <c r="A28" s="646"/>
    </row>
    <row r="29" spans="1:4">
      <c r="A29" s="646"/>
    </row>
    <row r="30" spans="1:4">
      <c r="A30" s="646"/>
    </row>
    <row r="31" spans="1:4">
      <c r="A31" s="646"/>
    </row>
    <row r="32" spans="1:4">
      <c r="A32" s="646"/>
    </row>
    <row r="33" spans="1:1">
      <c r="A33" s="646"/>
    </row>
    <row r="34" spans="1:1">
      <c r="A34" s="646"/>
    </row>
    <row r="35" spans="1:1">
      <c r="A35" s="646"/>
    </row>
    <row r="36" spans="1:1">
      <c r="A36" s="646"/>
    </row>
    <row r="37" spans="1:1">
      <c r="A37" s="646"/>
    </row>
    <row r="38" spans="1:1">
      <c r="A38" s="646"/>
    </row>
    <row r="39" spans="1:1">
      <c r="A39" s="646"/>
    </row>
    <row r="40" spans="1:1">
      <c r="A40" s="646"/>
    </row>
    <row r="41" spans="1:1">
      <c r="A41" s="646"/>
    </row>
    <row r="42" spans="1:1">
      <c r="A42" s="646"/>
    </row>
    <row r="43" spans="1:1">
      <c r="A43" s="646"/>
    </row>
    <row r="44" spans="1:1">
      <c r="A44" s="646"/>
    </row>
    <row r="45" spans="1:1">
      <c r="A45" s="646"/>
    </row>
    <row r="46" spans="1:1">
      <c r="A46" s="646"/>
    </row>
    <row r="47" spans="1:1">
      <c r="A47" s="646"/>
    </row>
    <row r="48" spans="1:1">
      <c r="A48" s="646"/>
    </row>
    <row r="49" spans="1:1">
      <c r="A49" s="646"/>
    </row>
    <row r="50" spans="1:1">
      <c r="A50" s="646"/>
    </row>
    <row r="51" spans="1:1">
      <c r="A51" s="646"/>
    </row>
    <row r="52" spans="1:1">
      <c r="A52" s="646"/>
    </row>
    <row r="53" spans="1:1">
      <c r="A53" s="646"/>
    </row>
    <row r="54" spans="1:1">
      <c r="A54" s="646"/>
    </row>
    <row r="55" spans="1:1">
      <c r="A55" s="646"/>
    </row>
    <row r="56" spans="1:1">
      <c r="A56" s="646"/>
    </row>
    <row r="57" spans="1:1">
      <c r="A57" s="646"/>
    </row>
    <row r="58" spans="1:1">
      <c r="A58" s="646"/>
    </row>
    <row r="59" spans="1:1">
      <c r="A59" s="646"/>
    </row>
    <row r="60" spans="1:1">
      <c r="A60" s="647"/>
    </row>
    <row r="61" spans="1:1">
      <c r="A61" s="648"/>
    </row>
    <row r="62" spans="1:1">
      <c r="A62" s="648"/>
    </row>
    <row r="63" spans="1:1">
      <c r="A63" s="646"/>
    </row>
    <row r="64" spans="1:1">
      <c r="A64" s="646"/>
    </row>
    <row r="65" spans="1:1">
      <c r="A65" s="646"/>
    </row>
    <row r="66" spans="1:1">
      <c r="A66" s="646"/>
    </row>
    <row r="67" spans="1:1">
      <c r="A67" s="646"/>
    </row>
    <row r="68" spans="1:1">
      <c r="A68" s="646"/>
    </row>
    <row r="69" spans="1:1">
      <c r="A69" s="646"/>
    </row>
    <row r="70" spans="1:1">
      <c r="A70" s="646"/>
    </row>
    <row r="71" spans="1:1">
      <c r="A71" s="646"/>
    </row>
    <row r="72" spans="1:1">
      <c r="A72" s="646"/>
    </row>
    <row r="73" spans="1:1">
      <c r="A73" s="646"/>
    </row>
    <row r="74" spans="1:1">
      <c r="A74" s="647"/>
    </row>
    <row r="158" spans="4:4">
      <c r="D158" s="663"/>
    </row>
    <row r="159" spans="4:4">
      <c r="D159" s="663"/>
    </row>
    <row r="160" spans="4:4">
      <c r="D160" s="663"/>
    </row>
    <row r="161" spans="1:5">
      <c r="D161" s="663"/>
    </row>
    <row r="162" spans="1:5">
      <c r="D162" s="663"/>
    </row>
    <row r="163" spans="1:5">
      <c r="D163" s="663"/>
    </row>
    <row r="164" spans="1:5">
      <c r="D164" s="663"/>
      <c r="E164" s="664"/>
    </row>
    <row r="165" spans="1:5">
      <c r="D165" s="663"/>
      <c r="E165" s="664"/>
    </row>
    <row r="166" spans="1:5" s="664" customFormat="1">
      <c r="A166" s="489"/>
      <c r="B166" s="468"/>
      <c r="C166" s="649"/>
      <c r="D166" s="663"/>
    </row>
    <row r="167" spans="1:5" s="664" customFormat="1">
      <c r="A167" s="489"/>
      <c r="B167" s="468"/>
      <c r="C167" s="649"/>
      <c r="D167" s="663"/>
    </row>
    <row r="168" spans="1:5" s="664" customFormat="1">
      <c r="A168" s="489"/>
      <c r="B168" s="471"/>
      <c r="C168" s="649"/>
      <c r="D168" s="663"/>
    </row>
    <row r="169" spans="1:5" s="664" customFormat="1">
      <c r="A169" s="489"/>
      <c r="B169" s="471"/>
      <c r="C169" s="649"/>
      <c r="D169" s="663"/>
    </row>
    <row r="170" spans="1:5" s="664" customFormat="1">
      <c r="A170" s="489"/>
      <c r="B170" s="471"/>
      <c r="C170" s="649"/>
      <c r="D170" s="663"/>
    </row>
    <row r="171" spans="1:5" s="664" customFormat="1">
      <c r="A171" s="489"/>
      <c r="B171" s="471"/>
      <c r="C171" s="649"/>
      <c r="D171" s="663"/>
    </row>
    <row r="172" spans="1:5" s="664" customFormat="1">
      <c r="A172" s="489"/>
      <c r="B172" s="471"/>
      <c r="C172" s="649"/>
      <c r="D172" s="663"/>
    </row>
    <row r="173" spans="1:5" s="664" customFormat="1">
      <c r="A173" s="489"/>
      <c r="B173" s="471"/>
      <c r="C173" s="649"/>
      <c r="D173" s="649"/>
    </row>
    <row r="174" spans="1:5" s="664" customFormat="1">
      <c r="A174" s="489"/>
      <c r="B174" s="471"/>
      <c r="C174" s="649"/>
      <c r="D174" s="649"/>
    </row>
    <row r="175" spans="1:5" s="664" customFormat="1">
      <c r="A175" s="489"/>
      <c r="B175" s="471"/>
      <c r="C175" s="649"/>
      <c r="D175" s="649"/>
    </row>
    <row r="176" spans="1:5" s="664" customFormat="1">
      <c r="A176" s="489"/>
      <c r="B176" s="471"/>
      <c r="C176" s="649"/>
      <c r="D176" s="649"/>
    </row>
    <row r="177" spans="1:5" s="664" customFormat="1">
      <c r="A177" s="489"/>
      <c r="B177" s="471"/>
      <c r="C177" s="649"/>
      <c r="D177" s="649"/>
    </row>
    <row r="178" spans="1:5" s="664" customFormat="1">
      <c r="A178" s="489"/>
      <c r="B178" s="471"/>
      <c r="C178" s="649"/>
      <c r="D178" s="649"/>
    </row>
    <row r="179" spans="1:5" s="664" customFormat="1">
      <c r="A179" s="489"/>
      <c r="B179" s="471"/>
      <c r="C179" s="649"/>
      <c r="D179" s="649"/>
      <c r="E179" s="650"/>
    </row>
    <row r="180" spans="1:5" s="664" customFormat="1">
      <c r="A180" s="489"/>
      <c r="B180" s="471"/>
      <c r="C180" s="649"/>
      <c r="D180" s="649"/>
      <c r="E180" s="650"/>
    </row>
    <row r="181" spans="1:5">
      <c r="B181" s="471"/>
    </row>
    <row r="182" spans="1:5">
      <c r="B182" s="471"/>
    </row>
    <row r="183" spans="1:5">
      <c r="B183" s="471"/>
    </row>
    <row r="184" spans="1:5">
      <c r="B184" s="471"/>
    </row>
    <row r="185" spans="1:5">
      <c r="B185" s="471"/>
    </row>
    <row r="186" spans="1:5">
      <c r="B186" s="471"/>
    </row>
    <row r="187" spans="1:5">
      <c r="B187" s="471"/>
    </row>
    <row r="188" spans="1:5">
      <c r="B188" s="471"/>
    </row>
    <row r="189" spans="1:5">
      <c r="B189" s="471"/>
    </row>
    <row r="190" spans="1:5">
      <c r="B190" s="471"/>
    </row>
    <row r="191" spans="1:5">
      <c r="B191" s="471"/>
    </row>
    <row r="192" spans="1:5">
      <c r="B192" s="471"/>
    </row>
    <row r="193" spans="2:2">
      <c r="B193" s="471"/>
    </row>
    <row r="194" spans="2:2">
      <c r="B194" s="471"/>
    </row>
    <row r="195" spans="2:2">
      <c r="B195" s="471"/>
    </row>
    <row r="196" spans="2:2">
      <c r="B196" s="471"/>
    </row>
    <row r="197" spans="2:2">
      <c r="B197" s="471"/>
    </row>
  </sheetData>
  <mergeCells count="5">
    <mergeCell ref="C2:D2"/>
    <mergeCell ref="A3:A4"/>
    <mergeCell ref="A8:A9"/>
    <mergeCell ref="A10:A11"/>
    <mergeCell ref="A12:A13"/>
  </mergeCells>
  <dataValidations count="12">
    <dataValidation type="custom" showInputMessage="1" showErrorMessage="1" sqref="F6 JB6 SX6 ACT6 AMP6 AWL6 BGH6 BQD6 BZZ6 CJV6 CTR6 DDN6 DNJ6 DXF6 EHB6 EQX6 FAT6 FKP6 FUL6 GEH6 GOD6 GXZ6 HHV6 HRR6 IBN6 ILJ6 IVF6 JFB6 JOX6 JYT6 KIP6 KSL6 LCH6 LMD6 LVZ6 MFV6 MPR6 MZN6 NJJ6 NTF6 ODB6 OMX6 OWT6 PGP6 PQL6 QAH6 QKD6 QTZ6 RDV6 RNR6 RXN6 SHJ6 SRF6 TBB6 TKX6 TUT6 UEP6 UOL6 UYH6 VID6 VRZ6 WBV6 WLR6 WVN6 F65542 JB65542 SX65542 ACT65542 AMP65542 AWL65542 BGH65542 BQD65542 BZZ65542 CJV65542 CTR65542 DDN65542 DNJ65542 DXF65542 EHB65542 EQX65542 FAT65542 FKP65542 FUL65542 GEH65542 GOD65542 GXZ65542 HHV65542 HRR65542 IBN65542 ILJ65542 IVF65542 JFB65542 JOX65542 JYT65542 KIP65542 KSL65542 LCH65542 LMD65542 LVZ65542 MFV65542 MPR65542 MZN65542 NJJ65542 NTF65542 ODB65542 OMX65542 OWT65542 PGP65542 PQL65542 QAH65542 QKD65542 QTZ65542 RDV65542 RNR65542 RXN65542 SHJ65542 SRF65542 TBB65542 TKX65542 TUT65542 UEP65542 UOL65542 UYH65542 VID65542 VRZ65542 WBV65542 WLR65542 WVN65542 F131078 JB131078 SX131078 ACT131078 AMP131078 AWL131078 BGH131078 BQD131078 BZZ131078 CJV131078 CTR131078 DDN131078 DNJ131078 DXF131078 EHB131078 EQX131078 FAT131078 FKP131078 FUL131078 GEH131078 GOD131078 GXZ131078 HHV131078 HRR131078 IBN131078 ILJ131078 IVF131078 JFB131078 JOX131078 JYT131078 KIP131078 KSL131078 LCH131078 LMD131078 LVZ131078 MFV131078 MPR131078 MZN131078 NJJ131078 NTF131078 ODB131078 OMX131078 OWT131078 PGP131078 PQL131078 QAH131078 QKD131078 QTZ131078 RDV131078 RNR131078 RXN131078 SHJ131078 SRF131078 TBB131078 TKX131078 TUT131078 UEP131078 UOL131078 UYH131078 VID131078 VRZ131078 WBV131078 WLR131078 WVN131078 F196614 JB196614 SX196614 ACT196614 AMP196614 AWL196614 BGH196614 BQD196614 BZZ196614 CJV196614 CTR196614 DDN196614 DNJ196614 DXF196614 EHB196614 EQX196614 FAT196614 FKP196614 FUL196614 GEH196614 GOD196614 GXZ196614 HHV196614 HRR196614 IBN196614 ILJ196614 IVF196614 JFB196614 JOX196614 JYT196614 KIP196614 KSL196614 LCH196614 LMD196614 LVZ196614 MFV196614 MPR196614 MZN196614 NJJ196614 NTF196614 ODB196614 OMX196614 OWT196614 PGP196614 PQL196614 QAH196614 QKD196614 QTZ196614 RDV196614 RNR196614 RXN196614 SHJ196614 SRF196614 TBB196614 TKX196614 TUT196614 UEP196614 UOL196614 UYH196614 VID196614 VRZ196614 WBV196614 WLR196614 WVN196614 F262150 JB262150 SX262150 ACT262150 AMP262150 AWL262150 BGH262150 BQD262150 BZZ262150 CJV262150 CTR262150 DDN262150 DNJ262150 DXF262150 EHB262150 EQX262150 FAT262150 FKP262150 FUL262150 GEH262150 GOD262150 GXZ262150 HHV262150 HRR262150 IBN262150 ILJ262150 IVF262150 JFB262150 JOX262150 JYT262150 KIP262150 KSL262150 LCH262150 LMD262150 LVZ262150 MFV262150 MPR262150 MZN262150 NJJ262150 NTF262150 ODB262150 OMX262150 OWT262150 PGP262150 PQL262150 QAH262150 QKD262150 QTZ262150 RDV262150 RNR262150 RXN262150 SHJ262150 SRF262150 TBB262150 TKX262150 TUT262150 UEP262150 UOL262150 UYH262150 VID262150 VRZ262150 WBV262150 WLR262150 WVN262150 F327686 JB327686 SX327686 ACT327686 AMP327686 AWL327686 BGH327686 BQD327686 BZZ327686 CJV327686 CTR327686 DDN327686 DNJ327686 DXF327686 EHB327686 EQX327686 FAT327686 FKP327686 FUL327686 GEH327686 GOD327686 GXZ327686 HHV327686 HRR327686 IBN327686 ILJ327686 IVF327686 JFB327686 JOX327686 JYT327686 KIP327686 KSL327686 LCH327686 LMD327686 LVZ327686 MFV327686 MPR327686 MZN327686 NJJ327686 NTF327686 ODB327686 OMX327686 OWT327686 PGP327686 PQL327686 QAH327686 QKD327686 QTZ327686 RDV327686 RNR327686 RXN327686 SHJ327686 SRF327686 TBB327686 TKX327686 TUT327686 UEP327686 UOL327686 UYH327686 VID327686 VRZ327686 WBV327686 WLR327686 WVN327686 F393222 JB393222 SX393222 ACT393222 AMP393222 AWL393222 BGH393222 BQD393222 BZZ393222 CJV393222 CTR393222 DDN393222 DNJ393222 DXF393222 EHB393222 EQX393222 FAT393222 FKP393222 FUL393222 GEH393222 GOD393222 GXZ393222 HHV393222 HRR393222 IBN393222 ILJ393222 IVF393222 JFB393222 JOX393222 JYT393222 KIP393222 KSL393222 LCH393222 LMD393222 LVZ393222 MFV393222 MPR393222 MZN393222 NJJ393222 NTF393222 ODB393222 OMX393222 OWT393222 PGP393222 PQL393222 QAH393222 QKD393222 QTZ393222 RDV393222 RNR393222 RXN393222 SHJ393222 SRF393222 TBB393222 TKX393222 TUT393222 UEP393222 UOL393222 UYH393222 VID393222 VRZ393222 WBV393222 WLR393222 WVN393222 F458758 JB458758 SX458758 ACT458758 AMP458758 AWL458758 BGH458758 BQD458758 BZZ458758 CJV458758 CTR458758 DDN458758 DNJ458758 DXF458758 EHB458758 EQX458758 FAT458758 FKP458758 FUL458758 GEH458758 GOD458758 GXZ458758 HHV458758 HRR458758 IBN458758 ILJ458758 IVF458758 JFB458758 JOX458758 JYT458758 KIP458758 KSL458758 LCH458758 LMD458758 LVZ458758 MFV458758 MPR458758 MZN458758 NJJ458758 NTF458758 ODB458758 OMX458758 OWT458758 PGP458758 PQL458758 QAH458758 QKD458758 QTZ458758 RDV458758 RNR458758 RXN458758 SHJ458758 SRF458758 TBB458758 TKX458758 TUT458758 UEP458758 UOL458758 UYH458758 VID458758 VRZ458758 WBV458758 WLR458758 WVN458758 F524294 JB524294 SX524294 ACT524294 AMP524294 AWL524294 BGH524294 BQD524294 BZZ524294 CJV524294 CTR524294 DDN524294 DNJ524294 DXF524294 EHB524294 EQX524294 FAT524294 FKP524294 FUL524294 GEH524294 GOD524294 GXZ524294 HHV524294 HRR524294 IBN524294 ILJ524294 IVF524294 JFB524294 JOX524294 JYT524294 KIP524294 KSL524294 LCH524294 LMD524294 LVZ524294 MFV524294 MPR524294 MZN524294 NJJ524294 NTF524294 ODB524294 OMX524294 OWT524294 PGP524294 PQL524294 QAH524294 QKD524294 QTZ524294 RDV524294 RNR524294 RXN524294 SHJ524294 SRF524294 TBB524294 TKX524294 TUT524294 UEP524294 UOL524294 UYH524294 VID524294 VRZ524294 WBV524294 WLR524294 WVN524294 F589830 JB589830 SX589830 ACT589830 AMP589830 AWL589830 BGH589830 BQD589830 BZZ589830 CJV589830 CTR589830 DDN589830 DNJ589830 DXF589830 EHB589830 EQX589830 FAT589830 FKP589830 FUL589830 GEH589830 GOD589830 GXZ589830 HHV589830 HRR589830 IBN589830 ILJ589830 IVF589830 JFB589830 JOX589830 JYT589830 KIP589830 KSL589830 LCH589830 LMD589830 LVZ589830 MFV589830 MPR589830 MZN589830 NJJ589830 NTF589830 ODB589830 OMX589830 OWT589830 PGP589830 PQL589830 QAH589830 QKD589830 QTZ589830 RDV589830 RNR589830 RXN589830 SHJ589830 SRF589830 TBB589830 TKX589830 TUT589830 UEP589830 UOL589830 UYH589830 VID589830 VRZ589830 WBV589830 WLR589830 WVN589830 F655366 JB655366 SX655366 ACT655366 AMP655366 AWL655366 BGH655366 BQD655366 BZZ655366 CJV655366 CTR655366 DDN655366 DNJ655366 DXF655366 EHB655366 EQX655366 FAT655366 FKP655366 FUL655366 GEH655366 GOD655366 GXZ655366 HHV655366 HRR655366 IBN655366 ILJ655366 IVF655366 JFB655366 JOX655366 JYT655366 KIP655366 KSL655366 LCH655366 LMD655366 LVZ655366 MFV655366 MPR655366 MZN655366 NJJ655366 NTF655366 ODB655366 OMX655366 OWT655366 PGP655366 PQL655366 QAH655366 QKD655366 QTZ655366 RDV655366 RNR655366 RXN655366 SHJ655366 SRF655366 TBB655366 TKX655366 TUT655366 UEP655366 UOL655366 UYH655366 VID655366 VRZ655366 WBV655366 WLR655366 WVN655366 F720902 JB720902 SX720902 ACT720902 AMP720902 AWL720902 BGH720902 BQD720902 BZZ720902 CJV720902 CTR720902 DDN720902 DNJ720902 DXF720902 EHB720902 EQX720902 FAT720902 FKP720902 FUL720902 GEH720902 GOD720902 GXZ720902 HHV720902 HRR720902 IBN720902 ILJ720902 IVF720902 JFB720902 JOX720902 JYT720902 KIP720902 KSL720902 LCH720902 LMD720902 LVZ720902 MFV720902 MPR720902 MZN720902 NJJ720902 NTF720902 ODB720902 OMX720902 OWT720902 PGP720902 PQL720902 QAH720902 QKD720902 QTZ720902 RDV720902 RNR720902 RXN720902 SHJ720902 SRF720902 TBB720902 TKX720902 TUT720902 UEP720902 UOL720902 UYH720902 VID720902 VRZ720902 WBV720902 WLR720902 WVN720902 F786438 JB786438 SX786438 ACT786438 AMP786438 AWL786438 BGH786438 BQD786438 BZZ786438 CJV786438 CTR786438 DDN786438 DNJ786438 DXF786438 EHB786438 EQX786438 FAT786438 FKP786438 FUL786438 GEH786438 GOD786438 GXZ786438 HHV786438 HRR786438 IBN786438 ILJ786438 IVF786438 JFB786438 JOX786438 JYT786438 KIP786438 KSL786438 LCH786438 LMD786438 LVZ786438 MFV786438 MPR786438 MZN786438 NJJ786438 NTF786438 ODB786438 OMX786438 OWT786438 PGP786438 PQL786438 QAH786438 QKD786438 QTZ786438 RDV786438 RNR786438 RXN786438 SHJ786438 SRF786438 TBB786438 TKX786438 TUT786438 UEP786438 UOL786438 UYH786438 VID786438 VRZ786438 WBV786438 WLR786438 WVN786438 F851974 JB851974 SX851974 ACT851974 AMP851974 AWL851974 BGH851974 BQD851974 BZZ851974 CJV851974 CTR851974 DDN851974 DNJ851974 DXF851974 EHB851974 EQX851974 FAT851974 FKP851974 FUL851974 GEH851974 GOD851974 GXZ851974 HHV851974 HRR851974 IBN851974 ILJ851974 IVF851974 JFB851974 JOX851974 JYT851974 KIP851974 KSL851974 LCH851974 LMD851974 LVZ851974 MFV851974 MPR851974 MZN851974 NJJ851974 NTF851974 ODB851974 OMX851974 OWT851974 PGP851974 PQL851974 QAH851974 QKD851974 QTZ851974 RDV851974 RNR851974 RXN851974 SHJ851974 SRF851974 TBB851974 TKX851974 TUT851974 UEP851974 UOL851974 UYH851974 VID851974 VRZ851974 WBV851974 WLR851974 WVN851974 F917510 JB917510 SX917510 ACT917510 AMP917510 AWL917510 BGH917510 BQD917510 BZZ917510 CJV917510 CTR917510 DDN917510 DNJ917510 DXF917510 EHB917510 EQX917510 FAT917510 FKP917510 FUL917510 GEH917510 GOD917510 GXZ917510 HHV917510 HRR917510 IBN917510 ILJ917510 IVF917510 JFB917510 JOX917510 JYT917510 KIP917510 KSL917510 LCH917510 LMD917510 LVZ917510 MFV917510 MPR917510 MZN917510 NJJ917510 NTF917510 ODB917510 OMX917510 OWT917510 PGP917510 PQL917510 QAH917510 QKD917510 QTZ917510 RDV917510 RNR917510 RXN917510 SHJ917510 SRF917510 TBB917510 TKX917510 TUT917510 UEP917510 UOL917510 UYH917510 VID917510 VRZ917510 WBV917510 WLR917510 WVN917510 F983046 JB983046 SX983046 ACT983046 AMP983046 AWL983046 BGH983046 BQD983046 BZZ983046 CJV983046 CTR983046 DDN983046 DNJ983046 DXF983046 EHB983046 EQX983046 FAT983046 FKP983046 FUL983046 GEH983046 GOD983046 GXZ983046 HHV983046 HRR983046 IBN983046 ILJ983046 IVF983046 JFB983046 JOX983046 JYT983046 KIP983046 KSL983046 LCH983046 LMD983046 LVZ983046 MFV983046 MPR983046 MZN983046 NJJ983046 NTF983046 ODB983046 OMX983046 OWT983046 PGP983046 PQL983046 QAH983046 QKD983046 QTZ983046 RDV983046 RNR983046 RXN983046 SHJ983046 SRF983046 TBB983046 TKX983046 TUT983046 UEP983046 UOL983046 UYH983046 VID983046 VRZ983046 WBV983046 WLR983046 WVN983046" xr:uid="{A44D60CC-20D3-471C-8083-572CC531AE14}">
      <formula1>"Commentary"</formula1>
    </dataValidation>
    <dataValidation type="custom" showInputMessage="1" showErrorMessage="1" sqref="JA9 SW9 ACS9 AMO9 AWK9 BGG9 BQC9 BZY9 CJU9 CTQ9 DDM9 DNI9 DXE9 EHA9 EQW9 FAS9 FKO9 FUK9 GEG9 GOC9 GXY9 HHU9 HRQ9 IBM9 ILI9 IVE9 JFA9 JOW9 JYS9 KIO9 KSK9 LCG9 LMC9 LVY9 MFU9 MPQ9 MZM9 NJI9 NTE9 ODA9 OMW9 OWS9 PGO9 PQK9 QAG9 QKC9 QTY9 RDU9 RNQ9 RXM9 SHI9 SRE9 TBA9 TKW9 TUS9 UEO9 UOK9 UYG9 VIC9 VRY9 WBU9 WLQ9 WVM9 E65547 JA65545 SW65545 ACS65545 AMO65545 AWK65545 BGG65545 BQC65545 BZY65545 CJU65545 CTQ65545 DDM65545 DNI65545 DXE65545 EHA65545 EQW65545 FAS65545 FKO65545 FUK65545 GEG65545 GOC65545 GXY65545 HHU65545 HRQ65545 IBM65545 ILI65545 IVE65545 JFA65545 JOW65545 JYS65545 KIO65545 KSK65545 LCG65545 LMC65545 LVY65545 MFU65545 MPQ65545 MZM65545 NJI65545 NTE65545 ODA65545 OMW65545 OWS65545 PGO65545 PQK65545 QAG65545 QKC65545 QTY65545 RDU65545 RNQ65545 RXM65545 SHI65545 SRE65545 TBA65545 TKW65545 TUS65545 UEO65545 UOK65545 UYG65545 VIC65545 VRY65545 WBU65545 WLQ65545 WVM65545 E131083 JA131081 SW131081 ACS131081 AMO131081 AWK131081 BGG131081 BQC131081 BZY131081 CJU131081 CTQ131081 DDM131081 DNI131081 DXE131081 EHA131081 EQW131081 FAS131081 FKO131081 FUK131081 GEG131081 GOC131081 GXY131081 HHU131081 HRQ131081 IBM131081 ILI131081 IVE131081 JFA131081 JOW131081 JYS131081 KIO131081 KSK131081 LCG131081 LMC131081 LVY131081 MFU131081 MPQ131081 MZM131081 NJI131081 NTE131081 ODA131081 OMW131081 OWS131081 PGO131081 PQK131081 QAG131081 QKC131081 QTY131081 RDU131081 RNQ131081 RXM131081 SHI131081 SRE131081 TBA131081 TKW131081 TUS131081 UEO131081 UOK131081 UYG131081 VIC131081 VRY131081 WBU131081 WLQ131081 WVM131081 E196619 JA196617 SW196617 ACS196617 AMO196617 AWK196617 BGG196617 BQC196617 BZY196617 CJU196617 CTQ196617 DDM196617 DNI196617 DXE196617 EHA196617 EQW196617 FAS196617 FKO196617 FUK196617 GEG196617 GOC196617 GXY196617 HHU196617 HRQ196617 IBM196617 ILI196617 IVE196617 JFA196617 JOW196617 JYS196617 KIO196617 KSK196617 LCG196617 LMC196617 LVY196617 MFU196617 MPQ196617 MZM196617 NJI196617 NTE196617 ODA196617 OMW196617 OWS196617 PGO196617 PQK196617 QAG196617 QKC196617 QTY196617 RDU196617 RNQ196617 RXM196617 SHI196617 SRE196617 TBA196617 TKW196617 TUS196617 UEO196617 UOK196617 UYG196617 VIC196617 VRY196617 WBU196617 WLQ196617 WVM196617 E262155 JA262153 SW262153 ACS262153 AMO262153 AWK262153 BGG262153 BQC262153 BZY262153 CJU262153 CTQ262153 DDM262153 DNI262153 DXE262153 EHA262153 EQW262153 FAS262153 FKO262153 FUK262153 GEG262153 GOC262153 GXY262153 HHU262153 HRQ262153 IBM262153 ILI262153 IVE262153 JFA262153 JOW262153 JYS262153 KIO262153 KSK262153 LCG262153 LMC262153 LVY262153 MFU262153 MPQ262153 MZM262153 NJI262153 NTE262153 ODA262153 OMW262153 OWS262153 PGO262153 PQK262153 QAG262153 QKC262153 QTY262153 RDU262153 RNQ262153 RXM262153 SHI262153 SRE262153 TBA262153 TKW262153 TUS262153 UEO262153 UOK262153 UYG262153 VIC262153 VRY262153 WBU262153 WLQ262153 WVM262153 E327691 JA327689 SW327689 ACS327689 AMO327689 AWK327689 BGG327689 BQC327689 BZY327689 CJU327689 CTQ327689 DDM327689 DNI327689 DXE327689 EHA327689 EQW327689 FAS327689 FKO327689 FUK327689 GEG327689 GOC327689 GXY327689 HHU327689 HRQ327689 IBM327689 ILI327689 IVE327689 JFA327689 JOW327689 JYS327689 KIO327689 KSK327689 LCG327689 LMC327689 LVY327689 MFU327689 MPQ327689 MZM327689 NJI327689 NTE327689 ODA327689 OMW327689 OWS327689 PGO327689 PQK327689 QAG327689 QKC327689 QTY327689 RDU327689 RNQ327689 RXM327689 SHI327689 SRE327689 TBA327689 TKW327689 TUS327689 UEO327689 UOK327689 UYG327689 VIC327689 VRY327689 WBU327689 WLQ327689 WVM327689 E393227 JA393225 SW393225 ACS393225 AMO393225 AWK393225 BGG393225 BQC393225 BZY393225 CJU393225 CTQ393225 DDM393225 DNI393225 DXE393225 EHA393225 EQW393225 FAS393225 FKO393225 FUK393225 GEG393225 GOC393225 GXY393225 HHU393225 HRQ393225 IBM393225 ILI393225 IVE393225 JFA393225 JOW393225 JYS393225 KIO393225 KSK393225 LCG393225 LMC393225 LVY393225 MFU393225 MPQ393225 MZM393225 NJI393225 NTE393225 ODA393225 OMW393225 OWS393225 PGO393225 PQK393225 QAG393225 QKC393225 QTY393225 RDU393225 RNQ393225 RXM393225 SHI393225 SRE393225 TBA393225 TKW393225 TUS393225 UEO393225 UOK393225 UYG393225 VIC393225 VRY393225 WBU393225 WLQ393225 WVM393225 E458763 JA458761 SW458761 ACS458761 AMO458761 AWK458761 BGG458761 BQC458761 BZY458761 CJU458761 CTQ458761 DDM458761 DNI458761 DXE458761 EHA458761 EQW458761 FAS458761 FKO458761 FUK458761 GEG458761 GOC458761 GXY458761 HHU458761 HRQ458761 IBM458761 ILI458761 IVE458761 JFA458761 JOW458761 JYS458761 KIO458761 KSK458761 LCG458761 LMC458761 LVY458761 MFU458761 MPQ458761 MZM458761 NJI458761 NTE458761 ODA458761 OMW458761 OWS458761 PGO458761 PQK458761 QAG458761 QKC458761 QTY458761 RDU458761 RNQ458761 RXM458761 SHI458761 SRE458761 TBA458761 TKW458761 TUS458761 UEO458761 UOK458761 UYG458761 VIC458761 VRY458761 WBU458761 WLQ458761 WVM458761 E524299 JA524297 SW524297 ACS524297 AMO524297 AWK524297 BGG524297 BQC524297 BZY524297 CJU524297 CTQ524297 DDM524297 DNI524297 DXE524297 EHA524297 EQW524297 FAS524297 FKO524297 FUK524297 GEG524297 GOC524297 GXY524297 HHU524297 HRQ524297 IBM524297 ILI524297 IVE524297 JFA524297 JOW524297 JYS524297 KIO524297 KSK524297 LCG524297 LMC524297 LVY524297 MFU524297 MPQ524297 MZM524297 NJI524297 NTE524297 ODA524297 OMW524297 OWS524297 PGO524297 PQK524297 QAG524297 QKC524297 QTY524297 RDU524297 RNQ524297 RXM524297 SHI524297 SRE524297 TBA524297 TKW524297 TUS524297 UEO524297 UOK524297 UYG524297 VIC524297 VRY524297 WBU524297 WLQ524297 WVM524297 E589835 JA589833 SW589833 ACS589833 AMO589833 AWK589833 BGG589833 BQC589833 BZY589833 CJU589833 CTQ589833 DDM589833 DNI589833 DXE589833 EHA589833 EQW589833 FAS589833 FKO589833 FUK589833 GEG589833 GOC589833 GXY589833 HHU589833 HRQ589833 IBM589833 ILI589833 IVE589833 JFA589833 JOW589833 JYS589833 KIO589833 KSK589833 LCG589833 LMC589833 LVY589833 MFU589833 MPQ589833 MZM589833 NJI589833 NTE589833 ODA589833 OMW589833 OWS589833 PGO589833 PQK589833 QAG589833 QKC589833 QTY589833 RDU589833 RNQ589833 RXM589833 SHI589833 SRE589833 TBA589833 TKW589833 TUS589833 UEO589833 UOK589833 UYG589833 VIC589833 VRY589833 WBU589833 WLQ589833 WVM589833 E655371 JA655369 SW655369 ACS655369 AMO655369 AWK655369 BGG655369 BQC655369 BZY655369 CJU655369 CTQ655369 DDM655369 DNI655369 DXE655369 EHA655369 EQW655369 FAS655369 FKO655369 FUK655369 GEG655369 GOC655369 GXY655369 HHU655369 HRQ655369 IBM655369 ILI655369 IVE655369 JFA655369 JOW655369 JYS655369 KIO655369 KSK655369 LCG655369 LMC655369 LVY655369 MFU655369 MPQ655369 MZM655369 NJI655369 NTE655369 ODA655369 OMW655369 OWS655369 PGO655369 PQK655369 QAG655369 QKC655369 QTY655369 RDU655369 RNQ655369 RXM655369 SHI655369 SRE655369 TBA655369 TKW655369 TUS655369 UEO655369 UOK655369 UYG655369 VIC655369 VRY655369 WBU655369 WLQ655369 WVM655369 E720907 JA720905 SW720905 ACS720905 AMO720905 AWK720905 BGG720905 BQC720905 BZY720905 CJU720905 CTQ720905 DDM720905 DNI720905 DXE720905 EHA720905 EQW720905 FAS720905 FKO720905 FUK720905 GEG720905 GOC720905 GXY720905 HHU720905 HRQ720905 IBM720905 ILI720905 IVE720905 JFA720905 JOW720905 JYS720905 KIO720905 KSK720905 LCG720905 LMC720905 LVY720905 MFU720905 MPQ720905 MZM720905 NJI720905 NTE720905 ODA720905 OMW720905 OWS720905 PGO720905 PQK720905 QAG720905 QKC720905 QTY720905 RDU720905 RNQ720905 RXM720905 SHI720905 SRE720905 TBA720905 TKW720905 TUS720905 UEO720905 UOK720905 UYG720905 VIC720905 VRY720905 WBU720905 WLQ720905 WVM720905 E786443 JA786441 SW786441 ACS786441 AMO786441 AWK786441 BGG786441 BQC786441 BZY786441 CJU786441 CTQ786441 DDM786441 DNI786441 DXE786441 EHA786441 EQW786441 FAS786441 FKO786441 FUK786441 GEG786441 GOC786441 GXY786441 HHU786441 HRQ786441 IBM786441 ILI786441 IVE786441 JFA786441 JOW786441 JYS786441 KIO786441 KSK786441 LCG786441 LMC786441 LVY786441 MFU786441 MPQ786441 MZM786441 NJI786441 NTE786441 ODA786441 OMW786441 OWS786441 PGO786441 PQK786441 QAG786441 QKC786441 QTY786441 RDU786441 RNQ786441 RXM786441 SHI786441 SRE786441 TBA786441 TKW786441 TUS786441 UEO786441 UOK786441 UYG786441 VIC786441 VRY786441 WBU786441 WLQ786441 WVM786441 E851979 JA851977 SW851977 ACS851977 AMO851977 AWK851977 BGG851977 BQC851977 BZY851977 CJU851977 CTQ851977 DDM851977 DNI851977 DXE851977 EHA851977 EQW851977 FAS851977 FKO851977 FUK851977 GEG851977 GOC851977 GXY851977 HHU851977 HRQ851977 IBM851977 ILI851977 IVE851977 JFA851977 JOW851977 JYS851977 KIO851977 KSK851977 LCG851977 LMC851977 LVY851977 MFU851977 MPQ851977 MZM851977 NJI851977 NTE851977 ODA851977 OMW851977 OWS851977 PGO851977 PQK851977 QAG851977 QKC851977 QTY851977 RDU851977 RNQ851977 RXM851977 SHI851977 SRE851977 TBA851977 TKW851977 TUS851977 UEO851977 UOK851977 UYG851977 VIC851977 VRY851977 WBU851977 WLQ851977 WVM851977 E917515 JA917513 SW917513 ACS917513 AMO917513 AWK917513 BGG917513 BQC917513 BZY917513 CJU917513 CTQ917513 DDM917513 DNI917513 DXE917513 EHA917513 EQW917513 FAS917513 FKO917513 FUK917513 GEG917513 GOC917513 GXY917513 HHU917513 HRQ917513 IBM917513 ILI917513 IVE917513 JFA917513 JOW917513 JYS917513 KIO917513 KSK917513 LCG917513 LMC917513 LVY917513 MFU917513 MPQ917513 MZM917513 NJI917513 NTE917513 ODA917513 OMW917513 OWS917513 PGO917513 PQK917513 QAG917513 QKC917513 QTY917513 RDU917513 RNQ917513 RXM917513 SHI917513 SRE917513 TBA917513 TKW917513 TUS917513 UEO917513 UOK917513 UYG917513 VIC917513 VRY917513 WBU917513 WLQ917513 WVM917513 E983051 JA983049 SW983049 ACS983049 AMO983049 AWK983049 BGG983049 BQC983049 BZY983049 CJU983049 CTQ983049 DDM983049 DNI983049 DXE983049 EHA983049 EQW983049 FAS983049 FKO983049 FUK983049 GEG983049 GOC983049 GXY983049 HHU983049 HRQ983049 IBM983049 ILI983049 IVE983049 JFA983049 JOW983049 JYS983049 KIO983049 KSK983049 LCG983049 LMC983049 LVY983049 MFU983049 MPQ983049 MZM983049 NJI983049 NTE983049 ODA983049 OMW983049 OWS983049 PGO983049 PQK983049 QAG983049 QKC983049 QTY983049 RDU983049 RNQ983049 RXM983049 SHI983049 SRE983049 TBA983049 TKW983049 TUS983049 UEO983049 UOK983049 UYG983049 VIC983049 VRY983049 WBU983049 WLQ983049 WVM983049 E9" xr:uid="{9DE32A67-4981-4977-8227-9BC4626936F4}">
      <formula1>"Probability"</formula1>
    </dataValidation>
    <dataValidation type="custom" showInputMessage="1" showErrorMessage="1" sqref="IZ9 SV9 ACR9 AMN9 AWJ9 BGF9 BQB9 BZX9 CJT9 CTP9 DDL9 DNH9 DXD9 EGZ9 EQV9 FAR9 FKN9 FUJ9 GEF9 GOB9 GXX9 HHT9 HRP9 IBL9 ILH9 IVD9 JEZ9 JOV9 JYR9 KIN9 KSJ9 LCF9 LMB9 LVX9 MFT9 MPP9 MZL9 NJH9 NTD9 OCZ9 OMV9 OWR9 PGN9 PQJ9 QAF9 QKB9 QTX9 RDT9 RNP9 RXL9 SHH9 SRD9 TAZ9 TKV9 TUR9 UEN9 UOJ9 UYF9 VIB9 VRX9 WBT9 WLP9 WVL9 D65547 IZ65545 SV65545 ACR65545 AMN65545 AWJ65545 BGF65545 BQB65545 BZX65545 CJT65545 CTP65545 DDL65545 DNH65545 DXD65545 EGZ65545 EQV65545 FAR65545 FKN65545 FUJ65545 GEF65545 GOB65545 GXX65545 HHT65545 HRP65545 IBL65545 ILH65545 IVD65545 JEZ65545 JOV65545 JYR65545 KIN65545 KSJ65545 LCF65545 LMB65545 LVX65545 MFT65545 MPP65545 MZL65545 NJH65545 NTD65545 OCZ65545 OMV65545 OWR65545 PGN65545 PQJ65545 QAF65545 QKB65545 QTX65545 RDT65545 RNP65545 RXL65545 SHH65545 SRD65545 TAZ65545 TKV65545 TUR65545 UEN65545 UOJ65545 UYF65545 VIB65545 VRX65545 WBT65545 WLP65545 WVL65545 D131083 IZ131081 SV131081 ACR131081 AMN131081 AWJ131081 BGF131081 BQB131081 BZX131081 CJT131081 CTP131081 DDL131081 DNH131081 DXD131081 EGZ131081 EQV131081 FAR131081 FKN131081 FUJ131081 GEF131081 GOB131081 GXX131081 HHT131081 HRP131081 IBL131081 ILH131081 IVD131081 JEZ131081 JOV131081 JYR131081 KIN131081 KSJ131081 LCF131081 LMB131081 LVX131081 MFT131081 MPP131081 MZL131081 NJH131081 NTD131081 OCZ131081 OMV131081 OWR131081 PGN131081 PQJ131081 QAF131081 QKB131081 QTX131081 RDT131081 RNP131081 RXL131081 SHH131081 SRD131081 TAZ131081 TKV131081 TUR131081 UEN131081 UOJ131081 UYF131081 VIB131081 VRX131081 WBT131081 WLP131081 WVL131081 D196619 IZ196617 SV196617 ACR196617 AMN196617 AWJ196617 BGF196617 BQB196617 BZX196617 CJT196617 CTP196617 DDL196617 DNH196617 DXD196617 EGZ196617 EQV196617 FAR196617 FKN196617 FUJ196617 GEF196617 GOB196617 GXX196617 HHT196617 HRP196617 IBL196617 ILH196617 IVD196617 JEZ196617 JOV196617 JYR196617 KIN196617 KSJ196617 LCF196617 LMB196617 LVX196617 MFT196617 MPP196617 MZL196617 NJH196617 NTD196617 OCZ196617 OMV196617 OWR196617 PGN196617 PQJ196617 QAF196617 QKB196617 QTX196617 RDT196617 RNP196617 RXL196617 SHH196617 SRD196617 TAZ196617 TKV196617 TUR196617 UEN196617 UOJ196617 UYF196617 VIB196617 VRX196617 WBT196617 WLP196617 WVL196617 D262155 IZ262153 SV262153 ACR262153 AMN262153 AWJ262153 BGF262153 BQB262153 BZX262153 CJT262153 CTP262153 DDL262153 DNH262153 DXD262153 EGZ262153 EQV262153 FAR262153 FKN262153 FUJ262153 GEF262153 GOB262153 GXX262153 HHT262153 HRP262153 IBL262153 ILH262153 IVD262153 JEZ262153 JOV262153 JYR262153 KIN262153 KSJ262153 LCF262153 LMB262153 LVX262153 MFT262153 MPP262153 MZL262153 NJH262153 NTD262153 OCZ262153 OMV262153 OWR262153 PGN262153 PQJ262153 QAF262153 QKB262153 QTX262153 RDT262153 RNP262153 RXL262153 SHH262153 SRD262153 TAZ262153 TKV262153 TUR262153 UEN262153 UOJ262153 UYF262153 VIB262153 VRX262153 WBT262153 WLP262153 WVL262153 D327691 IZ327689 SV327689 ACR327689 AMN327689 AWJ327689 BGF327689 BQB327689 BZX327689 CJT327689 CTP327689 DDL327689 DNH327689 DXD327689 EGZ327689 EQV327689 FAR327689 FKN327689 FUJ327689 GEF327689 GOB327689 GXX327689 HHT327689 HRP327689 IBL327689 ILH327689 IVD327689 JEZ327689 JOV327689 JYR327689 KIN327689 KSJ327689 LCF327689 LMB327689 LVX327689 MFT327689 MPP327689 MZL327689 NJH327689 NTD327689 OCZ327689 OMV327689 OWR327689 PGN327689 PQJ327689 QAF327689 QKB327689 QTX327689 RDT327689 RNP327689 RXL327689 SHH327689 SRD327689 TAZ327689 TKV327689 TUR327689 UEN327689 UOJ327689 UYF327689 VIB327689 VRX327689 WBT327689 WLP327689 WVL327689 D393227 IZ393225 SV393225 ACR393225 AMN393225 AWJ393225 BGF393225 BQB393225 BZX393225 CJT393225 CTP393225 DDL393225 DNH393225 DXD393225 EGZ393225 EQV393225 FAR393225 FKN393225 FUJ393225 GEF393225 GOB393225 GXX393225 HHT393225 HRP393225 IBL393225 ILH393225 IVD393225 JEZ393225 JOV393225 JYR393225 KIN393225 KSJ393225 LCF393225 LMB393225 LVX393225 MFT393225 MPP393225 MZL393225 NJH393225 NTD393225 OCZ393225 OMV393225 OWR393225 PGN393225 PQJ393225 QAF393225 QKB393225 QTX393225 RDT393225 RNP393225 RXL393225 SHH393225 SRD393225 TAZ393225 TKV393225 TUR393225 UEN393225 UOJ393225 UYF393225 VIB393225 VRX393225 WBT393225 WLP393225 WVL393225 D458763 IZ458761 SV458761 ACR458761 AMN458761 AWJ458761 BGF458761 BQB458761 BZX458761 CJT458761 CTP458761 DDL458761 DNH458761 DXD458761 EGZ458761 EQV458761 FAR458761 FKN458761 FUJ458761 GEF458761 GOB458761 GXX458761 HHT458761 HRP458761 IBL458761 ILH458761 IVD458761 JEZ458761 JOV458761 JYR458761 KIN458761 KSJ458761 LCF458761 LMB458761 LVX458761 MFT458761 MPP458761 MZL458761 NJH458761 NTD458761 OCZ458761 OMV458761 OWR458761 PGN458761 PQJ458761 QAF458761 QKB458761 QTX458761 RDT458761 RNP458761 RXL458761 SHH458761 SRD458761 TAZ458761 TKV458761 TUR458761 UEN458761 UOJ458761 UYF458761 VIB458761 VRX458761 WBT458761 WLP458761 WVL458761 D524299 IZ524297 SV524297 ACR524297 AMN524297 AWJ524297 BGF524297 BQB524297 BZX524297 CJT524297 CTP524297 DDL524297 DNH524297 DXD524297 EGZ524297 EQV524297 FAR524297 FKN524297 FUJ524297 GEF524297 GOB524297 GXX524297 HHT524297 HRP524297 IBL524297 ILH524297 IVD524297 JEZ524297 JOV524297 JYR524297 KIN524297 KSJ524297 LCF524297 LMB524297 LVX524297 MFT524297 MPP524297 MZL524297 NJH524297 NTD524297 OCZ524297 OMV524297 OWR524297 PGN524297 PQJ524297 QAF524297 QKB524297 QTX524297 RDT524297 RNP524297 RXL524297 SHH524297 SRD524297 TAZ524297 TKV524297 TUR524297 UEN524297 UOJ524297 UYF524297 VIB524297 VRX524297 WBT524297 WLP524297 WVL524297 D589835 IZ589833 SV589833 ACR589833 AMN589833 AWJ589833 BGF589833 BQB589833 BZX589833 CJT589833 CTP589833 DDL589833 DNH589833 DXD589833 EGZ589833 EQV589833 FAR589833 FKN589833 FUJ589833 GEF589833 GOB589833 GXX589833 HHT589833 HRP589833 IBL589833 ILH589833 IVD589833 JEZ589833 JOV589833 JYR589833 KIN589833 KSJ589833 LCF589833 LMB589833 LVX589833 MFT589833 MPP589833 MZL589833 NJH589833 NTD589833 OCZ589833 OMV589833 OWR589833 PGN589833 PQJ589833 QAF589833 QKB589833 QTX589833 RDT589833 RNP589833 RXL589833 SHH589833 SRD589833 TAZ589833 TKV589833 TUR589833 UEN589833 UOJ589833 UYF589833 VIB589833 VRX589833 WBT589833 WLP589833 WVL589833 D655371 IZ655369 SV655369 ACR655369 AMN655369 AWJ655369 BGF655369 BQB655369 BZX655369 CJT655369 CTP655369 DDL655369 DNH655369 DXD655369 EGZ655369 EQV655369 FAR655369 FKN655369 FUJ655369 GEF655369 GOB655369 GXX655369 HHT655369 HRP655369 IBL655369 ILH655369 IVD655369 JEZ655369 JOV655369 JYR655369 KIN655369 KSJ655369 LCF655369 LMB655369 LVX655369 MFT655369 MPP655369 MZL655369 NJH655369 NTD655369 OCZ655369 OMV655369 OWR655369 PGN655369 PQJ655369 QAF655369 QKB655369 QTX655369 RDT655369 RNP655369 RXL655369 SHH655369 SRD655369 TAZ655369 TKV655369 TUR655369 UEN655369 UOJ655369 UYF655369 VIB655369 VRX655369 WBT655369 WLP655369 WVL655369 D720907 IZ720905 SV720905 ACR720905 AMN720905 AWJ720905 BGF720905 BQB720905 BZX720905 CJT720905 CTP720905 DDL720905 DNH720905 DXD720905 EGZ720905 EQV720905 FAR720905 FKN720905 FUJ720905 GEF720905 GOB720905 GXX720905 HHT720905 HRP720905 IBL720905 ILH720905 IVD720905 JEZ720905 JOV720905 JYR720905 KIN720905 KSJ720905 LCF720905 LMB720905 LVX720905 MFT720905 MPP720905 MZL720905 NJH720905 NTD720905 OCZ720905 OMV720905 OWR720905 PGN720905 PQJ720905 QAF720905 QKB720905 QTX720905 RDT720905 RNP720905 RXL720905 SHH720905 SRD720905 TAZ720905 TKV720905 TUR720905 UEN720905 UOJ720905 UYF720905 VIB720905 VRX720905 WBT720905 WLP720905 WVL720905 D786443 IZ786441 SV786441 ACR786441 AMN786441 AWJ786441 BGF786441 BQB786441 BZX786441 CJT786441 CTP786441 DDL786441 DNH786441 DXD786441 EGZ786441 EQV786441 FAR786441 FKN786441 FUJ786441 GEF786441 GOB786441 GXX786441 HHT786441 HRP786441 IBL786441 ILH786441 IVD786441 JEZ786441 JOV786441 JYR786441 KIN786441 KSJ786441 LCF786441 LMB786441 LVX786441 MFT786441 MPP786441 MZL786441 NJH786441 NTD786441 OCZ786441 OMV786441 OWR786441 PGN786441 PQJ786441 QAF786441 QKB786441 QTX786441 RDT786441 RNP786441 RXL786441 SHH786441 SRD786441 TAZ786441 TKV786441 TUR786441 UEN786441 UOJ786441 UYF786441 VIB786441 VRX786441 WBT786441 WLP786441 WVL786441 D851979 IZ851977 SV851977 ACR851977 AMN851977 AWJ851977 BGF851977 BQB851977 BZX851977 CJT851977 CTP851977 DDL851977 DNH851977 DXD851977 EGZ851977 EQV851977 FAR851977 FKN851977 FUJ851977 GEF851977 GOB851977 GXX851977 HHT851977 HRP851977 IBL851977 ILH851977 IVD851977 JEZ851977 JOV851977 JYR851977 KIN851977 KSJ851977 LCF851977 LMB851977 LVX851977 MFT851977 MPP851977 MZL851977 NJH851977 NTD851977 OCZ851977 OMV851977 OWR851977 PGN851977 PQJ851977 QAF851977 QKB851977 QTX851977 RDT851977 RNP851977 RXL851977 SHH851977 SRD851977 TAZ851977 TKV851977 TUR851977 UEN851977 UOJ851977 UYF851977 VIB851977 VRX851977 WBT851977 WLP851977 WVL851977 D917515 IZ917513 SV917513 ACR917513 AMN917513 AWJ917513 BGF917513 BQB917513 BZX917513 CJT917513 CTP917513 DDL917513 DNH917513 DXD917513 EGZ917513 EQV917513 FAR917513 FKN917513 FUJ917513 GEF917513 GOB917513 GXX917513 HHT917513 HRP917513 IBL917513 ILH917513 IVD917513 JEZ917513 JOV917513 JYR917513 KIN917513 KSJ917513 LCF917513 LMB917513 LVX917513 MFT917513 MPP917513 MZL917513 NJH917513 NTD917513 OCZ917513 OMV917513 OWR917513 PGN917513 PQJ917513 QAF917513 QKB917513 QTX917513 RDT917513 RNP917513 RXL917513 SHH917513 SRD917513 TAZ917513 TKV917513 TUR917513 UEN917513 UOJ917513 UYF917513 VIB917513 VRX917513 WBT917513 WLP917513 WVL917513 D983051 IZ983049 SV983049 ACR983049 AMN983049 AWJ983049 BGF983049 BQB983049 BZX983049 CJT983049 CTP983049 DDL983049 DNH983049 DXD983049 EGZ983049 EQV983049 FAR983049 FKN983049 FUJ983049 GEF983049 GOB983049 GXX983049 HHT983049 HRP983049 IBL983049 ILH983049 IVD983049 JEZ983049 JOV983049 JYR983049 KIN983049 KSJ983049 LCF983049 LMB983049 LVX983049 MFT983049 MPP983049 MZL983049 NJH983049 NTD983049 OCZ983049 OMV983049 OWR983049 PGN983049 PQJ983049 QAF983049 QKB983049 QTX983049 RDT983049 RNP983049 RXL983049 SHH983049 SRD983049 TAZ983049 TKV983049 TUR983049 UEN983049 UOJ983049 UYF983049 VIB983049 VRX983049 WBT983049 WLP983049 WVL983049 D9" xr:uid="{52C05F96-7618-4C1A-BC67-763575E5D61A}">
      <formula1>"Price"</formula1>
    </dataValidation>
    <dataValidation type="custom" showInputMessage="1" showErrorMessage="1" sqref="IY8:IY9 SU8:SU9 ACQ8:ACQ9 AMM8:AMM9 AWI8:AWI9 BGE8:BGE9 BQA8:BQA9 BZW8:BZW9 CJS8:CJS9 CTO8:CTO9 DDK8:DDK9 DNG8:DNG9 DXC8:DXC9 EGY8:EGY9 EQU8:EQU9 FAQ8:FAQ9 FKM8:FKM9 FUI8:FUI9 GEE8:GEE9 GOA8:GOA9 GXW8:GXW9 HHS8:HHS9 HRO8:HRO9 IBK8:IBK9 ILG8:ILG9 IVC8:IVC9 JEY8:JEY9 JOU8:JOU9 JYQ8:JYQ9 KIM8:KIM9 KSI8:KSI9 LCE8:LCE9 LMA8:LMA9 LVW8:LVW9 MFS8:MFS9 MPO8:MPO9 MZK8:MZK9 NJG8:NJG9 NTC8:NTC9 OCY8:OCY9 OMU8:OMU9 OWQ8:OWQ9 PGM8:PGM9 PQI8:PQI9 QAE8:QAE9 QKA8:QKA9 QTW8:QTW9 RDS8:RDS9 RNO8:RNO9 RXK8:RXK9 SHG8:SHG9 SRC8:SRC9 TAY8:TAY9 TKU8:TKU9 TUQ8:TUQ9 UEM8:UEM9 UOI8:UOI9 UYE8:UYE9 VIA8:VIA9 VRW8:VRW9 WBS8:WBS9 WLO8:WLO9 WVK8:WVK9 C65546:C65547 IY65544:IY65545 SU65544:SU65545 ACQ65544:ACQ65545 AMM65544:AMM65545 AWI65544:AWI65545 BGE65544:BGE65545 BQA65544:BQA65545 BZW65544:BZW65545 CJS65544:CJS65545 CTO65544:CTO65545 DDK65544:DDK65545 DNG65544:DNG65545 DXC65544:DXC65545 EGY65544:EGY65545 EQU65544:EQU65545 FAQ65544:FAQ65545 FKM65544:FKM65545 FUI65544:FUI65545 GEE65544:GEE65545 GOA65544:GOA65545 GXW65544:GXW65545 HHS65544:HHS65545 HRO65544:HRO65545 IBK65544:IBK65545 ILG65544:ILG65545 IVC65544:IVC65545 JEY65544:JEY65545 JOU65544:JOU65545 JYQ65544:JYQ65545 KIM65544:KIM65545 KSI65544:KSI65545 LCE65544:LCE65545 LMA65544:LMA65545 LVW65544:LVW65545 MFS65544:MFS65545 MPO65544:MPO65545 MZK65544:MZK65545 NJG65544:NJG65545 NTC65544:NTC65545 OCY65544:OCY65545 OMU65544:OMU65545 OWQ65544:OWQ65545 PGM65544:PGM65545 PQI65544:PQI65545 QAE65544:QAE65545 QKA65544:QKA65545 QTW65544:QTW65545 RDS65544:RDS65545 RNO65544:RNO65545 RXK65544:RXK65545 SHG65544:SHG65545 SRC65544:SRC65545 TAY65544:TAY65545 TKU65544:TKU65545 TUQ65544:TUQ65545 UEM65544:UEM65545 UOI65544:UOI65545 UYE65544:UYE65545 VIA65544:VIA65545 VRW65544:VRW65545 WBS65544:WBS65545 WLO65544:WLO65545 WVK65544:WVK65545 C131082:C131083 IY131080:IY131081 SU131080:SU131081 ACQ131080:ACQ131081 AMM131080:AMM131081 AWI131080:AWI131081 BGE131080:BGE131081 BQA131080:BQA131081 BZW131080:BZW131081 CJS131080:CJS131081 CTO131080:CTO131081 DDK131080:DDK131081 DNG131080:DNG131081 DXC131080:DXC131081 EGY131080:EGY131081 EQU131080:EQU131081 FAQ131080:FAQ131081 FKM131080:FKM131081 FUI131080:FUI131081 GEE131080:GEE131081 GOA131080:GOA131081 GXW131080:GXW131081 HHS131080:HHS131081 HRO131080:HRO131081 IBK131080:IBK131081 ILG131080:ILG131081 IVC131080:IVC131081 JEY131080:JEY131081 JOU131080:JOU131081 JYQ131080:JYQ131081 KIM131080:KIM131081 KSI131080:KSI131081 LCE131080:LCE131081 LMA131080:LMA131081 LVW131080:LVW131081 MFS131080:MFS131081 MPO131080:MPO131081 MZK131080:MZK131081 NJG131080:NJG131081 NTC131080:NTC131081 OCY131080:OCY131081 OMU131080:OMU131081 OWQ131080:OWQ131081 PGM131080:PGM131081 PQI131080:PQI131081 QAE131080:QAE131081 QKA131080:QKA131081 QTW131080:QTW131081 RDS131080:RDS131081 RNO131080:RNO131081 RXK131080:RXK131081 SHG131080:SHG131081 SRC131080:SRC131081 TAY131080:TAY131081 TKU131080:TKU131081 TUQ131080:TUQ131081 UEM131080:UEM131081 UOI131080:UOI131081 UYE131080:UYE131081 VIA131080:VIA131081 VRW131080:VRW131081 WBS131080:WBS131081 WLO131080:WLO131081 WVK131080:WVK131081 C196618:C196619 IY196616:IY196617 SU196616:SU196617 ACQ196616:ACQ196617 AMM196616:AMM196617 AWI196616:AWI196617 BGE196616:BGE196617 BQA196616:BQA196617 BZW196616:BZW196617 CJS196616:CJS196617 CTO196616:CTO196617 DDK196616:DDK196617 DNG196616:DNG196617 DXC196616:DXC196617 EGY196616:EGY196617 EQU196616:EQU196617 FAQ196616:FAQ196617 FKM196616:FKM196617 FUI196616:FUI196617 GEE196616:GEE196617 GOA196616:GOA196617 GXW196616:GXW196617 HHS196616:HHS196617 HRO196616:HRO196617 IBK196616:IBK196617 ILG196616:ILG196617 IVC196616:IVC196617 JEY196616:JEY196617 JOU196616:JOU196617 JYQ196616:JYQ196617 KIM196616:KIM196617 KSI196616:KSI196617 LCE196616:LCE196617 LMA196616:LMA196617 LVW196616:LVW196617 MFS196616:MFS196617 MPO196616:MPO196617 MZK196616:MZK196617 NJG196616:NJG196617 NTC196616:NTC196617 OCY196616:OCY196617 OMU196616:OMU196617 OWQ196616:OWQ196617 PGM196616:PGM196617 PQI196616:PQI196617 QAE196616:QAE196617 QKA196616:QKA196617 QTW196616:QTW196617 RDS196616:RDS196617 RNO196616:RNO196617 RXK196616:RXK196617 SHG196616:SHG196617 SRC196616:SRC196617 TAY196616:TAY196617 TKU196616:TKU196617 TUQ196616:TUQ196617 UEM196616:UEM196617 UOI196616:UOI196617 UYE196616:UYE196617 VIA196616:VIA196617 VRW196616:VRW196617 WBS196616:WBS196617 WLO196616:WLO196617 WVK196616:WVK196617 C262154:C262155 IY262152:IY262153 SU262152:SU262153 ACQ262152:ACQ262153 AMM262152:AMM262153 AWI262152:AWI262153 BGE262152:BGE262153 BQA262152:BQA262153 BZW262152:BZW262153 CJS262152:CJS262153 CTO262152:CTO262153 DDK262152:DDK262153 DNG262152:DNG262153 DXC262152:DXC262153 EGY262152:EGY262153 EQU262152:EQU262153 FAQ262152:FAQ262153 FKM262152:FKM262153 FUI262152:FUI262153 GEE262152:GEE262153 GOA262152:GOA262153 GXW262152:GXW262153 HHS262152:HHS262153 HRO262152:HRO262153 IBK262152:IBK262153 ILG262152:ILG262153 IVC262152:IVC262153 JEY262152:JEY262153 JOU262152:JOU262153 JYQ262152:JYQ262153 KIM262152:KIM262153 KSI262152:KSI262153 LCE262152:LCE262153 LMA262152:LMA262153 LVW262152:LVW262153 MFS262152:MFS262153 MPO262152:MPO262153 MZK262152:MZK262153 NJG262152:NJG262153 NTC262152:NTC262153 OCY262152:OCY262153 OMU262152:OMU262153 OWQ262152:OWQ262153 PGM262152:PGM262153 PQI262152:PQI262153 QAE262152:QAE262153 QKA262152:QKA262153 QTW262152:QTW262153 RDS262152:RDS262153 RNO262152:RNO262153 RXK262152:RXK262153 SHG262152:SHG262153 SRC262152:SRC262153 TAY262152:TAY262153 TKU262152:TKU262153 TUQ262152:TUQ262153 UEM262152:UEM262153 UOI262152:UOI262153 UYE262152:UYE262153 VIA262152:VIA262153 VRW262152:VRW262153 WBS262152:WBS262153 WLO262152:WLO262153 WVK262152:WVK262153 C327690:C327691 IY327688:IY327689 SU327688:SU327689 ACQ327688:ACQ327689 AMM327688:AMM327689 AWI327688:AWI327689 BGE327688:BGE327689 BQA327688:BQA327689 BZW327688:BZW327689 CJS327688:CJS327689 CTO327688:CTO327689 DDK327688:DDK327689 DNG327688:DNG327689 DXC327688:DXC327689 EGY327688:EGY327689 EQU327688:EQU327689 FAQ327688:FAQ327689 FKM327688:FKM327689 FUI327688:FUI327689 GEE327688:GEE327689 GOA327688:GOA327689 GXW327688:GXW327689 HHS327688:HHS327689 HRO327688:HRO327689 IBK327688:IBK327689 ILG327688:ILG327689 IVC327688:IVC327689 JEY327688:JEY327689 JOU327688:JOU327689 JYQ327688:JYQ327689 KIM327688:KIM327689 KSI327688:KSI327689 LCE327688:LCE327689 LMA327688:LMA327689 LVW327688:LVW327689 MFS327688:MFS327689 MPO327688:MPO327689 MZK327688:MZK327689 NJG327688:NJG327689 NTC327688:NTC327689 OCY327688:OCY327689 OMU327688:OMU327689 OWQ327688:OWQ327689 PGM327688:PGM327689 PQI327688:PQI327689 QAE327688:QAE327689 QKA327688:QKA327689 QTW327688:QTW327689 RDS327688:RDS327689 RNO327688:RNO327689 RXK327688:RXK327689 SHG327688:SHG327689 SRC327688:SRC327689 TAY327688:TAY327689 TKU327688:TKU327689 TUQ327688:TUQ327689 UEM327688:UEM327689 UOI327688:UOI327689 UYE327688:UYE327689 VIA327688:VIA327689 VRW327688:VRW327689 WBS327688:WBS327689 WLO327688:WLO327689 WVK327688:WVK327689 C393226:C393227 IY393224:IY393225 SU393224:SU393225 ACQ393224:ACQ393225 AMM393224:AMM393225 AWI393224:AWI393225 BGE393224:BGE393225 BQA393224:BQA393225 BZW393224:BZW393225 CJS393224:CJS393225 CTO393224:CTO393225 DDK393224:DDK393225 DNG393224:DNG393225 DXC393224:DXC393225 EGY393224:EGY393225 EQU393224:EQU393225 FAQ393224:FAQ393225 FKM393224:FKM393225 FUI393224:FUI393225 GEE393224:GEE393225 GOA393224:GOA393225 GXW393224:GXW393225 HHS393224:HHS393225 HRO393224:HRO393225 IBK393224:IBK393225 ILG393224:ILG393225 IVC393224:IVC393225 JEY393224:JEY393225 JOU393224:JOU393225 JYQ393224:JYQ393225 KIM393224:KIM393225 KSI393224:KSI393225 LCE393224:LCE393225 LMA393224:LMA393225 LVW393224:LVW393225 MFS393224:MFS393225 MPO393224:MPO393225 MZK393224:MZK393225 NJG393224:NJG393225 NTC393224:NTC393225 OCY393224:OCY393225 OMU393224:OMU393225 OWQ393224:OWQ393225 PGM393224:PGM393225 PQI393224:PQI393225 QAE393224:QAE393225 QKA393224:QKA393225 QTW393224:QTW393225 RDS393224:RDS393225 RNO393224:RNO393225 RXK393224:RXK393225 SHG393224:SHG393225 SRC393224:SRC393225 TAY393224:TAY393225 TKU393224:TKU393225 TUQ393224:TUQ393225 UEM393224:UEM393225 UOI393224:UOI393225 UYE393224:UYE393225 VIA393224:VIA393225 VRW393224:VRW393225 WBS393224:WBS393225 WLO393224:WLO393225 WVK393224:WVK393225 C458762:C458763 IY458760:IY458761 SU458760:SU458761 ACQ458760:ACQ458761 AMM458760:AMM458761 AWI458760:AWI458761 BGE458760:BGE458761 BQA458760:BQA458761 BZW458760:BZW458761 CJS458760:CJS458761 CTO458760:CTO458761 DDK458760:DDK458761 DNG458760:DNG458761 DXC458760:DXC458761 EGY458760:EGY458761 EQU458760:EQU458761 FAQ458760:FAQ458761 FKM458760:FKM458761 FUI458760:FUI458761 GEE458760:GEE458761 GOA458760:GOA458761 GXW458760:GXW458761 HHS458760:HHS458761 HRO458760:HRO458761 IBK458760:IBK458761 ILG458760:ILG458761 IVC458760:IVC458761 JEY458760:JEY458761 JOU458760:JOU458761 JYQ458760:JYQ458761 KIM458760:KIM458761 KSI458760:KSI458761 LCE458760:LCE458761 LMA458760:LMA458761 LVW458760:LVW458761 MFS458760:MFS458761 MPO458760:MPO458761 MZK458760:MZK458761 NJG458760:NJG458761 NTC458760:NTC458761 OCY458760:OCY458761 OMU458760:OMU458761 OWQ458760:OWQ458761 PGM458760:PGM458761 PQI458760:PQI458761 QAE458760:QAE458761 QKA458760:QKA458761 QTW458760:QTW458761 RDS458760:RDS458761 RNO458760:RNO458761 RXK458760:RXK458761 SHG458760:SHG458761 SRC458760:SRC458761 TAY458760:TAY458761 TKU458760:TKU458761 TUQ458760:TUQ458761 UEM458760:UEM458761 UOI458760:UOI458761 UYE458760:UYE458761 VIA458760:VIA458761 VRW458760:VRW458761 WBS458760:WBS458761 WLO458760:WLO458761 WVK458760:WVK458761 C524298:C524299 IY524296:IY524297 SU524296:SU524297 ACQ524296:ACQ524297 AMM524296:AMM524297 AWI524296:AWI524297 BGE524296:BGE524297 BQA524296:BQA524297 BZW524296:BZW524297 CJS524296:CJS524297 CTO524296:CTO524297 DDK524296:DDK524297 DNG524296:DNG524297 DXC524296:DXC524297 EGY524296:EGY524297 EQU524296:EQU524297 FAQ524296:FAQ524297 FKM524296:FKM524297 FUI524296:FUI524297 GEE524296:GEE524297 GOA524296:GOA524297 GXW524296:GXW524297 HHS524296:HHS524297 HRO524296:HRO524297 IBK524296:IBK524297 ILG524296:ILG524297 IVC524296:IVC524297 JEY524296:JEY524297 JOU524296:JOU524297 JYQ524296:JYQ524297 KIM524296:KIM524297 KSI524296:KSI524297 LCE524296:LCE524297 LMA524296:LMA524297 LVW524296:LVW524297 MFS524296:MFS524297 MPO524296:MPO524297 MZK524296:MZK524297 NJG524296:NJG524297 NTC524296:NTC524297 OCY524296:OCY524297 OMU524296:OMU524297 OWQ524296:OWQ524297 PGM524296:PGM524297 PQI524296:PQI524297 QAE524296:QAE524297 QKA524296:QKA524297 QTW524296:QTW524297 RDS524296:RDS524297 RNO524296:RNO524297 RXK524296:RXK524297 SHG524296:SHG524297 SRC524296:SRC524297 TAY524296:TAY524297 TKU524296:TKU524297 TUQ524296:TUQ524297 UEM524296:UEM524297 UOI524296:UOI524297 UYE524296:UYE524297 VIA524296:VIA524297 VRW524296:VRW524297 WBS524296:WBS524297 WLO524296:WLO524297 WVK524296:WVK524297 C589834:C589835 IY589832:IY589833 SU589832:SU589833 ACQ589832:ACQ589833 AMM589832:AMM589833 AWI589832:AWI589833 BGE589832:BGE589833 BQA589832:BQA589833 BZW589832:BZW589833 CJS589832:CJS589833 CTO589832:CTO589833 DDK589832:DDK589833 DNG589832:DNG589833 DXC589832:DXC589833 EGY589832:EGY589833 EQU589832:EQU589833 FAQ589832:FAQ589833 FKM589832:FKM589833 FUI589832:FUI589833 GEE589832:GEE589833 GOA589832:GOA589833 GXW589832:GXW589833 HHS589832:HHS589833 HRO589832:HRO589833 IBK589832:IBK589833 ILG589832:ILG589833 IVC589832:IVC589833 JEY589832:JEY589833 JOU589832:JOU589833 JYQ589832:JYQ589833 KIM589832:KIM589833 KSI589832:KSI589833 LCE589832:LCE589833 LMA589832:LMA589833 LVW589832:LVW589833 MFS589832:MFS589833 MPO589832:MPO589833 MZK589832:MZK589833 NJG589832:NJG589833 NTC589832:NTC589833 OCY589832:OCY589833 OMU589832:OMU589833 OWQ589832:OWQ589833 PGM589832:PGM589833 PQI589832:PQI589833 QAE589832:QAE589833 QKA589832:QKA589833 QTW589832:QTW589833 RDS589832:RDS589833 RNO589832:RNO589833 RXK589832:RXK589833 SHG589832:SHG589833 SRC589832:SRC589833 TAY589832:TAY589833 TKU589832:TKU589833 TUQ589832:TUQ589833 UEM589832:UEM589833 UOI589832:UOI589833 UYE589832:UYE589833 VIA589832:VIA589833 VRW589832:VRW589833 WBS589832:WBS589833 WLO589832:WLO589833 WVK589832:WVK589833 C655370:C655371 IY655368:IY655369 SU655368:SU655369 ACQ655368:ACQ655369 AMM655368:AMM655369 AWI655368:AWI655369 BGE655368:BGE655369 BQA655368:BQA655369 BZW655368:BZW655369 CJS655368:CJS655369 CTO655368:CTO655369 DDK655368:DDK655369 DNG655368:DNG655369 DXC655368:DXC655369 EGY655368:EGY655369 EQU655368:EQU655369 FAQ655368:FAQ655369 FKM655368:FKM655369 FUI655368:FUI655369 GEE655368:GEE655369 GOA655368:GOA655369 GXW655368:GXW655369 HHS655368:HHS655369 HRO655368:HRO655369 IBK655368:IBK655369 ILG655368:ILG655369 IVC655368:IVC655369 JEY655368:JEY655369 JOU655368:JOU655369 JYQ655368:JYQ655369 KIM655368:KIM655369 KSI655368:KSI655369 LCE655368:LCE655369 LMA655368:LMA655369 LVW655368:LVW655369 MFS655368:MFS655369 MPO655368:MPO655369 MZK655368:MZK655369 NJG655368:NJG655369 NTC655368:NTC655369 OCY655368:OCY655369 OMU655368:OMU655369 OWQ655368:OWQ655369 PGM655368:PGM655369 PQI655368:PQI655369 QAE655368:QAE655369 QKA655368:QKA655369 QTW655368:QTW655369 RDS655368:RDS655369 RNO655368:RNO655369 RXK655368:RXK655369 SHG655368:SHG655369 SRC655368:SRC655369 TAY655368:TAY655369 TKU655368:TKU655369 TUQ655368:TUQ655369 UEM655368:UEM655369 UOI655368:UOI655369 UYE655368:UYE655369 VIA655368:VIA655369 VRW655368:VRW655369 WBS655368:WBS655369 WLO655368:WLO655369 WVK655368:WVK655369 C720906:C720907 IY720904:IY720905 SU720904:SU720905 ACQ720904:ACQ720905 AMM720904:AMM720905 AWI720904:AWI720905 BGE720904:BGE720905 BQA720904:BQA720905 BZW720904:BZW720905 CJS720904:CJS720905 CTO720904:CTO720905 DDK720904:DDK720905 DNG720904:DNG720905 DXC720904:DXC720905 EGY720904:EGY720905 EQU720904:EQU720905 FAQ720904:FAQ720905 FKM720904:FKM720905 FUI720904:FUI720905 GEE720904:GEE720905 GOA720904:GOA720905 GXW720904:GXW720905 HHS720904:HHS720905 HRO720904:HRO720905 IBK720904:IBK720905 ILG720904:ILG720905 IVC720904:IVC720905 JEY720904:JEY720905 JOU720904:JOU720905 JYQ720904:JYQ720905 KIM720904:KIM720905 KSI720904:KSI720905 LCE720904:LCE720905 LMA720904:LMA720905 LVW720904:LVW720905 MFS720904:MFS720905 MPO720904:MPO720905 MZK720904:MZK720905 NJG720904:NJG720905 NTC720904:NTC720905 OCY720904:OCY720905 OMU720904:OMU720905 OWQ720904:OWQ720905 PGM720904:PGM720905 PQI720904:PQI720905 QAE720904:QAE720905 QKA720904:QKA720905 QTW720904:QTW720905 RDS720904:RDS720905 RNO720904:RNO720905 RXK720904:RXK720905 SHG720904:SHG720905 SRC720904:SRC720905 TAY720904:TAY720905 TKU720904:TKU720905 TUQ720904:TUQ720905 UEM720904:UEM720905 UOI720904:UOI720905 UYE720904:UYE720905 VIA720904:VIA720905 VRW720904:VRW720905 WBS720904:WBS720905 WLO720904:WLO720905 WVK720904:WVK720905 C786442:C786443 IY786440:IY786441 SU786440:SU786441 ACQ786440:ACQ786441 AMM786440:AMM786441 AWI786440:AWI786441 BGE786440:BGE786441 BQA786440:BQA786441 BZW786440:BZW786441 CJS786440:CJS786441 CTO786440:CTO786441 DDK786440:DDK786441 DNG786440:DNG786441 DXC786440:DXC786441 EGY786440:EGY786441 EQU786440:EQU786441 FAQ786440:FAQ786441 FKM786440:FKM786441 FUI786440:FUI786441 GEE786440:GEE786441 GOA786440:GOA786441 GXW786440:GXW786441 HHS786440:HHS786441 HRO786440:HRO786441 IBK786440:IBK786441 ILG786440:ILG786441 IVC786440:IVC786441 JEY786440:JEY786441 JOU786440:JOU786441 JYQ786440:JYQ786441 KIM786440:KIM786441 KSI786440:KSI786441 LCE786440:LCE786441 LMA786440:LMA786441 LVW786440:LVW786441 MFS786440:MFS786441 MPO786440:MPO786441 MZK786440:MZK786441 NJG786440:NJG786441 NTC786440:NTC786441 OCY786440:OCY786441 OMU786440:OMU786441 OWQ786440:OWQ786441 PGM786440:PGM786441 PQI786440:PQI786441 QAE786440:QAE786441 QKA786440:QKA786441 QTW786440:QTW786441 RDS786440:RDS786441 RNO786440:RNO786441 RXK786440:RXK786441 SHG786440:SHG786441 SRC786440:SRC786441 TAY786440:TAY786441 TKU786440:TKU786441 TUQ786440:TUQ786441 UEM786440:UEM786441 UOI786440:UOI786441 UYE786440:UYE786441 VIA786440:VIA786441 VRW786440:VRW786441 WBS786440:WBS786441 WLO786440:WLO786441 WVK786440:WVK786441 C851978:C851979 IY851976:IY851977 SU851976:SU851977 ACQ851976:ACQ851977 AMM851976:AMM851977 AWI851976:AWI851977 BGE851976:BGE851977 BQA851976:BQA851977 BZW851976:BZW851977 CJS851976:CJS851977 CTO851976:CTO851977 DDK851976:DDK851977 DNG851976:DNG851977 DXC851976:DXC851977 EGY851976:EGY851977 EQU851976:EQU851977 FAQ851976:FAQ851977 FKM851976:FKM851977 FUI851976:FUI851977 GEE851976:GEE851977 GOA851976:GOA851977 GXW851976:GXW851977 HHS851976:HHS851977 HRO851976:HRO851977 IBK851976:IBK851977 ILG851976:ILG851977 IVC851976:IVC851977 JEY851976:JEY851977 JOU851976:JOU851977 JYQ851976:JYQ851977 KIM851976:KIM851977 KSI851976:KSI851977 LCE851976:LCE851977 LMA851976:LMA851977 LVW851976:LVW851977 MFS851976:MFS851977 MPO851976:MPO851977 MZK851976:MZK851977 NJG851976:NJG851977 NTC851976:NTC851977 OCY851976:OCY851977 OMU851976:OMU851977 OWQ851976:OWQ851977 PGM851976:PGM851977 PQI851976:PQI851977 QAE851976:QAE851977 QKA851976:QKA851977 QTW851976:QTW851977 RDS851976:RDS851977 RNO851976:RNO851977 RXK851976:RXK851977 SHG851976:SHG851977 SRC851976:SRC851977 TAY851976:TAY851977 TKU851976:TKU851977 TUQ851976:TUQ851977 UEM851976:UEM851977 UOI851976:UOI851977 UYE851976:UYE851977 VIA851976:VIA851977 VRW851976:VRW851977 WBS851976:WBS851977 WLO851976:WLO851977 WVK851976:WVK851977 C917514:C917515 IY917512:IY917513 SU917512:SU917513 ACQ917512:ACQ917513 AMM917512:AMM917513 AWI917512:AWI917513 BGE917512:BGE917513 BQA917512:BQA917513 BZW917512:BZW917513 CJS917512:CJS917513 CTO917512:CTO917513 DDK917512:DDK917513 DNG917512:DNG917513 DXC917512:DXC917513 EGY917512:EGY917513 EQU917512:EQU917513 FAQ917512:FAQ917513 FKM917512:FKM917513 FUI917512:FUI917513 GEE917512:GEE917513 GOA917512:GOA917513 GXW917512:GXW917513 HHS917512:HHS917513 HRO917512:HRO917513 IBK917512:IBK917513 ILG917512:ILG917513 IVC917512:IVC917513 JEY917512:JEY917513 JOU917512:JOU917513 JYQ917512:JYQ917513 KIM917512:KIM917513 KSI917512:KSI917513 LCE917512:LCE917513 LMA917512:LMA917513 LVW917512:LVW917513 MFS917512:MFS917513 MPO917512:MPO917513 MZK917512:MZK917513 NJG917512:NJG917513 NTC917512:NTC917513 OCY917512:OCY917513 OMU917512:OMU917513 OWQ917512:OWQ917513 PGM917512:PGM917513 PQI917512:PQI917513 QAE917512:QAE917513 QKA917512:QKA917513 QTW917512:QTW917513 RDS917512:RDS917513 RNO917512:RNO917513 RXK917512:RXK917513 SHG917512:SHG917513 SRC917512:SRC917513 TAY917512:TAY917513 TKU917512:TKU917513 TUQ917512:TUQ917513 UEM917512:UEM917513 UOI917512:UOI917513 UYE917512:UYE917513 VIA917512:VIA917513 VRW917512:VRW917513 WBS917512:WBS917513 WLO917512:WLO917513 WVK917512:WVK917513 C983050:C983051 IY983048:IY983049 SU983048:SU983049 ACQ983048:ACQ983049 AMM983048:AMM983049 AWI983048:AWI983049 BGE983048:BGE983049 BQA983048:BQA983049 BZW983048:BZW983049 CJS983048:CJS983049 CTO983048:CTO983049 DDK983048:DDK983049 DNG983048:DNG983049 DXC983048:DXC983049 EGY983048:EGY983049 EQU983048:EQU983049 FAQ983048:FAQ983049 FKM983048:FKM983049 FUI983048:FUI983049 GEE983048:GEE983049 GOA983048:GOA983049 GXW983048:GXW983049 HHS983048:HHS983049 HRO983048:HRO983049 IBK983048:IBK983049 ILG983048:ILG983049 IVC983048:IVC983049 JEY983048:JEY983049 JOU983048:JOU983049 JYQ983048:JYQ983049 KIM983048:KIM983049 KSI983048:KSI983049 LCE983048:LCE983049 LMA983048:LMA983049 LVW983048:LVW983049 MFS983048:MFS983049 MPO983048:MPO983049 MZK983048:MZK983049 NJG983048:NJG983049 NTC983048:NTC983049 OCY983048:OCY983049 OMU983048:OMU983049 OWQ983048:OWQ983049 PGM983048:PGM983049 PQI983048:PQI983049 QAE983048:QAE983049 QKA983048:QKA983049 QTW983048:QTW983049 RDS983048:RDS983049 RNO983048:RNO983049 RXK983048:RXK983049 SHG983048:SHG983049 SRC983048:SRC983049 TAY983048:TAY983049 TKU983048:TKU983049 TUQ983048:TUQ983049 UEM983048:UEM983049 UOI983048:UOI983049 UYE983048:UYE983049 VIA983048:VIA983049 VRW983048:VRW983049 WBS983048:WBS983049 WLO983048:WLO983049 WVK983048:WVK983049 C8:C9" xr:uid="{6842B9F0-FDAF-4BFB-91F0-15CE48F57B5A}">
      <formula1>"Price Scenarios"</formula1>
    </dataValidation>
    <dataValidation type="custom" showInputMessage="1" showErrorMessage="1" sqref="D14 IZ12 SV12 ACR12 AMN12 AWJ12 BGF12 BQB12 BZX12 CJT12 CTP12 DDL12 DNH12 DXD12 EGZ12 EQV12 FAR12 FKN12 FUJ12 GEF12 GOB12 GXX12 HHT12 HRP12 IBL12 ILH12 IVD12 JEZ12 JOV12 JYR12 KIN12 KSJ12 LCF12 LMB12 LVX12 MFT12 MPP12 MZL12 NJH12 NTD12 OCZ12 OMV12 OWR12 PGN12 PQJ12 QAF12 QKB12 QTX12 RDT12 RNP12 RXL12 SHH12 SRD12 TAZ12 TKV12 TUR12 UEN12 UOJ12 UYF12 VIB12 VRX12 WBT12 WLP12 WVL12 D65550 IZ65548 SV65548 ACR65548 AMN65548 AWJ65548 BGF65548 BQB65548 BZX65548 CJT65548 CTP65548 DDL65548 DNH65548 DXD65548 EGZ65548 EQV65548 FAR65548 FKN65548 FUJ65548 GEF65548 GOB65548 GXX65548 HHT65548 HRP65548 IBL65548 ILH65548 IVD65548 JEZ65548 JOV65548 JYR65548 KIN65548 KSJ65548 LCF65548 LMB65548 LVX65548 MFT65548 MPP65548 MZL65548 NJH65548 NTD65548 OCZ65548 OMV65548 OWR65548 PGN65548 PQJ65548 QAF65548 QKB65548 QTX65548 RDT65548 RNP65548 RXL65548 SHH65548 SRD65548 TAZ65548 TKV65548 TUR65548 UEN65548 UOJ65548 UYF65548 VIB65548 VRX65548 WBT65548 WLP65548 WVL65548 D131086 IZ131084 SV131084 ACR131084 AMN131084 AWJ131084 BGF131084 BQB131084 BZX131084 CJT131084 CTP131084 DDL131084 DNH131084 DXD131084 EGZ131084 EQV131084 FAR131084 FKN131084 FUJ131084 GEF131084 GOB131084 GXX131084 HHT131084 HRP131084 IBL131084 ILH131084 IVD131084 JEZ131084 JOV131084 JYR131084 KIN131084 KSJ131084 LCF131084 LMB131084 LVX131084 MFT131084 MPP131084 MZL131084 NJH131084 NTD131084 OCZ131084 OMV131084 OWR131084 PGN131084 PQJ131084 QAF131084 QKB131084 QTX131084 RDT131084 RNP131084 RXL131084 SHH131084 SRD131084 TAZ131084 TKV131084 TUR131084 UEN131084 UOJ131084 UYF131084 VIB131084 VRX131084 WBT131084 WLP131084 WVL131084 D196622 IZ196620 SV196620 ACR196620 AMN196620 AWJ196620 BGF196620 BQB196620 BZX196620 CJT196620 CTP196620 DDL196620 DNH196620 DXD196620 EGZ196620 EQV196620 FAR196620 FKN196620 FUJ196620 GEF196620 GOB196620 GXX196620 HHT196620 HRP196620 IBL196620 ILH196620 IVD196620 JEZ196620 JOV196620 JYR196620 KIN196620 KSJ196620 LCF196620 LMB196620 LVX196620 MFT196620 MPP196620 MZL196620 NJH196620 NTD196620 OCZ196620 OMV196620 OWR196620 PGN196620 PQJ196620 QAF196620 QKB196620 QTX196620 RDT196620 RNP196620 RXL196620 SHH196620 SRD196620 TAZ196620 TKV196620 TUR196620 UEN196620 UOJ196620 UYF196620 VIB196620 VRX196620 WBT196620 WLP196620 WVL196620 D262158 IZ262156 SV262156 ACR262156 AMN262156 AWJ262156 BGF262156 BQB262156 BZX262156 CJT262156 CTP262156 DDL262156 DNH262156 DXD262156 EGZ262156 EQV262156 FAR262156 FKN262156 FUJ262156 GEF262156 GOB262156 GXX262156 HHT262156 HRP262156 IBL262156 ILH262156 IVD262156 JEZ262156 JOV262156 JYR262156 KIN262156 KSJ262156 LCF262156 LMB262156 LVX262156 MFT262156 MPP262156 MZL262156 NJH262156 NTD262156 OCZ262156 OMV262156 OWR262156 PGN262156 PQJ262156 QAF262156 QKB262156 QTX262156 RDT262156 RNP262156 RXL262156 SHH262156 SRD262156 TAZ262156 TKV262156 TUR262156 UEN262156 UOJ262156 UYF262156 VIB262156 VRX262156 WBT262156 WLP262156 WVL262156 D327694 IZ327692 SV327692 ACR327692 AMN327692 AWJ327692 BGF327692 BQB327692 BZX327692 CJT327692 CTP327692 DDL327692 DNH327692 DXD327692 EGZ327692 EQV327692 FAR327692 FKN327692 FUJ327692 GEF327692 GOB327692 GXX327692 HHT327692 HRP327692 IBL327692 ILH327692 IVD327692 JEZ327692 JOV327692 JYR327692 KIN327692 KSJ327692 LCF327692 LMB327692 LVX327692 MFT327692 MPP327692 MZL327692 NJH327692 NTD327692 OCZ327692 OMV327692 OWR327692 PGN327692 PQJ327692 QAF327692 QKB327692 QTX327692 RDT327692 RNP327692 RXL327692 SHH327692 SRD327692 TAZ327692 TKV327692 TUR327692 UEN327692 UOJ327692 UYF327692 VIB327692 VRX327692 WBT327692 WLP327692 WVL327692 D393230 IZ393228 SV393228 ACR393228 AMN393228 AWJ393228 BGF393228 BQB393228 BZX393228 CJT393228 CTP393228 DDL393228 DNH393228 DXD393228 EGZ393228 EQV393228 FAR393228 FKN393228 FUJ393228 GEF393228 GOB393228 GXX393228 HHT393228 HRP393228 IBL393228 ILH393228 IVD393228 JEZ393228 JOV393228 JYR393228 KIN393228 KSJ393228 LCF393228 LMB393228 LVX393228 MFT393228 MPP393228 MZL393228 NJH393228 NTD393228 OCZ393228 OMV393228 OWR393228 PGN393228 PQJ393228 QAF393228 QKB393228 QTX393228 RDT393228 RNP393228 RXL393228 SHH393228 SRD393228 TAZ393228 TKV393228 TUR393228 UEN393228 UOJ393228 UYF393228 VIB393228 VRX393228 WBT393228 WLP393228 WVL393228 D458766 IZ458764 SV458764 ACR458764 AMN458764 AWJ458764 BGF458764 BQB458764 BZX458764 CJT458764 CTP458764 DDL458764 DNH458764 DXD458764 EGZ458764 EQV458764 FAR458764 FKN458764 FUJ458764 GEF458764 GOB458764 GXX458764 HHT458764 HRP458764 IBL458764 ILH458764 IVD458764 JEZ458764 JOV458764 JYR458764 KIN458764 KSJ458764 LCF458764 LMB458764 LVX458764 MFT458764 MPP458764 MZL458764 NJH458764 NTD458764 OCZ458764 OMV458764 OWR458764 PGN458764 PQJ458764 QAF458764 QKB458764 QTX458764 RDT458764 RNP458764 RXL458764 SHH458764 SRD458764 TAZ458764 TKV458764 TUR458764 UEN458764 UOJ458764 UYF458764 VIB458764 VRX458764 WBT458764 WLP458764 WVL458764 D524302 IZ524300 SV524300 ACR524300 AMN524300 AWJ524300 BGF524300 BQB524300 BZX524300 CJT524300 CTP524300 DDL524300 DNH524300 DXD524300 EGZ524300 EQV524300 FAR524300 FKN524300 FUJ524300 GEF524300 GOB524300 GXX524300 HHT524300 HRP524300 IBL524300 ILH524300 IVD524300 JEZ524300 JOV524300 JYR524300 KIN524300 KSJ524300 LCF524300 LMB524300 LVX524300 MFT524300 MPP524300 MZL524300 NJH524300 NTD524300 OCZ524300 OMV524300 OWR524300 PGN524300 PQJ524300 QAF524300 QKB524300 QTX524300 RDT524300 RNP524300 RXL524300 SHH524300 SRD524300 TAZ524300 TKV524300 TUR524300 UEN524300 UOJ524300 UYF524300 VIB524300 VRX524300 WBT524300 WLP524300 WVL524300 D589838 IZ589836 SV589836 ACR589836 AMN589836 AWJ589836 BGF589836 BQB589836 BZX589836 CJT589836 CTP589836 DDL589836 DNH589836 DXD589836 EGZ589836 EQV589836 FAR589836 FKN589836 FUJ589836 GEF589836 GOB589836 GXX589836 HHT589836 HRP589836 IBL589836 ILH589836 IVD589836 JEZ589836 JOV589836 JYR589836 KIN589836 KSJ589836 LCF589836 LMB589836 LVX589836 MFT589836 MPP589836 MZL589836 NJH589836 NTD589836 OCZ589836 OMV589836 OWR589836 PGN589836 PQJ589836 QAF589836 QKB589836 QTX589836 RDT589836 RNP589836 RXL589836 SHH589836 SRD589836 TAZ589836 TKV589836 TUR589836 UEN589836 UOJ589836 UYF589836 VIB589836 VRX589836 WBT589836 WLP589836 WVL589836 D655374 IZ655372 SV655372 ACR655372 AMN655372 AWJ655372 BGF655372 BQB655372 BZX655372 CJT655372 CTP655372 DDL655372 DNH655372 DXD655372 EGZ655372 EQV655372 FAR655372 FKN655372 FUJ655372 GEF655372 GOB655372 GXX655372 HHT655372 HRP655372 IBL655372 ILH655372 IVD655372 JEZ655372 JOV655372 JYR655372 KIN655372 KSJ655372 LCF655372 LMB655372 LVX655372 MFT655372 MPP655372 MZL655372 NJH655372 NTD655372 OCZ655372 OMV655372 OWR655372 PGN655372 PQJ655372 QAF655372 QKB655372 QTX655372 RDT655372 RNP655372 RXL655372 SHH655372 SRD655372 TAZ655372 TKV655372 TUR655372 UEN655372 UOJ655372 UYF655372 VIB655372 VRX655372 WBT655372 WLP655372 WVL655372 D720910 IZ720908 SV720908 ACR720908 AMN720908 AWJ720908 BGF720908 BQB720908 BZX720908 CJT720908 CTP720908 DDL720908 DNH720908 DXD720908 EGZ720908 EQV720908 FAR720908 FKN720908 FUJ720908 GEF720908 GOB720908 GXX720908 HHT720908 HRP720908 IBL720908 ILH720908 IVD720908 JEZ720908 JOV720908 JYR720908 KIN720908 KSJ720908 LCF720908 LMB720908 LVX720908 MFT720908 MPP720908 MZL720908 NJH720908 NTD720908 OCZ720908 OMV720908 OWR720908 PGN720908 PQJ720908 QAF720908 QKB720908 QTX720908 RDT720908 RNP720908 RXL720908 SHH720908 SRD720908 TAZ720908 TKV720908 TUR720908 UEN720908 UOJ720908 UYF720908 VIB720908 VRX720908 WBT720908 WLP720908 WVL720908 D786446 IZ786444 SV786444 ACR786444 AMN786444 AWJ786444 BGF786444 BQB786444 BZX786444 CJT786444 CTP786444 DDL786444 DNH786444 DXD786444 EGZ786444 EQV786444 FAR786444 FKN786444 FUJ786444 GEF786444 GOB786444 GXX786444 HHT786444 HRP786444 IBL786444 ILH786444 IVD786444 JEZ786444 JOV786444 JYR786444 KIN786444 KSJ786444 LCF786444 LMB786444 LVX786444 MFT786444 MPP786444 MZL786444 NJH786444 NTD786444 OCZ786444 OMV786444 OWR786444 PGN786444 PQJ786444 QAF786444 QKB786444 QTX786444 RDT786444 RNP786444 RXL786444 SHH786444 SRD786444 TAZ786444 TKV786444 TUR786444 UEN786444 UOJ786444 UYF786444 VIB786444 VRX786444 WBT786444 WLP786444 WVL786444 D851982 IZ851980 SV851980 ACR851980 AMN851980 AWJ851980 BGF851980 BQB851980 BZX851980 CJT851980 CTP851980 DDL851980 DNH851980 DXD851980 EGZ851980 EQV851980 FAR851980 FKN851980 FUJ851980 GEF851980 GOB851980 GXX851980 HHT851980 HRP851980 IBL851980 ILH851980 IVD851980 JEZ851980 JOV851980 JYR851980 KIN851980 KSJ851980 LCF851980 LMB851980 LVX851980 MFT851980 MPP851980 MZL851980 NJH851980 NTD851980 OCZ851980 OMV851980 OWR851980 PGN851980 PQJ851980 QAF851980 QKB851980 QTX851980 RDT851980 RNP851980 RXL851980 SHH851980 SRD851980 TAZ851980 TKV851980 TUR851980 UEN851980 UOJ851980 UYF851980 VIB851980 VRX851980 WBT851980 WLP851980 WVL851980 D917518 IZ917516 SV917516 ACR917516 AMN917516 AWJ917516 BGF917516 BQB917516 BZX917516 CJT917516 CTP917516 DDL917516 DNH917516 DXD917516 EGZ917516 EQV917516 FAR917516 FKN917516 FUJ917516 GEF917516 GOB917516 GXX917516 HHT917516 HRP917516 IBL917516 ILH917516 IVD917516 JEZ917516 JOV917516 JYR917516 KIN917516 KSJ917516 LCF917516 LMB917516 LVX917516 MFT917516 MPP917516 MZL917516 NJH917516 NTD917516 OCZ917516 OMV917516 OWR917516 PGN917516 PQJ917516 QAF917516 QKB917516 QTX917516 RDT917516 RNP917516 RXL917516 SHH917516 SRD917516 TAZ917516 TKV917516 TUR917516 UEN917516 UOJ917516 UYF917516 VIB917516 VRX917516 WBT917516 WLP917516 WVL917516 D983054 IZ983052 SV983052 ACR983052 AMN983052 AWJ983052 BGF983052 BQB983052 BZX983052 CJT983052 CTP983052 DDL983052 DNH983052 DXD983052 EGZ983052 EQV983052 FAR983052 FKN983052 FUJ983052 GEF983052 GOB983052 GXX983052 HHT983052 HRP983052 IBL983052 ILH983052 IVD983052 JEZ983052 JOV983052 JYR983052 KIN983052 KSJ983052 LCF983052 LMB983052 LVX983052 MFT983052 MPP983052 MZL983052 NJH983052 NTD983052 OCZ983052 OMV983052 OWR983052 PGN983052 PQJ983052 QAF983052 QKB983052 QTX983052 RDT983052 RNP983052 RXL983052 SHH983052 SRD983052 TAZ983052 TKV983052 TUR983052 UEN983052 UOJ983052 UYF983052 VIB983052 VRX983052 WBT983052 WLP983052 WVL983052" xr:uid="{3B801D7E-F673-4E7B-B5EE-0D63B51698E9}">
      <formula1>"Value"</formula1>
    </dataValidation>
    <dataValidation type="custom" showInputMessage="1" showErrorMessage="1" sqref="C14 IY12 SU12 ACQ12 AMM12 AWI12 BGE12 BQA12 BZW12 CJS12 CTO12 DDK12 DNG12 DXC12 EGY12 EQU12 FAQ12 FKM12 FUI12 GEE12 GOA12 GXW12 HHS12 HRO12 IBK12 ILG12 IVC12 JEY12 JOU12 JYQ12 KIM12 KSI12 LCE12 LMA12 LVW12 MFS12 MPO12 MZK12 NJG12 NTC12 OCY12 OMU12 OWQ12 PGM12 PQI12 QAE12 QKA12 QTW12 RDS12 RNO12 RXK12 SHG12 SRC12 TAY12 TKU12 TUQ12 UEM12 UOI12 UYE12 VIA12 VRW12 WBS12 WLO12 WVK12 C65550 IY65548 SU65548 ACQ65548 AMM65548 AWI65548 BGE65548 BQA65548 BZW65548 CJS65548 CTO65548 DDK65548 DNG65548 DXC65548 EGY65548 EQU65548 FAQ65548 FKM65548 FUI65548 GEE65548 GOA65548 GXW65548 HHS65548 HRO65548 IBK65548 ILG65548 IVC65548 JEY65548 JOU65548 JYQ65548 KIM65548 KSI65548 LCE65548 LMA65548 LVW65548 MFS65548 MPO65548 MZK65548 NJG65548 NTC65548 OCY65548 OMU65548 OWQ65548 PGM65548 PQI65548 QAE65548 QKA65548 QTW65548 RDS65548 RNO65548 RXK65548 SHG65548 SRC65548 TAY65548 TKU65548 TUQ65548 UEM65548 UOI65548 UYE65548 VIA65548 VRW65548 WBS65548 WLO65548 WVK65548 C131086 IY131084 SU131084 ACQ131084 AMM131084 AWI131084 BGE131084 BQA131084 BZW131084 CJS131084 CTO131084 DDK131084 DNG131084 DXC131084 EGY131084 EQU131084 FAQ131084 FKM131084 FUI131084 GEE131084 GOA131084 GXW131084 HHS131084 HRO131084 IBK131084 ILG131084 IVC131084 JEY131084 JOU131084 JYQ131084 KIM131084 KSI131084 LCE131084 LMA131084 LVW131084 MFS131084 MPO131084 MZK131084 NJG131084 NTC131084 OCY131084 OMU131084 OWQ131084 PGM131084 PQI131084 QAE131084 QKA131084 QTW131084 RDS131084 RNO131084 RXK131084 SHG131084 SRC131084 TAY131084 TKU131084 TUQ131084 UEM131084 UOI131084 UYE131084 VIA131084 VRW131084 WBS131084 WLO131084 WVK131084 C196622 IY196620 SU196620 ACQ196620 AMM196620 AWI196620 BGE196620 BQA196620 BZW196620 CJS196620 CTO196620 DDK196620 DNG196620 DXC196620 EGY196620 EQU196620 FAQ196620 FKM196620 FUI196620 GEE196620 GOA196620 GXW196620 HHS196620 HRO196620 IBK196620 ILG196620 IVC196620 JEY196620 JOU196620 JYQ196620 KIM196620 KSI196620 LCE196620 LMA196620 LVW196620 MFS196620 MPO196620 MZK196620 NJG196620 NTC196620 OCY196620 OMU196620 OWQ196620 PGM196620 PQI196620 QAE196620 QKA196620 QTW196620 RDS196620 RNO196620 RXK196620 SHG196620 SRC196620 TAY196620 TKU196620 TUQ196620 UEM196620 UOI196620 UYE196620 VIA196620 VRW196620 WBS196620 WLO196620 WVK196620 C262158 IY262156 SU262156 ACQ262156 AMM262156 AWI262156 BGE262156 BQA262156 BZW262156 CJS262156 CTO262156 DDK262156 DNG262156 DXC262156 EGY262156 EQU262156 FAQ262156 FKM262156 FUI262156 GEE262156 GOA262156 GXW262156 HHS262156 HRO262156 IBK262156 ILG262156 IVC262156 JEY262156 JOU262156 JYQ262156 KIM262156 KSI262156 LCE262156 LMA262156 LVW262156 MFS262156 MPO262156 MZK262156 NJG262156 NTC262156 OCY262156 OMU262156 OWQ262156 PGM262156 PQI262156 QAE262156 QKA262156 QTW262156 RDS262156 RNO262156 RXK262156 SHG262156 SRC262156 TAY262156 TKU262156 TUQ262156 UEM262156 UOI262156 UYE262156 VIA262156 VRW262156 WBS262156 WLO262156 WVK262156 C327694 IY327692 SU327692 ACQ327692 AMM327692 AWI327692 BGE327692 BQA327692 BZW327692 CJS327692 CTO327692 DDK327692 DNG327692 DXC327692 EGY327692 EQU327692 FAQ327692 FKM327692 FUI327692 GEE327692 GOA327692 GXW327692 HHS327692 HRO327692 IBK327692 ILG327692 IVC327692 JEY327692 JOU327692 JYQ327692 KIM327692 KSI327692 LCE327692 LMA327692 LVW327692 MFS327692 MPO327692 MZK327692 NJG327692 NTC327692 OCY327692 OMU327692 OWQ327692 PGM327692 PQI327692 QAE327692 QKA327692 QTW327692 RDS327692 RNO327692 RXK327692 SHG327692 SRC327692 TAY327692 TKU327692 TUQ327692 UEM327692 UOI327692 UYE327692 VIA327692 VRW327692 WBS327692 WLO327692 WVK327692 C393230 IY393228 SU393228 ACQ393228 AMM393228 AWI393228 BGE393228 BQA393228 BZW393228 CJS393228 CTO393228 DDK393228 DNG393228 DXC393228 EGY393228 EQU393228 FAQ393228 FKM393228 FUI393228 GEE393228 GOA393228 GXW393228 HHS393228 HRO393228 IBK393228 ILG393228 IVC393228 JEY393228 JOU393228 JYQ393228 KIM393228 KSI393228 LCE393228 LMA393228 LVW393228 MFS393228 MPO393228 MZK393228 NJG393228 NTC393228 OCY393228 OMU393228 OWQ393228 PGM393228 PQI393228 QAE393228 QKA393228 QTW393228 RDS393228 RNO393228 RXK393228 SHG393228 SRC393228 TAY393228 TKU393228 TUQ393228 UEM393228 UOI393228 UYE393228 VIA393228 VRW393228 WBS393228 WLO393228 WVK393228 C458766 IY458764 SU458764 ACQ458764 AMM458764 AWI458764 BGE458764 BQA458764 BZW458764 CJS458764 CTO458764 DDK458764 DNG458764 DXC458764 EGY458764 EQU458764 FAQ458764 FKM458764 FUI458764 GEE458764 GOA458764 GXW458764 HHS458764 HRO458764 IBK458764 ILG458764 IVC458764 JEY458764 JOU458764 JYQ458764 KIM458764 KSI458764 LCE458764 LMA458764 LVW458764 MFS458764 MPO458764 MZK458764 NJG458764 NTC458764 OCY458764 OMU458764 OWQ458764 PGM458764 PQI458764 QAE458764 QKA458764 QTW458764 RDS458764 RNO458764 RXK458764 SHG458764 SRC458764 TAY458764 TKU458764 TUQ458764 UEM458764 UOI458764 UYE458764 VIA458764 VRW458764 WBS458764 WLO458764 WVK458764 C524302 IY524300 SU524300 ACQ524300 AMM524300 AWI524300 BGE524300 BQA524300 BZW524300 CJS524300 CTO524300 DDK524300 DNG524300 DXC524300 EGY524300 EQU524300 FAQ524300 FKM524300 FUI524300 GEE524300 GOA524300 GXW524300 HHS524300 HRO524300 IBK524300 ILG524300 IVC524300 JEY524300 JOU524300 JYQ524300 KIM524300 KSI524300 LCE524300 LMA524300 LVW524300 MFS524300 MPO524300 MZK524300 NJG524300 NTC524300 OCY524300 OMU524300 OWQ524300 PGM524300 PQI524300 QAE524300 QKA524300 QTW524300 RDS524300 RNO524300 RXK524300 SHG524300 SRC524300 TAY524300 TKU524300 TUQ524300 UEM524300 UOI524300 UYE524300 VIA524300 VRW524300 WBS524300 WLO524300 WVK524300 C589838 IY589836 SU589836 ACQ589836 AMM589836 AWI589836 BGE589836 BQA589836 BZW589836 CJS589836 CTO589836 DDK589836 DNG589836 DXC589836 EGY589836 EQU589836 FAQ589836 FKM589836 FUI589836 GEE589836 GOA589836 GXW589836 HHS589836 HRO589836 IBK589836 ILG589836 IVC589836 JEY589836 JOU589836 JYQ589836 KIM589836 KSI589836 LCE589836 LMA589836 LVW589836 MFS589836 MPO589836 MZK589836 NJG589836 NTC589836 OCY589836 OMU589836 OWQ589836 PGM589836 PQI589836 QAE589836 QKA589836 QTW589836 RDS589836 RNO589836 RXK589836 SHG589836 SRC589836 TAY589836 TKU589836 TUQ589836 UEM589836 UOI589836 UYE589836 VIA589836 VRW589836 WBS589836 WLO589836 WVK589836 C655374 IY655372 SU655372 ACQ655372 AMM655372 AWI655372 BGE655372 BQA655372 BZW655372 CJS655372 CTO655372 DDK655372 DNG655372 DXC655372 EGY655372 EQU655372 FAQ655372 FKM655372 FUI655372 GEE655372 GOA655372 GXW655372 HHS655372 HRO655372 IBK655372 ILG655372 IVC655372 JEY655372 JOU655372 JYQ655372 KIM655372 KSI655372 LCE655372 LMA655372 LVW655372 MFS655372 MPO655372 MZK655372 NJG655372 NTC655372 OCY655372 OMU655372 OWQ655372 PGM655372 PQI655372 QAE655372 QKA655372 QTW655372 RDS655372 RNO655372 RXK655372 SHG655372 SRC655372 TAY655372 TKU655372 TUQ655372 UEM655372 UOI655372 UYE655372 VIA655372 VRW655372 WBS655372 WLO655372 WVK655372 C720910 IY720908 SU720908 ACQ720908 AMM720908 AWI720908 BGE720908 BQA720908 BZW720908 CJS720908 CTO720908 DDK720908 DNG720908 DXC720908 EGY720908 EQU720908 FAQ720908 FKM720908 FUI720908 GEE720908 GOA720908 GXW720908 HHS720908 HRO720908 IBK720908 ILG720908 IVC720908 JEY720908 JOU720908 JYQ720908 KIM720908 KSI720908 LCE720908 LMA720908 LVW720908 MFS720908 MPO720908 MZK720908 NJG720908 NTC720908 OCY720908 OMU720908 OWQ720908 PGM720908 PQI720908 QAE720908 QKA720908 QTW720908 RDS720908 RNO720908 RXK720908 SHG720908 SRC720908 TAY720908 TKU720908 TUQ720908 UEM720908 UOI720908 UYE720908 VIA720908 VRW720908 WBS720908 WLO720908 WVK720908 C786446 IY786444 SU786444 ACQ786444 AMM786444 AWI786444 BGE786444 BQA786444 BZW786444 CJS786444 CTO786444 DDK786444 DNG786444 DXC786444 EGY786444 EQU786444 FAQ786444 FKM786444 FUI786444 GEE786444 GOA786444 GXW786444 HHS786444 HRO786444 IBK786444 ILG786444 IVC786444 JEY786444 JOU786444 JYQ786444 KIM786444 KSI786444 LCE786444 LMA786444 LVW786444 MFS786444 MPO786444 MZK786444 NJG786444 NTC786444 OCY786444 OMU786444 OWQ786444 PGM786444 PQI786444 QAE786444 QKA786444 QTW786444 RDS786444 RNO786444 RXK786444 SHG786444 SRC786444 TAY786444 TKU786444 TUQ786444 UEM786444 UOI786444 UYE786444 VIA786444 VRW786444 WBS786444 WLO786444 WVK786444 C851982 IY851980 SU851980 ACQ851980 AMM851980 AWI851980 BGE851980 BQA851980 BZW851980 CJS851980 CTO851980 DDK851980 DNG851980 DXC851980 EGY851980 EQU851980 FAQ851980 FKM851980 FUI851980 GEE851980 GOA851980 GXW851980 HHS851980 HRO851980 IBK851980 ILG851980 IVC851980 JEY851980 JOU851980 JYQ851980 KIM851980 KSI851980 LCE851980 LMA851980 LVW851980 MFS851980 MPO851980 MZK851980 NJG851980 NTC851980 OCY851980 OMU851980 OWQ851980 PGM851980 PQI851980 QAE851980 QKA851980 QTW851980 RDS851980 RNO851980 RXK851980 SHG851980 SRC851980 TAY851980 TKU851980 TUQ851980 UEM851980 UOI851980 UYE851980 VIA851980 VRW851980 WBS851980 WLO851980 WVK851980 C917518 IY917516 SU917516 ACQ917516 AMM917516 AWI917516 BGE917516 BQA917516 BZW917516 CJS917516 CTO917516 DDK917516 DNG917516 DXC917516 EGY917516 EQU917516 FAQ917516 FKM917516 FUI917516 GEE917516 GOA917516 GXW917516 HHS917516 HRO917516 IBK917516 ILG917516 IVC917516 JEY917516 JOU917516 JYQ917516 KIM917516 KSI917516 LCE917516 LMA917516 LVW917516 MFS917516 MPO917516 MZK917516 NJG917516 NTC917516 OCY917516 OMU917516 OWQ917516 PGM917516 PQI917516 QAE917516 QKA917516 QTW917516 RDS917516 RNO917516 RXK917516 SHG917516 SRC917516 TAY917516 TKU917516 TUQ917516 UEM917516 UOI917516 UYE917516 VIA917516 VRW917516 WBS917516 WLO917516 WVK917516 C983054 IY983052 SU983052 ACQ983052 AMM983052 AWI983052 BGE983052 BQA983052 BZW983052 CJS983052 CTO983052 DDK983052 DNG983052 DXC983052 EGY983052 EQU983052 FAQ983052 FKM983052 FUI983052 GEE983052 GOA983052 GXW983052 HHS983052 HRO983052 IBK983052 ILG983052 IVC983052 JEY983052 JOU983052 JYQ983052 KIM983052 KSI983052 LCE983052 LMA983052 LVW983052 MFS983052 MPO983052 MZK983052 NJG983052 NTC983052 OCY983052 OMU983052 OWQ983052 PGM983052 PQI983052 QAE983052 QKA983052 QTW983052 RDS983052 RNO983052 RXK983052 SHG983052 SRC983052 TAY983052 TKU983052 TUQ983052 UEM983052 UOI983052 UYE983052 VIA983052 VRW983052 WBS983052 WLO983052 WVK983052" xr:uid="{450E18E6-E6AC-45AA-8F69-B228F04B4A41}">
      <formula1>"Reference Datapoint"</formula1>
    </dataValidation>
    <dataValidation showInputMessage="1" showErrorMessage="1" sqref="A1 IW1 SS1 ACO1 AMK1 AWG1 BGC1 BPY1 BZU1 CJQ1 CTM1 DDI1 DNE1 DXA1 EGW1 EQS1 FAO1 FKK1 FUG1 GEC1 GNY1 GXU1 HHQ1 HRM1 IBI1 ILE1 IVA1 JEW1 JOS1 JYO1 KIK1 KSG1 LCC1 LLY1 LVU1 MFQ1 MPM1 MZI1 NJE1 NTA1 OCW1 OMS1 OWO1 PGK1 PQG1 QAC1 QJY1 QTU1 RDQ1 RNM1 RXI1 SHE1 SRA1 TAW1 TKS1 TUO1 UEK1 UOG1 UYC1 VHY1 VRU1 WBQ1 WLM1 WVI1 A65537 IW65537 SS65537 ACO65537 AMK65537 AWG65537 BGC65537 BPY65537 BZU65537 CJQ65537 CTM65537 DDI65537 DNE65537 DXA65537 EGW65537 EQS65537 FAO65537 FKK65537 FUG65537 GEC65537 GNY65537 GXU65537 HHQ65537 HRM65537 IBI65537 ILE65537 IVA65537 JEW65537 JOS65537 JYO65537 KIK65537 KSG65537 LCC65537 LLY65537 LVU65537 MFQ65537 MPM65537 MZI65537 NJE65537 NTA65537 OCW65537 OMS65537 OWO65537 PGK65537 PQG65537 QAC65537 QJY65537 QTU65537 RDQ65537 RNM65537 RXI65537 SHE65537 SRA65537 TAW65537 TKS65537 TUO65537 UEK65537 UOG65537 UYC65537 VHY65537 VRU65537 WBQ65537 WLM65537 WVI65537 A131073 IW131073 SS131073 ACO131073 AMK131073 AWG131073 BGC131073 BPY131073 BZU131073 CJQ131073 CTM131073 DDI131073 DNE131073 DXA131073 EGW131073 EQS131073 FAO131073 FKK131073 FUG131073 GEC131073 GNY131073 GXU131073 HHQ131073 HRM131073 IBI131073 ILE131073 IVA131073 JEW131073 JOS131073 JYO131073 KIK131073 KSG131073 LCC131073 LLY131073 LVU131073 MFQ131073 MPM131073 MZI131073 NJE131073 NTA131073 OCW131073 OMS131073 OWO131073 PGK131073 PQG131073 QAC131073 QJY131073 QTU131073 RDQ131073 RNM131073 RXI131073 SHE131073 SRA131073 TAW131073 TKS131073 TUO131073 UEK131073 UOG131073 UYC131073 VHY131073 VRU131073 WBQ131073 WLM131073 WVI131073 A196609 IW196609 SS196609 ACO196609 AMK196609 AWG196609 BGC196609 BPY196609 BZU196609 CJQ196609 CTM196609 DDI196609 DNE196609 DXA196609 EGW196609 EQS196609 FAO196609 FKK196609 FUG196609 GEC196609 GNY196609 GXU196609 HHQ196609 HRM196609 IBI196609 ILE196609 IVA196609 JEW196609 JOS196609 JYO196609 KIK196609 KSG196609 LCC196609 LLY196609 LVU196609 MFQ196609 MPM196609 MZI196609 NJE196609 NTA196609 OCW196609 OMS196609 OWO196609 PGK196609 PQG196609 QAC196609 QJY196609 QTU196609 RDQ196609 RNM196609 RXI196609 SHE196609 SRA196609 TAW196609 TKS196609 TUO196609 UEK196609 UOG196609 UYC196609 VHY196609 VRU196609 WBQ196609 WLM196609 WVI196609 A262145 IW262145 SS262145 ACO262145 AMK262145 AWG262145 BGC262145 BPY262145 BZU262145 CJQ262145 CTM262145 DDI262145 DNE262145 DXA262145 EGW262145 EQS262145 FAO262145 FKK262145 FUG262145 GEC262145 GNY262145 GXU262145 HHQ262145 HRM262145 IBI262145 ILE262145 IVA262145 JEW262145 JOS262145 JYO262145 KIK262145 KSG262145 LCC262145 LLY262145 LVU262145 MFQ262145 MPM262145 MZI262145 NJE262145 NTA262145 OCW262145 OMS262145 OWO262145 PGK262145 PQG262145 QAC262145 QJY262145 QTU262145 RDQ262145 RNM262145 RXI262145 SHE262145 SRA262145 TAW262145 TKS262145 TUO262145 UEK262145 UOG262145 UYC262145 VHY262145 VRU262145 WBQ262145 WLM262145 WVI262145 A327681 IW327681 SS327681 ACO327681 AMK327681 AWG327681 BGC327681 BPY327681 BZU327681 CJQ327681 CTM327681 DDI327681 DNE327681 DXA327681 EGW327681 EQS327681 FAO327681 FKK327681 FUG327681 GEC327681 GNY327681 GXU327681 HHQ327681 HRM327681 IBI327681 ILE327681 IVA327681 JEW327681 JOS327681 JYO327681 KIK327681 KSG327681 LCC327681 LLY327681 LVU327681 MFQ327681 MPM327681 MZI327681 NJE327681 NTA327681 OCW327681 OMS327681 OWO327681 PGK327681 PQG327681 QAC327681 QJY327681 QTU327681 RDQ327681 RNM327681 RXI327681 SHE327681 SRA327681 TAW327681 TKS327681 TUO327681 UEK327681 UOG327681 UYC327681 VHY327681 VRU327681 WBQ327681 WLM327681 WVI327681 A393217 IW393217 SS393217 ACO393217 AMK393217 AWG393217 BGC393217 BPY393217 BZU393217 CJQ393217 CTM393217 DDI393217 DNE393217 DXA393217 EGW393217 EQS393217 FAO393217 FKK393217 FUG393217 GEC393217 GNY393217 GXU393217 HHQ393217 HRM393217 IBI393217 ILE393217 IVA393217 JEW393217 JOS393217 JYO393217 KIK393217 KSG393217 LCC393217 LLY393217 LVU393217 MFQ393217 MPM393217 MZI393217 NJE393217 NTA393217 OCW393217 OMS393217 OWO393217 PGK393217 PQG393217 QAC393217 QJY393217 QTU393217 RDQ393217 RNM393217 RXI393217 SHE393217 SRA393217 TAW393217 TKS393217 TUO393217 UEK393217 UOG393217 UYC393217 VHY393217 VRU393217 WBQ393217 WLM393217 WVI393217 A458753 IW458753 SS458753 ACO458753 AMK458753 AWG458753 BGC458753 BPY458753 BZU458753 CJQ458753 CTM458753 DDI458753 DNE458753 DXA458753 EGW458753 EQS458753 FAO458753 FKK458753 FUG458753 GEC458753 GNY458753 GXU458753 HHQ458753 HRM458753 IBI458753 ILE458753 IVA458753 JEW458753 JOS458753 JYO458753 KIK458753 KSG458753 LCC458753 LLY458753 LVU458753 MFQ458753 MPM458753 MZI458753 NJE458753 NTA458753 OCW458753 OMS458753 OWO458753 PGK458753 PQG458753 QAC458753 QJY458753 QTU458753 RDQ458753 RNM458753 RXI458753 SHE458753 SRA458753 TAW458753 TKS458753 TUO458753 UEK458753 UOG458753 UYC458753 VHY458753 VRU458753 WBQ458753 WLM458753 WVI458753 A524289 IW524289 SS524289 ACO524289 AMK524289 AWG524289 BGC524289 BPY524289 BZU524289 CJQ524289 CTM524289 DDI524289 DNE524289 DXA524289 EGW524289 EQS524289 FAO524289 FKK524289 FUG524289 GEC524289 GNY524289 GXU524289 HHQ524289 HRM524289 IBI524289 ILE524289 IVA524289 JEW524289 JOS524289 JYO524289 KIK524289 KSG524289 LCC524289 LLY524289 LVU524289 MFQ524289 MPM524289 MZI524289 NJE524289 NTA524289 OCW524289 OMS524289 OWO524289 PGK524289 PQG524289 QAC524289 QJY524289 QTU524289 RDQ524289 RNM524289 RXI524289 SHE524289 SRA524289 TAW524289 TKS524289 TUO524289 UEK524289 UOG524289 UYC524289 VHY524289 VRU524289 WBQ524289 WLM524289 WVI524289 A589825 IW589825 SS589825 ACO589825 AMK589825 AWG589825 BGC589825 BPY589825 BZU589825 CJQ589825 CTM589825 DDI589825 DNE589825 DXA589825 EGW589825 EQS589825 FAO589825 FKK589825 FUG589825 GEC589825 GNY589825 GXU589825 HHQ589825 HRM589825 IBI589825 ILE589825 IVA589825 JEW589825 JOS589825 JYO589825 KIK589825 KSG589825 LCC589825 LLY589825 LVU589825 MFQ589825 MPM589825 MZI589825 NJE589825 NTA589825 OCW589825 OMS589825 OWO589825 PGK589825 PQG589825 QAC589825 QJY589825 QTU589825 RDQ589825 RNM589825 RXI589825 SHE589825 SRA589825 TAW589825 TKS589825 TUO589825 UEK589825 UOG589825 UYC589825 VHY589825 VRU589825 WBQ589825 WLM589825 WVI589825 A655361 IW655361 SS655361 ACO655361 AMK655361 AWG655361 BGC655361 BPY655361 BZU655361 CJQ655361 CTM655361 DDI655361 DNE655361 DXA655361 EGW655361 EQS655361 FAO655361 FKK655361 FUG655361 GEC655361 GNY655361 GXU655361 HHQ655361 HRM655361 IBI655361 ILE655361 IVA655361 JEW655361 JOS655361 JYO655361 KIK655361 KSG655361 LCC655361 LLY655361 LVU655361 MFQ655361 MPM655361 MZI655361 NJE655361 NTA655361 OCW655361 OMS655361 OWO655361 PGK655361 PQG655361 QAC655361 QJY655361 QTU655361 RDQ655361 RNM655361 RXI655361 SHE655361 SRA655361 TAW655361 TKS655361 TUO655361 UEK655361 UOG655361 UYC655361 VHY655361 VRU655361 WBQ655361 WLM655361 WVI655361 A720897 IW720897 SS720897 ACO720897 AMK720897 AWG720897 BGC720897 BPY720897 BZU720897 CJQ720897 CTM720897 DDI720897 DNE720897 DXA720897 EGW720897 EQS720897 FAO720897 FKK720897 FUG720897 GEC720897 GNY720897 GXU720897 HHQ720897 HRM720897 IBI720897 ILE720897 IVA720897 JEW720897 JOS720897 JYO720897 KIK720897 KSG720897 LCC720897 LLY720897 LVU720897 MFQ720897 MPM720897 MZI720897 NJE720897 NTA720897 OCW720897 OMS720897 OWO720897 PGK720897 PQG720897 QAC720897 QJY720897 QTU720897 RDQ720897 RNM720897 RXI720897 SHE720897 SRA720897 TAW720897 TKS720897 TUO720897 UEK720897 UOG720897 UYC720897 VHY720897 VRU720897 WBQ720897 WLM720897 WVI720897 A786433 IW786433 SS786433 ACO786433 AMK786433 AWG786433 BGC786433 BPY786433 BZU786433 CJQ786433 CTM786433 DDI786433 DNE786433 DXA786433 EGW786433 EQS786433 FAO786433 FKK786433 FUG786433 GEC786433 GNY786433 GXU786433 HHQ786433 HRM786433 IBI786433 ILE786433 IVA786433 JEW786433 JOS786433 JYO786433 KIK786433 KSG786433 LCC786433 LLY786433 LVU786433 MFQ786433 MPM786433 MZI786433 NJE786433 NTA786433 OCW786433 OMS786433 OWO786433 PGK786433 PQG786433 QAC786433 QJY786433 QTU786433 RDQ786433 RNM786433 RXI786433 SHE786433 SRA786433 TAW786433 TKS786433 TUO786433 UEK786433 UOG786433 UYC786433 VHY786433 VRU786433 WBQ786433 WLM786433 WVI786433 A851969 IW851969 SS851969 ACO851969 AMK851969 AWG851969 BGC851969 BPY851969 BZU851969 CJQ851969 CTM851969 DDI851969 DNE851969 DXA851969 EGW851969 EQS851969 FAO851969 FKK851969 FUG851969 GEC851969 GNY851969 GXU851969 HHQ851969 HRM851969 IBI851969 ILE851969 IVA851969 JEW851969 JOS851969 JYO851969 KIK851969 KSG851969 LCC851969 LLY851969 LVU851969 MFQ851969 MPM851969 MZI851969 NJE851969 NTA851969 OCW851969 OMS851969 OWO851969 PGK851969 PQG851969 QAC851969 QJY851969 QTU851969 RDQ851969 RNM851969 RXI851969 SHE851969 SRA851969 TAW851969 TKS851969 TUO851969 UEK851969 UOG851969 UYC851969 VHY851969 VRU851969 WBQ851969 WLM851969 WVI851969 A917505 IW917505 SS917505 ACO917505 AMK917505 AWG917505 BGC917505 BPY917505 BZU917505 CJQ917505 CTM917505 DDI917505 DNE917505 DXA917505 EGW917505 EQS917505 FAO917505 FKK917505 FUG917505 GEC917505 GNY917505 GXU917505 HHQ917505 HRM917505 IBI917505 ILE917505 IVA917505 JEW917505 JOS917505 JYO917505 KIK917505 KSG917505 LCC917505 LLY917505 LVU917505 MFQ917505 MPM917505 MZI917505 NJE917505 NTA917505 OCW917505 OMS917505 OWO917505 PGK917505 PQG917505 QAC917505 QJY917505 QTU917505 RDQ917505 RNM917505 RXI917505 SHE917505 SRA917505 TAW917505 TKS917505 TUO917505 UEK917505 UOG917505 UYC917505 VHY917505 VRU917505 WBQ917505 WLM917505 WVI917505 A983041 IW983041 SS983041 ACO983041 AMK983041 AWG983041 BGC983041 BPY983041 BZU983041 CJQ983041 CTM983041 DDI983041 DNE983041 DXA983041 EGW983041 EQS983041 FAO983041 FKK983041 FUG983041 GEC983041 GNY983041 GXU983041 HHQ983041 HRM983041 IBI983041 ILE983041 IVA983041 JEW983041 JOS983041 JYO983041 KIK983041 KSG983041 LCC983041 LLY983041 LVU983041 MFQ983041 MPM983041 MZI983041 NJE983041 NTA983041 OCW983041 OMS983041 OWO983041 PGK983041 PQG983041 QAC983041 QJY983041 QTU983041 RDQ983041 RNM983041 RXI983041 SHE983041 SRA983041 TAW983041 TKS983041 TUO983041 UEK983041 UOG983041 UYC983041 VHY983041 VRU983041 WBQ983041 WLM983041 WVI983041" xr:uid="{9239242F-B7AD-4885-8B68-FD13570AEB76}"/>
    <dataValidation type="custom" showInputMessage="1" showErrorMessage="1" sqref="C6 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C65544 IY65542 SU65542 ACQ65542 AMM65542 AWI65542 BGE65542 BQA65542 BZW65542 CJS65542 CTO65542 DDK65542 DNG65542 DXC65542 EGY65542 EQU65542 FAQ65542 FKM65542 FUI65542 GEE65542 GOA65542 GXW65542 HHS65542 HRO65542 IBK65542 ILG65542 IVC65542 JEY65542 JOU65542 JYQ65542 KIM65542 KSI65542 LCE65542 LMA65542 LVW65542 MFS65542 MPO65542 MZK65542 NJG65542 NTC65542 OCY65542 OMU65542 OWQ65542 PGM65542 PQI65542 QAE65542 QKA65542 QTW65542 RDS65542 RNO65542 RXK65542 SHG65542 SRC65542 TAY65542 TKU65542 TUQ65542 UEM65542 UOI65542 UYE65542 VIA65542 VRW65542 WBS65542 WLO65542 WVK65542 C131080 IY131078 SU131078 ACQ131078 AMM131078 AWI131078 BGE131078 BQA131078 BZW131078 CJS131078 CTO131078 DDK131078 DNG131078 DXC131078 EGY131078 EQU131078 FAQ131078 FKM131078 FUI131078 GEE131078 GOA131078 GXW131078 HHS131078 HRO131078 IBK131078 ILG131078 IVC131078 JEY131078 JOU131078 JYQ131078 KIM131078 KSI131078 LCE131078 LMA131078 LVW131078 MFS131078 MPO131078 MZK131078 NJG131078 NTC131078 OCY131078 OMU131078 OWQ131078 PGM131078 PQI131078 QAE131078 QKA131078 QTW131078 RDS131078 RNO131078 RXK131078 SHG131078 SRC131078 TAY131078 TKU131078 TUQ131078 UEM131078 UOI131078 UYE131078 VIA131078 VRW131078 WBS131078 WLO131078 WVK131078 C196616 IY196614 SU196614 ACQ196614 AMM196614 AWI196614 BGE196614 BQA196614 BZW196614 CJS196614 CTO196614 DDK196614 DNG196614 DXC196614 EGY196614 EQU196614 FAQ196614 FKM196614 FUI196614 GEE196614 GOA196614 GXW196614 HHS196614 HRO196614 IBK196614 ILG196614 IVC196614 JEY196614 JOU196614 JYQ196614 KIM196614 KSI196614 LCE196614 LMA196614 LVW196614 MFS196614 MPO196614 MZK196614 NJG196614 NTC196614 OCY196614 OMU196614 OWQ196614 PGM196614 PQI196614 QAE196614 QKA196614 QTW196614 RDS196614 RNO196614 RXK196614 SHG196614 SRC196614 TAY196614 TKU196614 TUQ196614 UEM196614 UOI196614 UYE196614 VIA196614 VRW196614 WBS196614 WLO196614 WVK196614 C262152 IY262150 SU262150 ACQ262150 AMM262150 AWI262150 BGE262150 BQA262150 BZW262150 CJS262150 CTO262150 DDK262150 DNG262150 DXC262150 EGY262150 EQU262150 FAQ262150 FKM262150 FUI262150 GEE262150 GOA262150 GXW262150 HHS262150 HRO262150 IBK262150 ILG262150 IVC262150 JEY262150 JOU262150 JYQ262150 KIM262150 KSI262150 LCE262150 LMA262150 LVW262150 MFS262150 MPO262150 MZK262150 NJG262150 NTC262150 OCY262150 OMU262150 OWQ262150 PGM262150 PQI262150 QAE262150 QKA262150 QTW262150 RDS262150 RNO262150 RXK262150 SHG262150 SRC262150 TAY262150 TKU262150 TUQ262150 UEM262150 UOI262150 UYE262150 VIA262150 VRW262150 WBS262150 WLO262150 WVK262150 C327688 IY327686 SU327686 ACQ327686 AMM327686 AWI327686 BGE327686 BQA327686 BZW327686 CJS327686 CTO327686 DDK327686 DNG327686 DXC327686 EGY327686 EQU327686 FAQ327686 FKM327686 FUI327686 GEE327686 GOA327686 GXW327686 HHS327686 HRO327686 IBK327686 ILG327686 IVC327686 JEY327686 JOU327686 JYQ327686 KIM327686 KSI327686 LCE327686 LMA327686 LVW327686 MFS327686 MPO327686 MZK327686 NJG327686 NTC327686 OCY327686 OMU327686 OWQ327686 PGM327686 PQI327686 QAE327686 QKA327686 QTW327686 RDS327686 RNO327686 RXK327686 SHG327686 SRC327686 TAY327686 TKU327686 TUQ327686 UEM327686 UOI327686 UYE327686 VIA327686 VRW327686 WBS327686 WLO327686 WVK327686 C393224 IY393222 SU393222 ACQ393222 AMM393222 AWI393222 BGE393222 BQA393222 BZW393222 CJS393222 CTO393222 DDK393222 DNG393222 DXC393222 EGY393222 EQU393222 FAQ393222 FKM393222 FUI393222 GEE393222 GOA393222 GXW393222 HHS393222 HRO393222 IBK393222 ILG393222 IVC393222 JEY393222 JOU393222 JYQ393222 KIM393222 KSI393222 LCE393222 LMA393222 LVW393222 MFS393222 MPO393222 MZK393222 NJG393222 NTC393222 OCY393222 OMU393222 OWQ393222 PGM393222 PQI393222 QAE393222 QKA393222 QTW393222 RDS393222 RNO393222 RXK393222 SHG393222 SRC393222 TAY393222 TKU393222 TUQ393222 UEM393222 UOI393222 UYE393222 VIA393222 VRW393222 WBS393222 WLO393222 WVK393222 C458760 IY458758 SU458758 ACQ458758 AMM458758 AWI458758 BGE458758 BQA458758 BZW458758 CJS458758 CTO458758 DDK458758 DNG458758 DXC458758 EGY458758 EQU458758 FAQ458758 FKM458758 FUI458758 GEE458758 GOA458758 GXW458758 HHS458758 HRO458758 IBK458758 ILG458758 IVC458758 JEY458758 JOU458758 JYQ458758 KIM458758 KSI458758 LCE458758 LMA458758 LVW458758 MFS458758 MPO458758 MZK458758 NJG458758 NTC458758 OCY458758 OMU458758 OWQ458758 PGM458758 PQI458758 QAE458758 QKA458758 QTW458758 RDS458758 RNO458758 RXK458758 SHG458758 SRC458758 TAY458758 TKU458758 TUQ458758 UEM458758 UOI458758 UYE458758 VIA458758 VRW458758 WBS458758 WLO458758 WVK458758 C524296 IY524294 SU524294 ACQ524294 AMM524294 AWI524294 BGE524294 BQA524294 BZW524294 CJS524294 CTO524294 DDK524294 DNG524294 DXC524294 EGY524294 EQU524294 FAQ524294 FKM524294 FUI524294 GEE524294 GOA524294 GXW524294 HHS524294 HRO524294 IBK524294 ILG524294 IVC524294 JEY524294 JOU524294 JYQ524294 KIM524294 KSI524294 LCE524294 LMA524294 LVW524294 MFS524294 MPO524294 MZK524294 NJG524294 NTC524294 OCY524294 OMU524294 OWQ524294 PGM524294 PQI524294 QAE524294 QKA524294 QTW524294 RDS524294 RNO524294 RXK524294 SHG524294 SRC524294 TAY524294 TKU524294 TUQ524294 UEM524294 UOI524294 UYE524294 VIA524294 VRW524294 WBS524294 WLO524294 WVK524294 C589832 IY589830 SU589830 ACQ589830 AMM589830 AWI589830 BGE589830 BQA589830 BZW589830 CJS589830 CTO589830 DDK589830 DNG589830 DXC589830 EGY589830 EQU589830 FAQ589830 FKM589830 FUI589830 GEE589830 GOA589830 GXW589830 HHS589830 HRO589830 IBK589830 ILG589830 IVC589830 JEY589830 JOU589830 JYQ589830 KIM589830 KSI589830 LCE589830 LMA589830 LVW589830 MFS589830 MPO589830 MZK589830 NJG589830 NTC589830 OCY589830 OMU589830 OWQ589830 PGM589830 PQI589830 QAE589830 QKA589830 QTW589830 RDS589830 RNO589830 RXK589830 SHG589830 SRC589830 TAY589830 TKU589830 TUQ589830 UEM589830 UOI589830 UYE589830 VIA589830 VRW589830 WBS589830 WLO589830 WVK589830 C655368 IY655366 SU655366 ACQ655366 AMM655366 AWI655366 BGE655366 BQA655366 BZW655366 CJS655366 CTO655366 DDK655366 DNG655366 DXC655366 EGY655366 EQU655366 FAQ655366 FKM655366 FUI655366 GEE655366 GOA655366 GXW655366 HHS655366 HRO655366 IBK655366 ILG655366 IVC655366 JEY655366 JOU655366 JYQ655366 KIM655366 KSI655366 LCE655366 LMA655366 LVW655366 MFS655366 MPO655366 MZK655366 NJG655366 NTC655366 OCY655366 OMU655366 OWQ655366 PGM655366 PQI655366 QAE655366 QKA655366 QTW655366 RDS655366 RNO655366 RXK655366 SHG655366 SRC655366 TAY655366 TKU655366 TUQ655366 UEM655366 UOI655366 UYE655366 VIA655366 VRW655366 WBS655366 WLO655366 WVK655366 C720904 IY720902 SU720902 ACQ720902 AMM720902 AWI720902 BGE720902 BQA720902 BZW720902 CJS720902 CTO720902 DDK720902 DNG720902 DXC720902 EGY720902 EQU720902 FAQ720902 FKM720902 FUI720902 GEE720902 GOA720902 GXW720902 HHS720902 HRO720902 IBK720902 ILG720902 IVC720902 JEY720902 JOU720902 JYQ720902 KIM720902 KSI720902 LCE720902 LMA720902 LVW720902 MFS720902 MPO720902 MZK720902 NJG720902 NTC720902 OCY720902 OMU720902 OWQ720902 PGM720902 PQI720902 QAE720902 QKA720902 QTW720902 RDS720902 RNO720902 RXK720902 SHG720902 SRC720902 TAY720902 TKU720902 TUQ720902 UEM720902 UOI720902 UYE720902 VIA720902 VRW720902 WBS720902 WLO720902 WVK720902 C786440 IY786438 SU786438 ACQ786438 AMM786438 AWI786438 BGE786438 BQA786438 BZW786438 CJS786438 CTO786438 DDK786438 DNG786438 DXC786438 EGY786438 EQU786438 FAQ786438 FKM786438 FUI786438 GEE786438 GOA786438 GXW786438 HHS786438 HRO786438 IBK786438 ILG786438 IVC786438 JEY786438 JOU786438 JYQ786438 KIM786438 KSI786438 LCE786438 LMA786438 LVW786438 MFS786438 MPO786438 MZK786438 NJG786438 NTC786438 OCY786438 OMU786438 OWQ786438 PGM786438 PQI786438 QAE786438 QKA786438 QTW786438 RDS786438 RNO786438 RXK786438 SHG786438 SRC786438 TAY786438 TKU786438 TUQ786438 UEM786438 UOI786438 UYE786438 VIA786438 VRW786438 WBS786438 WLO786438 WVK786438 C851976 IY851974 SU851974 ACQ851974 AMM851974 AWI851974 BGE851974 BQA851974 BZW851974 CJS851974 CTO851974 DDK851974 DNG851974 DXC851974 EGY851974 EQU851974 FAQ851974 FKM851974 FUI851974 GEE851974 GOA851974 GXW851974 HHS851974 HRO851974 IBK851974 ILG851974 IVC851974 JEY851974 JOU851974 JYQ851974 KIM851974 KSI851974 LCE851974 LMA851974 LVW851974 MFS851974 MPO851974 MZK851974 NJG851974 NTC851974 OCY851974 OMU851974 OWQ851974 PGM851974 PQI851974 QAE851974 QKA851974 QTW851974 RDS851974 RNO851974 RXK851974 SHG851974 SRC851974 TAY851974 TKU851974 TUQ851974 UEM851974 UOI851974 UYE851974 VIA851974 VRW851974 WBS851974 WLO851974 WVK851974 C917512 IY917510 SU917510 ACQ917510 AMM917510 AWI917510 BGE917510 BQA917510 BZW917510 CJS917510 CTO917510 DDK917510 DNG917510 DXC917510 EGY917510 EQU917510 FAQ917510 FKM917510 FUI917510 GEE917510 GOA917510 GXW917510 HHS917510 HRO917510 IBK917510 ILG917510 IVC917510 JEY917510 JOU917510 JYQ917510 KIM917510 KSI917510 LCE917510 LMA917510 LVW917510 MFS917510 MPO917510 MZK917510 NJG917510 NTC917510 OCY917510 OMU917510 OWQ917510 PGM917510 PQI917510 QAE917510 QKA917510 QTW917510 RDS917510 RNO917510 RXK917510 SHG917510 SRC917510 TAY917510 TKU917510 TUQ917510 UEM917510 UOI917510 UYE917510 VIA917510 VRW917510 WBS917510 WLO917510 WVK917510 C983048 IY983046 SU983046 ACQ983046 AMM983046 AWI983046 BGE983046 BQA983046 BZW983046 CJS983046 CTO983046 DDK983046 DNG983046 DXC983046 EGY983046 EQU983046 FAQ983046 FKM983046 FUI983046 GEE983046 GOA983046 GXW983046 HHS983046 HRO983046 IBK983046 ILG983046 IVC983046 JEY983046 JOU983046 JYQ983046 KIM983046 KSI983046 LCE983046 LMA983046 LVW983046 MFS983046 MPO983046 MZK983046 NJG983046 NTC983046 OCY983046 OMU983046 OWQ983046 PGM983046 PQI983046 QAE983046 QKA983046 QTW983046 RDS983046 RNO983046 RXK983046 SHG983046 SRC983046 TAY983046 TKU983046 TUQ983046 UEM983046 UOI983046 UYE983046 VIA983046 VRW983046 WBS983046 WLO983046 WVK983046" xr:uid="{42D7147A-C44A-4519-86F7-BAC58E4B39F9}">
      <formula1>"Rating"</formula1>
    </dataValidation>
    <dataValidation type="custom" showInputMessage="1" showErrorMessage="1" sqref="C4 IY4 SU4 ACQ4 AMM4 AWI4 BGE4 BQA4 BZW4 CJS4 CTO4 DDK4 DNG4 DXC4 EGY4 EQU4 FAQ4 FKM4 FUI4 GEE4 GOA4 GXW4 HHS4 HRO4 IBK4 ILG4 IVC4 JEY4 JOU4 JYQ4 KIM4 KSI4 LCE4 LMA4 LVW4 MFS4 MPO4 MZK4 NJG4 NTC4 OCY4 OMU4 OWQ4 PGM4 PQI4 QAE4 QKA4 QTW4 RDS4 RNO4 RXK4 SHG4 SRC4 TAY4 TKU4 TUQ4 UEM4 UOI4 UYE4 VIA4 VRW4 WBS4 WLO4 WVK4 C65542 IY65540 SU65540 ACQ65540 AMM65540 AWI65540 BGE65540 BQA65540 BZW65540 CJS65540 CTO65540 DDK65540 DNG65540 DXC65540 EGY65540 EQU65540 FAQ65540 FKM65540 FUI65540 GEE65540 GOA65540 GXW65540 HHS65540 HRO65540 IBK65540 ILG65540 IVC65540 JEY65540 JOU65540 JYQ65540 KIM65540 KSI65540 LCE65540 LMA65540 LVW65540 MFS65540 MPO65540 MZK65540 NJG65540 NTC65540 OCY65540 OMU65540 OWQ65540 PGM65540 PQI65540 QAE65540 QKA65540 QTW65540 RDS65540 RNO65540 RXK65540 SHG65540 SRC65540 TAY65540 TKU65540 TUQ65540 UEM65540 UOI65540 UYE65540 VIA65540 VRW65540 WBS65540 WLO65540 WVK65540 C131078 IY131076 SU131076 ACQ131076 AMM131076 AWI131076 BGE131076 BQA131076 BZW131076 CJS131076 CTO131076 DDK131076 DNG131076 DXC131076 EGY131076 EQU131076 FAQ131076 FKM131076 FUI131076 GEE131076 GOA131076 GXW131076 HHS131076 HRO131076 IBK131076 ILG131076 IVC131076 JEY131076 JOU131076 JYQ131076 KIM131076 KSI131076 LCE131076 LMA131076 LVW131076 MFS131076 MPO131076 MZK131076 NJG131076 NTC131076 OCY131076 OMU131076 OWQ131076 PGM131076 PQI131076 QAE131076 QKA131076 QTW131076 RDS131076 RNO131076 RXK131076 SHG131076 SRC131076 TAY131076 TKU131076 TUQ131076 UEM131076 UOI131076 UYE131076 VIA131076 VRW131076 WBS131076 WLO131076 WVK131076 C196614 IY196612 SU196612 ACQ196612 AMM196612 AWI196612 BGE196612 BQA196612 BZW196612 CJS196612 CTO196612 DDK196612 DNG196612 DXC196612 EGY196612 EQU196612 FAQ196612 FKM196612 FUI196612 GEE196612 GOA196612 GXW196612 HHS196612 HRO196612 IBK196612 ILG196612 IVC196612 JEY196612 JOU196612 JYQ196612 KIM196612 KSI196612 LCE196612 LMA196612 LVW196612 MFS196612 MPO196612 MZK196612 NJG196612 NTC196612 OCY196612 OMU196612 OWQ196612 PGM196612 PQI196612 QAE196612 QKA196612 QTW196612 RDS196612 RNO196612 RXK196612 SHG196612 SRC196612 TAY196612 TKU196612 TUQ196612 UEM196612 UOI196612 UYE196612 VIA196612 VRW196612 WBS196612 WLO196612 WVK196612 C262150 IY262148 SU262148 ACQ262148 AMM262148 AWI262148 BGE262148 BQA262148 BZW262148 CJS262148 CTO262148 DDK262148 DNG262148 DXC262148 EGY262148 EQU262148 FAQ262148 FKM262148 FUI262148 GEE262148 GOA262148 GXW262148 HHS262148 HRO262148 IBK262148 ILG262148 IVC262148 JEY262148 JOU262148 JYQ262148 KIM262148 KSI262148 LCE262148 LMA262148 LVW262148 MFS262148 MPO262148 MZK262148 NJG262148 NTC262148 OCY262148 OMU262148 OWQ262148 PGM262148 PQI262148 QAE262148 QKA262148 QTW262148 RDS262148 RNO262148 RXK262148 SHG262148 SRC262148 TAY262148 TKU262148 TUQ262148 UEM262148 UOI262148 UYE262148 VIA262148 VRW262148 WBS262148 WLO262148 WVK262148 C327686 IY327684 SU327684 ACQ327684 AMM327684 AWI327684 BGE327684 BQA327684 BZW327684 CJS327684 CTO327684 DDK327684 DNG327684 DXC327684 EGY327684 EQU327684 FAQ327684 FKM327684 FUI327684 GEE327684 GOA327684 GXW327684 HHS327684 HRO327684 IBK327684 ILG327684 IVC327684 JEY327684 JOU327684 JYQ327684 KIM327684 KSI327684 LCE327684 LMA327684 LVW327684 MFS327684 MPO327684 MZK327684 NJG327684 NTC327684 OCY327684 OMU327684 OWQ327684 PGM327684 PQI327684 QAE327684 QKA327684 QTW327684 RDS327684 RNO327684 RXK327684 SHG327684 SRC327684 TAY327684 TKU327684 TUQ327684 UEM327684 UOI327684 UYE327684 VIA327684 VRW327684 WBS327684 WLO327684 WVK327684 C393222 IY393220 SU393220 ACQ393220 AMM393220 AWI393220 BGE393220 BQA393220 BZW393220 CJS393220 CTO393220 DDK393220 DNG393220 DXC393220 EGY393220 EQU393220 FAQ393220 FKM393220 FUI393220 GEE393220 GOA393220 GXW393220 HHS393220 HRO393220 IBK393220 ILG393220 IVC393220 JEY393220 JOU393220 JYQ393220 KIM393220 KSI393220 LCE393220 LMA393220 LVW393220 MFS393220 MPO393220 MZK393220 NJG393220 NTC393220 OCY393220 OMU393220 OWQ393220 PGM393220 PQI393220 QAE393220 QKA393220 QTW393220 RDS393220 RNO393220 RXK393220 SHG393220 SRC393220 TAY393220 TKU393220 TUQ393220 UEM393220 UOI393220 UYE393220 VIA393220 VRW393220 WBS393220 WLO393220 WVK393220 C458758 IY458756 SU458756 ACQ458756 AMM458756 AWI458756 BGE458756 BQA458756 BZW458756 CJS458756 CTO458756 DDK458756 DNG458756 DXC458756 EGY458756 EQU458756 FAQ458756 FKM458756 FUI458756 GEE458756 GOA458756 GXW458756 HHS458756 HRO458756 IBK458756 ILG458756 IVC458756 JEY458756 JOU458756 JYQ458756 KIM458756 KSI458756 LCE458756 LMA458756 LVW458756 MFS458756 MPO458756 MZK458756 NJG458756 NTC458756 OCY458756 OMU458756 OWQ458756 PGM458756 PQI458756 QAE458756 QKA458756 QTW458756 RDS458756 RNO458756 RXK458756 SHG458756 SRC458756 TAY458756 TKU458756 TUQ458756 UEM458756 UOI458756 UYE458756 VIA458756 VRW458756 WBS458756 WLO458756 WVK458756 C524294 IY524292 SU524292 ACQ524292 AMM524292 AWI524292 BGE524292 BQA524292 BZW524292 CJS524292 CTO524292 DDK524292 DNG524292 DXC524292 EGY524292 EQU524292 FAQ524292 FKM524292 FUI524292 GEE524292 GOA524292 GXW524292 HHS524292 HRO524292 IBK524292 ILG524292 IVC524292 JEY524292 JOU524292 JYQ524292 KIM524292 KSI524292 LCE524292 LMA524292 LVW524292 MFS524292 MPO524292 MZK524292 NJG524292 NTC524292 OCY524292 OMU524292 OWQ524292 PGM524292 PQI524292 QAE524292 QKA524292 QTW524292 RDS524292 RNO524292 RXK524292 SHG524292 SRC524292 TAY524292 TKU524292 TUQ524292 UEM524292 UOI524292 UYE524292 VIA524292 VRW524292 WBS524292 WLO524292 WVK524292 C589830 IY589828 SU589828 ACQ589828 AMM589828 AWI589828 BGE589828 BQA589828 BZW589828 CJS589828 CTO589828 DDK589828 DNG589828 DXC589828 EGY589828 EQU589828 FAQ589828 FKM589828 FUI589828 GEE589828 GOA589828 GXW589828 HHS589828 HRO589828 IBK589828 ILG589828 IVC589828 JEY589828 JOU589828 JYQ589828 KIM589828 KSI589828 LCE589828 LMA589828 LVW589828 MFS589828 MPO589828 MZK589828 NJG589828 NTC589828 OCY589828 OMU589828 OWQ589828 PGM589828 PQI589828 QAE589828 QKA589828 QTW589828 RDS589828 RNO589828 RXK589828 SHG589828 SRC589828 TAY589828 TKU589828 TUQ589828 UEM589828 UOI589828 UYE589828 VIA589828 VRW589828 WBS589828 WLO589828 WVK589828 C655366 IY655364 SU655364 ACQ655364 AMM655364 AWI655364 BGE655364 BQA655364 BZW655364 CJS655364 CTO655364 DDK655364 DNG655364 DXC655364 EGY655364 EQU655364 FAQ655364 FKM655364 FUI655364 GEE655364 GOA655364 GXW655364 HHS655364 HRO655364 IBK655364 ILG655364 IVC655364 JEY655364 JOU655364 JYQ655364 KIM655364 KSI655364 LCE655364 LMA655364 LVW655364 MFS655364 MPO655364 MZK655364 NJG655364 NTC655364 OCY655364 OMU655364 OWQ655364 PGM655364 PQI655364 QAE655364 QKA655364 QTW655364 RDS655364 RNO655364 RXK655364 SHG655364 SRC655364 TAY655364 TKU655364 TUQ655364 UEM655364 UOI655364 UYE655364 VIA655364 VRW655364 WBS655364 WLO655364 WVK655364 C720902 IY720900 SU720900 ACQ720900 AMM720900 AWI720900 BGE720900 BQA720900 BZW720900 CJS720900 CTO720900 DDK720900 DNG720900 DXC720900 EGY720900 EQU720900 FAQ720900 FKM720900 FUI720900 GEE720900 GOA720900 GXW720900 HHS720900 HRO720900 IBK720900 ILG720900 IVC720900 JEY720900 JOU720900 JYQ720900 KIM720900 KSI720900 LCE720900 LMA720900 LVW720900 MFS720900 MPO720900 MZK720900 NJG720900 NTC720900 OCY720900 OMU720900 OWQ720900 PGM720900 PQI720900 QAE720900 QKA720900 QTW720900 RDS720900 RNO720900 RXK720900 SHG720900 SRC720900 TAY720900 TKU720900 TUQ720900 UEM720900 UOI720900 UYE720900 VIA720900 VRW720900 WBS720900 WLO720900 WVK720900 C786438 IY786436 SU786436 ACQ786436 AMM786436 AWI786436 BGE786436 BQA786436 BZW786436 CJS786436 CTO786436 DDK786436 DNG786436 DXC786436 EGY786436 EQU786436 FAQ786436 FKM786436 FUI786436 GEE786436 GOA786436 GXW786436 HHS786436 HRO786436 IBK786436 ILG786436 IVC786436 JEY786436 JOU786436 JYQ786436 KIM786436 KSI786436 LCE786436 LMA786436 LVW786436 MFS786436 MPO786436 MZK786436 NJG786436 NTC786436 OCY786436 OMU786436 OWQ786436 PGM786436 PQI786436 QAE786436 QKA786436 QTW786436 RDS786436 RNO786436 RXK786436 SHG786436 SRC786436 TAY786436 TKU786436 TUQ786436 UEM786436 UOI786436 UYE786436 VIA786436 VRW786436 WBS786436 WLO786436 WVK786436 C851974 IY851972 SU851972 ACQ851972 AMM851972 AWI851972 BGE851972 BQA851972 BZW851972 CJS851972 CTO851972 DDK851972 DNG851972 DXC851972 EGY851972 EQU851972 FAQ851972 FKM851972 FUI851972 GEE851972 GOA851972 GXW851972 HHS851972 HRO851972 IBK851972 ILG851972 IVC851972 JEY851972 JOU851972 JYQ851972 KIM851972 KSI851972 LCE851972 LMA851972 LVW851972 MFS851972 MPO851972 MZK851972 NJG851972 NTC851972 OCY851972 OMU851972 OWQ851972 PGM851972 PQI851972 QAE851972 QKA851972 QTW851972 RDS851972 RNO851972 RXK851972 SHG851972 SRC851972 TAY851972 TKU851972 TUQ851972 UEM851972 UOI851972 UYE851972 VIA851972 VRW851972 WBS851972 WLO851972 WVK851972 C917510 IY917508 SU917508 ACQ917508 AMM917508 AWI917508 BGE917508 BQA917508 BZW917508 CJS917508 CTO917508 DDK917508 DNG917508 DXC917508 EGY917508 EQU917508 FAQ917508 FKM917508 FUI917508 GEE917508 GOA917508 GXW917508 HHS917508 HRO917508 IBK917508 ILG917508 IVC917508 JEY917508 JOU917508 JYQ917508 KIM917508 KSI917508 LCE917508 LMA917508 LVW917508 MFS917508 MPO917508 MZK917508 NJG917508 NTC917508 OCY917508 OMU917508 OWQ917508 PGM917508 PQI917508 QAE917508 QKA917508 QTW917508 RDS917508 RNO917508 RXK917508 SHG917508 SRC917508 TAY917508 TKU917508 TUQ917508 UEM917508 UOI917508 UYE917508 VIA917508 VRW917508 WBS917508 WLO917508 WVK917508 C983046 IY983044 SU983044 ACQ983044 AMM983044 AWI983044 BGE983044 BQA983044 BZW983044 CJS983044 CTO983044 DDK983044 DNG983044 DXC983044 EGY983044 EQU983044 FAQ983044 FKM983044 FUI983044 GEE983044 GOA983044 GXW983044 HHS983044 HRO983044 IBK983044 ILG983044 IVC983044 JEY983044 JOU983044 JYQ983044 KIM983044 KSI983044 LCE983044 LMA983044 LVW983044 MFS983044 MPO983044 MZK983044 NJG983044 NTC983044 OCY983044 OMU983044 OWQ983044 PGM983044 PQI983044 QAE983044 QKA983044 QTW983044 RDS983044 RNO983044 RXK983044 SHG983044 SRC983044 TAY983044 TKU983044 TUQ983044 UEM983044 UOI983044 UYE983044 VIA983044 VRW983044 WBS983044 WLO983044 WVK983044" xr:uid="{AB8D9E56-66AB-4387-899D-36C48D1CFD1A}">
      <formula1>"Ticker"</formula1>
    </dataValidation>
    <dataValidation type="custom" showInputMessage="1" showErrorMessage="1" sqref="C2:D2 IY2:IZ2 SU2:SV2 ACQ2:ACR2 AMM2:AMN2 AWI2:AWJ2 BGE2:BGF2 BQA2:BQB2 BZW2:BZX2 CJS2:CJT2 CTO2:CTP2 DDK2:DDL2 DNG2:DNH2 DXC2:DXD2 EGY2:EGZ2 EQU2:EQV2 FAQ2:FAR2 FKM2:FKN2 FUI2:FUJ2 GEE2:GEF2 GOA2:GOB2 GXW2:GXX2 HHS2:HHT2 HRO2:HRP2 IBK2:IBL2 ILG2:ILH2 IVC2:IVD2 JEY2:JEZ2 JOU2:JOV2 JYQ2:JYR2 KIM2:KIN2 KSI2:KSJ2 LCE2:LCF2 LMA2:LMB2 LVW2:LVX2 MFS2:MFT2 MPO2:MPP2 MZK2:MZL2 NJG2:NJH2 NTC2:NTD2 OCY2:OCZ2 OMU2:OMV2 OWQ2:OWR2 PGM2:PGN2 PQI2:PQJ2 QAE2:QAF2 QKA2:QKB2 QTW2:QTX2 RDS2:RDT2 RNO2:RNP2 RXK2:RXL2 SHG2:SHH2 SRC2:SRD2 TAY2:TAZ2 TKU2:TKV2 TUQ2:TUR2 UEM2:UEN2 UOI2:UOJ2 UYE2:UYF2 VIA2:VIB2 VRW2:VRX2 WBS2:WBT2 WLO2:WLP2 WVK2:WVL2 C65540:D65540 IY65538:IZ65538 SU65538:SV65538 ACQ65538:ACR65538 AMM65538:AMN65538 AWI65538:AWJ65538 BGE65538:BGF65538 BQA65538:BQB65538 BZW65538:BZX65538 CJS65538:CJT65538 CTO65538:CTP65538 DDK65538:DDL65538 DNG65538:DNH65538 DXC65538:DXD65538 EGY65538:EGZ65538 EQU65538:EQV65538 FAQ65538:FAR65538 FKM65538:FKN65538 FUI65538:FUJ65538 GEE65538:GEF65538 GOA65538:GOB65538 GXW65538:GXX65538 HHS65538:HHT65538 HRO65538:HRP65538 IBK65538:IBL65538 ILG65538:ILH65538 IVC65538:IVD65538 JEY65538:JEZ65538 JOU65538:JOV65538 JYQ65538:JYR65538 KIM65538:KIN65538 KSI65538:KSJ65538 LCE65538:LCF65538 LMA65538:LMB65538 LVW65538:LVX65538 MFS65538:MFT65538 MPO65538:MPP65538 MZK65538:MZL65538 NJG65538:NJH65538 NTC65538:NTD65538 OCY65538:OCZ65538 OMU65538:OMV65538 OWQ65538:OWR65538 PGM65538:PGN65538 PQI65538:PQJ65538 QAE65538:QAF65538 QKA65538:QKB65538 QTW65538:QTX65538 RDS65538:RDT65538 RNO65538:RNP65538 RXK65538:RXL65538 SHG65538:SHH65538 SRC65538:SRD65538 TAY65538:TAZ65538 TKU65538:TKV65538 TUQ65538:TUR65538 UEM65538:UEN65538 UOI65538:UOJ65538 UYE65538:UYF65538 VIA65538:VIB65538 VRW65538:VRX65538 WBS65538:WBT65538 WLO65538:WLP65538 WVK65538:WVL65538 C131076:D131076 IY131074:IZ131074 SU131074:SV131074 ACQ131074:ACR131074 AMM131074:AMN131074 AWI131074:AWJ131074 BGE131074:BGF131074 BQA131074:BQB131074 BZW131074:BZX131074 CJS131074:CJT131074 CTO131074:CTP131074 DDK131074:DDL131074 DNG131074:DNH131074 DXC131074:DXD131074 EGY131074:EGZ131074 EQU131074:EQV131074 FAQ131074:FAR131074 FKM131074:FKN131074 FUI131074:FUJ131074 GEE131074:GEF131074 GOA131074:GOB131074 GXW131074:GXX131074 HHS131074:HHT131074 HRO131074:HRP131074 IBK131074:IBL131074 ILG131074:ILH131074 IVC131074:IVD131074 JEY131074:JEZ131074 JOU131074:JOV131074 JYQ131074:JYR131074 KIM131074:KIN131074 KSI131074:KSJ131074 LCE131074:LCF131074 LMA131074:LMB131074 LVW131074:LVX131074 MFS131074:MFT131074 MPO131074:MPP131074 MZK131074:MZL131074 NJG131074:NJH131074 NTC131074:NTD131074 OCY131074:OCZ131074 OMU131074:OMV131074 OWQ131074:OWR131074 PGM131074:PGN131074 PQI131074:PQJ131074 QAE131074:QAF131074 QKA131074:QKB131074 QTW131074:QTX131074 RDS131074:RDT131074 RNO131074:RNP131074 RXK131074:RXL131074 SHG131074:SHH131074 SRC131074:SRD131074 TAY131074:TAZ131074 TKU131074:TKV131074 TUQ131074:TUR131074 UEM131074:UEN131074 UOI131074:UOJ131074 UYE131074:UYF131074 VIA131074:VIB131074 VRW131074:VRX131074 WBS131074:WBT131074 WLO131074:WLP131074 WVK131074:WVL131074 C196612:D196612 IY196610:IZ196610 SU196610:SV196610 ACQ196610:ACR196610 AMM196610:AMN196610 AWI196610:AWJ196610 BGE196610:BGF196610 BQA196610:BQB196610 BZW196610:BZX196610 CJS196610:CJT196610 CTO196610:CTP196610 DDK196610:DDL196610 DNG196610:DNH196610 DXC196610:DXD196610 EGY196610:EGZ196610 EQU196610:EQV196610 FAQ196610:FAR196610 FKM196610:FKN196610 FUI196610:FUJ196610 GEE196610:GEF196610 GOA196610:GOB196610 GXW196610:GXX196610 HHS196610:HHT196610 HRO196610:HRP196610 IBK196610:IBL196610 ILG196610:ILH196610 IVC196610:IVD196610 JEY196610:JEZ196610 JOU196610:JOV196610 JYQ196610:JYR196610 KIM196610:KIN196610 KSI196610:KSJ196610 LCE196610:LCF196610 LMA196610:LMB196610 LVW196610:LVX196610 MFS196610:MFT196610 MPO196610:MPP196610 MZK196610:MZL196610 NJG196610:NJH196610 NTC196610:NTD196610 OCY196610:OCZ196610 OMU196610:OMV196610 OWQ196610:OWR196610 PGM196610:PGN196610 PQI196610:PQJ196610 QAE196610:QAF196610 QKA196610:QKB196610 QTW196610:QTX196610 RDS196610:RDT196610 RNO196610:RNP196610 RXK196610:RXL196610 SHG196610:SHH196610 SRC196610:SRD196610 TAY196610:TAZ196610 TKU196610:TKV196610 TUQ196610:TUR196610 UEM196610:UEN196610 UOI196610:UOJ196610 UYE196610:UYF196610 VIA196610:VIB196610 VRW196610:VRX196610 WBS196610:WBT196610 WLO196610:WLP196610 WVK196610:WVL196610 C262148:D262148 IY262146:IZ262146 SU262146:SV262146 ACQ262146:ACR262146 AMM262146:AMN262146 AWI262146:AWJ262146 BGE262146:BGF262146 BQA262146:BQB262146 BZW262146:BZX262146 CJS262146:CJT262146 CTO262146:CTP262146 DDK262146:DDL262146 DNG262146:DNH262146 DXC262146:DXD262146 EGY262146:EGZ262146 EQU262146:EQV262146 FAQ262146:FAR262146 FKM262146:FKN262146 FUI262146:FUJ262146 GEE262146:GEF262146 GOA262146:GOB262146 GXW262146:GXX262146 HHS262146:HHT262146 HRO262146:HRP262146 IBK262146:IBL262146 ILG262146:ILH262146 IVC262146:IVD262146 JEY262146:JEZ262146 JOU262146:JOV262146 JYQ262146:JYR262146 KIM262146:KIN262146 KSI262146:KSJ262146 LCE262146:LCF262146 LMA262146:LMB262146 LVW262146:LVX262146 MFS262146:MFT262146 MPO262146:MPP262146 MZK262146:MZL262146 NJG262146:NJH262146 NTC262146:NTD262146 OCY262146:OCZ262146 OMU262146:OMV262146 OWQ262146:OWR262146 PGM262146:PGN262146 PQI262146:PQJ262146 QAE262146:QAF262146 QKA262146:QKB262146 QTW262146:QTX262146 RDS262146:RDT262146 RNO262146:RNP262146 RXK262146:RXL262146 SHG262146:SHH262146 SRC262146:SRD262146 TAY262146:TAZ262146 TKU262146:TKV262146 TUQ262146:TUR262146 UEM262146:UEN262146 UOI262146:UOJ262146 UYE262146:UYF262146 VIA262146:VIB262146 VRW262146:VRX262146 WBS262146:WBT262146 WLO262146:WLP262146 WVK262146:WVL262146 C327684:D327684 IY327682:IZ327682 SU327682:SV327682 ACQ327682:ACR327682 AMM327682:AMN327682 AWI327682:AWJ327682 BGE327682:BGF327682 BQA327682:BQB327682 BZW327682:BZX327682 CJS327682:CJT327682 CTO327682:CTP327682 DDK327682:DDL327682 DNG327682:DNH327682 DXC327682:DXD327682 EGY327682:EGZ327682 EQU327682:EQV327682 FAQ327682:FAR327682 FKM327682:FKN327682 FUI327682:FUJ327682 GEE327682:GEF327682 GOA327682:GOB327682 GXW327682:GXX327682 HHS327682:HHT327682 HRO327682:HRP327682 IBK327682:IBL327682 ILG327682:ILH327682 IVC327682:IVD327682 JEY327682:JEZ327682 JOU327682:JOV327682 JYQ327682:JYR327682 KIM327682:KIN327682 KSI327682:KSJ327682 LCE327682:LCF327682 LMA327682:LMB327682 LVW327682:LVX327682 MFS327682:MFT327682 MPO327682:MPP327682 MZK327682:MZL327682 NJG327682:NJH327682 NTC327682:NTD327682 OCY327682:OCZ327682 OMU327682:OMV327682 OWQ327682:OWR327682 PGM327682:PGN327682 PQI327682:PQJ327682 QAE327682:QAF327682 QKA327682:QKB327682 QTW327682:QTX327682 RDS327682:RDT327682 RNO327682:RNP327682 RXK327682:RXL327682 SHG327682:SHH327682 SRC327682:SRD327682 TAY327682:TAZ327682 TKU327682:TKV327682 TUQ327682:TUR327682 UEM327682:UEN327682 UOI327682:UOJ327682 UYE327682:UYF327682 VIA327682:VIB327682 VRW327682:VRX327682 WBS327682:WBT327682 WLO327682:WLP327682 WVK327682:WVL327682 C393220:D393220 IY393218:IZ393218 SU393218:SV393218 ACQ393218:ACR393218 AMM393218:AMN393218 AWI393218:AWJ393218 BGE393218:BGF393218 BQA393218:BQB393218 BZW393218:BZX393218 CJS393218:CJT393218 CTO393218:CTP393218 DDK393218:DDL393218 DNG393218:DNH393218 DXC393218:DXD393218 EGY393218:EGZ393218 EQU393218:EQV393218 FAQ393218:FAR393218 FKM393218:FKN393218 FUI393218:FUJ393218 GEE393218:GEF393218 GOA393218:GOB393218 GXW393218:GXX393218 HHS393218:HHT393218 HRO393218:HRP393218 IBK393218:IBL393218 ILG393218:ILH393218 IVC393218:IVD393218 JEY393218:JEZ393218 JOU393218:JOV393218 JYQ393218:JYR393218 KIM393218:KIN393218 KSI393218:KSJ393218 LCE393218:LCF393218 LMA393218:LMB393218 LVW393218:LVX393218 MFS393218:MFT393218 MPO393218:MPP393218 MZK393218:MZL393218 NJG393218:NJH393218 NTC393218:NTD393218 OCY393218:OCZ393218 OMU393218:OMV393218 OWQ393218:OWR393218 PGM393218:PGN393218 PQI393218:PQJ393218 QAE393218:QAF393218 QKA393218:QKB393218 QTW393218:QTX393218 RDS393218:RDT393218 RNO393218:RNP393218 RXK393218:RXL393218 SHG393218:SHH393218 SRC393218:SRD393218 TAY393218:TAZ393218 TKU393218:TKV393218 TUQ393218:TUR393218 UEM393218:UEN393218 UOI393218:UOJ393218 UYE393218:UYF393218 VIA393218:VIB393218 VRW393218:VRX393218 WBS393218:WBT393218 WLO393218:WLP393218 WVK393218:WVL393218 C458756:D458756 IY458754:IZ458754 SU458754:SV458754 ACQ458754:ACR458754 AMM458754:AMN458754 AWI458754:AWJ458754 BGE458754:BGF458754 BQA458754:BQB458754 BZW458754:BZX458754 CJS458754:CJT458754 CTO458754:CTP458754 DDK458754:DDL458754 DNG458754:DNH458754 DXC458754:DXD458754 EGY458754:EGZ458754 EQU458754:EQV458754 FAQ458754:FAR458754 FKM458754:FKN458754 FUI458754:FUJ458754 GEE458754:GEF458754 GOA458754:GOB458754 GXW458754:GXX458754 HHS458754:HHT458754 HRO458754:HRP458754 IBK458754:IBL458754 ILG458754:ILH458754 IVC458754:IVD458754 JEY458754:JEZ458754 JOU458754:JOV458754 JYQ458754:JYR458754 KIM458754:KIN458754 KSI458754:KSJ458754 LCE458754:LCF458754 LMA458754:LMB458754 LVW458754:LVX458754 MFS458754:MFT458754 MPO458754:MPP458754 MZK458754:MZL458754 NJG458754:NJH458754 NTC458754:NTD458754 OCY458754:OCZ458754 OMU458754:OMV458754 OWQ458754:OWR458754 PGM458754:PGN458754 PQI458754:PQJ458754 QAE458754:QAF458754 QKA458754:QKB458754 QTW458754:QTX458754 RDS458754:RDT458754 RNO458754:RNP458754 RXK458754:RXL458754 SHG458754:SHH458754 SRC458754:SRD458754 TAY458754:TAZ458754 TKU458754:TKV458754 TUQ458754:TUR458754 UEM458754:UEN458754 UOI458754:UOJ458754 UYE458754:UYF458754 VIA458754:VIB458754 VRW458754:VRX458754 WBS458754:WBT458754 WLO458754:WLP458754 WVK458754:WVL458754 C524292:D524292 IY524290:IZ524290 SU524290:SV524290 ACQ524290:ACR524290 AMM524290:AMN524290 AWI524290:AWJ524290 BGE524290:BGF524290 BQA524290:BQB524290 BZW524290:BZX524290 CJS524290:CJT524290 CTO524290:CTP524290 DDK524290:DDL524290 DNG524290:DNH524290 DXC524290:DXD524290 EGY524290:EGZ524290 EQU524290:EQV524290 FAQ524290:FAR524290 FKM524290:FKN524290 FUI524290:FUJ524290 GEE524290:GEF524290 GOA524290:GOB524290 GXW524290:GXX524290 HHS524290:HHT524290 HRO524290:HRP524290 IBK524290:IBL524290 ILG524290:ILH524290 IVC524290:IVD524290 JEY524290:JEZ524290 JOU524290:JOV524290 JYQ524290:JYR524290 KIM524290:KIN524290 KSI524290:KSJ524290 LCE524290:LCF524290 LMA524290:LMB524290 LVW524290:LVX524290 MFS524290:MFT524290 MPO524290:MPP524290 MZK524290:MZL524290 NJG524290:NJH524290 NTC524290:NTD524290 OCY524290:OCZ524290 OMU524290:OMV524290 OWQ524290:OWR524290 PGM524290:PGN524290 PQI524290:PQJ524290 QAE524290:QAF524290 QKA524290:QKB524290 QTW524290:QTX524290 RDS524290:RDT524290 RNO524290:RNP524290 RXK524290:RXL524290 SHG524290:SHH524290 SRC524290:SRD524290 TAY524290:TAZ524290 TKU524290:TKV524290 TUQ524290:TUR524290 UEM524290:UEN524290 UOI524290:UOJ524290 UYE524290:UYF524290 VIA524290:VIB524290 VRW524290:VRX524290 WBS524290:WBT524290 WLO524290:WLP524290 WVK524290:WVL524290 C589828:D589828 IY589826:IZ589826 SU589826:SV589826 ACQ589826:ACR589826 AMM589826:AMN589826 AWI589826:AWJ589826 BGE589826:BGF589826 BQA589826:BQB589826 BZW589826:BZX589826 CJS589826:CJT589826 CTO589826:CTP589826 DDK589826:DDL589826 DNG589826:DNH589826 DXC589826:DXD589826 EGY589826:EGZ589826 EQU589826:EQV589826 FAQ589826:FAR589826 FKM589826:FKN589826 FUI589826:FUJ589826 GEE589826:GEF589826 GOA589826:GOB589826 GXW589826:GXX589826 HHS589826:HHT589826 HRO589826:HRP589826 IBK589826:IBL589826 ILG589826:ILH589826 IVC589826:IVD589826 JEY589826:JEZ589826 JOU589826:JOV589826 JYQ589826:JYR589826 KIM589826:KIN589826 KSI589826:KSJ589826 LCE589826:LCF589826 LMA589826:LMB589826 LVW589826:LVX589826 MFS589826:MFT589826 MPO589826:MPP589826 MZK589826:MZL589826 NJG589826:NJH589826 NTC589826:NTD589826 OCY589826:OCZ589826 OMU589826:OMV589826 OWQ589826:OWR589826 PGM589826:PGN589826 PQI589826:PQJ589826 QAE589826:QAF589826 QKA589826:QKB589826 QTW589826:QTX589826 RDS589826:RDT589826 RNO589826:RNP589826 RXK589826:RXL589826 SHG589826:SHH589826 SRC589826:SRD589826 TAY589826:TAZ589826 TKU589826:TKV589826 TUQ589826:TUR589826 UEM589826:UEN589826 UOI589826:UOJ589826 UYE589826:UYF589826 VIA589826:VIB589826 VRW589826:VRX589826 WBS589826:WBT589826 WLO589826:WLP589826 WVK589826:WVL589826 C655364:D655364 IY655362:IZ655362 SU655362:SV655362 ACQ655362:ACR655362 AMM655362:AMN655362 AWI655362:AWJ655362 BGE655362:BGF655362 BQA655362:BQB655362 BZW655362:BZX655362 CJS655362:CJT655362 CTO655362:CTP655362 DDK655362:DDL655362 DNG655362:DNH655362 DXC655362:DXD655362 EGY655362:EGZ655362 EQU655362:EQV655362 FAQ655362:FAR655362 FKM655362:FKN655362 FUI655362:FUJ655362 GEE655362:GEF655362 GOA655362:GOB655362 GXW655362:GXX655362 HHS655362:HHT655362 HRO655362:HRP655362 IBK655362:IBL655362 ILG655362:ILH655362 IVC655362:IVD655362 JEY655362:JEZ655362 JOU655362:JOV655362 JYQ655362:JYR655362 KIM655362:KIN655362 KSI655362:KSJ655362 LCE655362:LCF655362 LMA655362:LMB655362 LVW655362:LVX655362 MFS655362:MFT655362 MPO655362:MPP655362 MZK655362:MZL655362 NJG655362:NJH655362 NTC655362:NTD655362 OCY655362:OCZ655362 OMU655362:OMV655362 OWQ655362:OWR655362 PGM655362:PGN655362 PQI655362:PQJ655362 QAE655362:QAF655362 QKA655362:QKB655362 QTW655362:QTX655362 RDS655362:RDT655362 RNO655362:RNP655362 RXK655362:RXL655362 SHG655362:SHH655362 SRC655362:SRD655362 TAY655362:TAZ655362 TKU655362:TKV655362 TUQ655362:TUR655362 UEM655362:UEN655362 UOI655362:UOJ655362 UYE655362:UYF655362 VIA655362:VIB655362 VRW655362:VRX655362 WBS655362:WBT655362 WLO655362:WLP655362 WVK655362:WVL655362 C720900:D720900 IY720898:IZ720898 SU720898:SV720898 ACQ720898:ACR720898 AMM720898:AMN720898 AWI720898:AWJ720898 BGE720898:BGF720898 BQA720898:BQB720898 BZW720898:BZX720898 CJS720898:CJT720898 CTO720898:CTP720898 DDK720898:DDL720898 DNG720898:DNH720898 DXC720898:DXD720898 EGY720898:EGZ720898 EQU720898:EQV720898 FAQ720898:FAR720898 FKM720898:FKN720898 FUI720898:FUJ720898 GEE720898:GEF720898 GOA720898:GOB720898 GXW720898:GXX720898 HHS720898:HHT720898 HRO720898:HRP720898 IBK720898:IBL720898 ILG720898:ILH720898 IVC720898:IVD720898 JEY720898:JEZ720898 JOU720898:JOV720898 JYQ720898:JYR720898 KIM720898:KIN720898 KSI720898:KSJ720898 LCE720898:LCF720898 LMA720898:LMB720898 LVW720898:LVX720898 MFS720898:MFT720898 MPO720898:MPP720898 MZK720898:MZL720898 NJG720898:NJH720898 NTC720898:NTD720898 OCY720898:OCZ720898 OMU720898:OMV720898 OWQ720898:OWR720898 PGM720898:PGN720898 PQI720898:PQJ720898 QAE720898:QAF720898 QKA720898:QKB720898 QTW720898:QTX720898 RDS720898:RDT720898 RNO720898:RNP720898 RXK720898:RXL720898 SHG720898:SHH720898 SRC720898:SRD720898 TAY720898:TAZ720898 TKU720898:TKV720898 TUQ720898:TUR720898 UEM720898:UEN720898 UOI720898:UOJ720898 UYE720898:UYF720898 VIA720898:VIB720898 VRW720898:VRX720898 WBS720898:WBT720898 WLO720898:WLP720898 WVK720898:WVL720898 C786436:D786436 IY786434:IZ786434 SU786434:SV786434 ACQ786434:ACR786434 AMM786434:AMN786434 AWI786434:AWJ786434 BGE786434:BGF786434 BQA786434:BQB786434 BZW786434:BZX786434 CJS786434:CJT786434 CTO786434:CTP786434 DDK786434:DDL786434 DNG786434:DNH786434 DXC786434:DXD786434 EGY786434:EGZ786434 EQU786434:EQV786434 FAQ786434:FAR786434 FKM786434:FKN786434 FUI786434:FUJ786434 GEE786434:GEF786434 GOA786434:GOB786434 GXW786434:GXX786434 HHS786434:HHT786434 HRO786434:HRP786434 IBK786434:IBL786434 ILG786434:ILH786434 IVC786434:IVD786434 JEY786434:JEZ786434 JOU786434:JOV786434 JYQ786434:JYR786434 KIM786434:KIN786434 KSI786434:KSJ786434 LCE786434:LCF786434 LMA786434:LMB786434 LVW786434:LVX786434 MFS786434:MFT786434 MPO786434:MPP786434 MZK786434:MZL786434 NJG786434:NJH786434 NTC786434:NTD786434 OCY786434:OCZ786434 OMU786434:OMV786434 OWQ786434:OWR786434 PGM786434:PGN786434 PQI786434:PQJ786434 QAE786434:QAF786434 QKA786434:QKB786434 QTW786434:QTX786434 RDS786434:RDT786434 RNO786434:RNP786434 RXK786434:RXL786434 SHG786434:SHH786434 SRC786434:SRD786434 TAY786434:TAZ786434 TKU786434:TKV786434 TUQ786434:TUR786434 UEM786434:UEN786434 UOI786434:UOJ786434 UYE786434:UYF786434 VIA786434:VIB786434 VRW786434:VRX786434 WBS786434:WBT786434 WLO786434:WLP786434 WVK786434:WVL786434 C851972:D851972 IY851970:IZ851970 SU851970:SV851970 ACQ851970:ACR851970 AMM851970:AMN851970 AWI851970:AWJ851970 BGE851970:BGF851970 BQA851970:BQB851970 BZW851970:BZX851970 CJS851970:CJT851970 CTO851970:CTP851970 DDK851970:DDL851970 DNG851970:DNH851970 DXC851970:DXD851970 EGY851970:EGZ851970 EQU851970:EQV851970 FAQ851970:FAR851970 FKM851970:FKN851970 FUI851970:FUJ851970 GEE851970:GEF851970 GOA851970:GOB851970 GXW851970:GXX851970 HHS851970:HHT851970 HRO851970:HRP851970 IBK851970:IBL851970 ILG851970:ILH851970 IVC851970:IVD851970 JEY851970:JEZ851970 JOU851970:JOV851970 JYQ851970:JYR851970 KIM851970:KIN851970 KSI851970:KSJ851970 LCE851970:LCF851970 LMA851970:LMB851970 LVW851970:LVX851970 MFS851970:MFT851970 MPO851970:MPP851970 MZK851970:MZL851970 NJG851970:NJH851970 NTC851970:NTD851970 OCY851970:OCZ851970 OMU851970:OMV851970 OWQ851970:OWR851970 PGM851970:PGN851970 PQI851970:PQJ851970 QAE851970:QAF851970 QKA851970:QKB851970 QTW851970:QTX851970 RDS851970:RDT851970 RNO851970:RNP851970 RXK851970:RXL851970 SHG851970:SHH851970 SRC851970:SRD851970 TAY851970:TAZ851970 TKU851970:TKV851970 TUQ851970:TUR851970 UEM851970:UEN851970 UOI851970:UOJ851970 UYE851970:UYF851970 VIA851970:VIB851970 VRW851970:VRX851970 WBS851970:WBT851970 WLO851970:WLP851970 WVK851970:WVL851970 C917508:D917508 IY917506:IZ917506 SU917506:SV917506 ACQ917506:ACR917506 AMM917506:AMN917506 AWI917506:AWJ917506 BGE917506:BGF917506 BQA917506:BQB917506 BZW917506:BZX917506 CJS917506:CJT917506 CTO917506:CTP917506 DDK917506:DDL917506 DNG917506:DNH917506 DXC917506:DXD917506 EGY917506:EGZ917506 EQU917506:EQV917506 FAQ917506:FAR917506 FKM917506:FKN917506 FUI917506:FUJ917506 GEE917506:GEF917506 GOA917506:GOB917506 GXW917506:GXX917506 HHS917506:HHT917506 HRO917506:HRP917506 IBK917506:IBL917506 ILG917506:ILH917506 IVC917506:IVD917506 JEY917506:JEZ917506 JOU917506:JOV917506 JYQ917506:JYR917506 KIM917506:KIN917506 KSI917506:KSJ917506 LCE917506:LCF917506 LMA917506:LMB917506 LVW917506:LVX917506 MFS917506:MFT917506 MPO917506:MPP917506 MZK917506:MZL917506 NJG917506:NJH917506 NTC917506:NTD917506 OCY917506:OCZ917506 OMU917506:OMV917506 OWQ917506:OWR917506 PGM917506:PGN917506 PQI917506:PQJ917506 QAE917506:QAF917506 QKA917506:QKB917506 QTW917506:QTX917506 RDS917506:RDT917506 RNO917506:RNP917506 RXK917506:RXL917506 SHG917506:SHH917506 SRC917506:SRD917506 TAY917506:TAZ917506 TKU917506:TKV917506 TUQ917506:TUR917506 UEM917506:UEN917506 UOI917506:UOJ917506 UYE917506:UYF917506 VIA917506:VIB917506 VRW917506:VRX917506 WBS917506:WBT917506 WLO917506:WLP917506 WVK917506:WVL917506 C983044:D983044 IY983042:IZ983042 SU983042:SV983042 ACQ983042:ACR983042 AMM983042:AMN983042 AWI983042:AWJ983042 BGE983042:BGF983042 BQA983042:BQB983042 BZW983042:BZX983042 CJS983042:CJT983042 CTO983042:CTP983042 DDK983042:DDL983042 DNG983042:DNH983042 DXC983042:DXD983042 EGY983042:EGZ983042 EQU983042:EQV983042 FAQ983042:FAR983042 FKM983042:FKN983042 FUI983042:FUJ983042 GEE983042:GEF983042 GOA983042:GOB983042 GXW983042:GXX983042 HHS983042:HHT983042 HRO983042:HRP983042 IBK983042:IBL983042 ILG983042:ILH983042 IVC983042:IVD983042 JEY983042:JEZ983042 JOU983042:JOV983042 JYQ983042:JYR983042 KIM983042:KIN983042 KSI983042:KSJ983042 LCE983042:LCF983042 LMA983042:LMB983042 LVW983042:LVX983042 MFS983042:MFT983042 MPO983042:MPP983042 MZK983042:MZL983042 NJG983042:NJH983042 NTC983042:NTD983042 OCY983042:OCZ983042 OMU983042:OMV983042 OWQ983042:OWR983042 PGM983042:PGN983042 PQI983042:PQJ983042 QAE983042:QAF983042 QKA983042:QKB983042 QTW983042:QTX983042 RDS983042:RDT983042 RNO983042:RNP983042 RXK983042:RXL983042 SHG983042:SHH983042 SRC983042:SRD983042 TAY983042:TAZ983042 TKU983042:TKV983042 TUQ983042:TUR983042 UEM983042:UEN983042 UOI983042:UOJ983042 UYE983042:UYF983042 VIA983042:VIB983042 VRW983042:VRX983042 WBS983042:WBT983042 WLO983042:WLP983042 WVK983042:WVL983042" xr:uid="{91A3F9E5-F6BA-4955-9082-E74AE22DEAF9}">
      <formula1>"CORE Reference Data Upload"</formula1>
    </dataValidation>
    <dataValidation type="list" errorStyle="information" showInputMessage="1" showErrorMessage="1" sqref="B1 IX1 ST1 ACP1 AML1 AWH1 BGD1 BPZ1 BZV1 CJR1 CTN1 DDJ1 DNF1 DXB1 EGX1 EQT1 FAP1 FKL1 FUH1 GED1 GNZ1 GXV1 HHR1 HRN1 IBJ1 ILF1 IVB1 JEX1 JOT1 JYP1 KIL1 KSH1 LCD1 LLZ1 LVV1 MFR1 MPN1 MZJ1 NJF1 NTB1 OCX1 OMT1 OWP1 PGL1 PQH1 QAD1 QJZ1 QTV1 RDR1 RNN1 RXJ1 SHF1 SRB1 TAX1 TKT1 TUP1 UEL1 UOH1 UYD1 VHZ1 VRV1 WBR1 WLN1 WVJ1 B65537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B131073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B196609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B262145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B327681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B393217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B458753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B524289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B589825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B655361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B720897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B786433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B851969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B917505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B983041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xr:uid="{8CB1FFB8-43FE-4FB4-9406-E6A7046340A2}">
      <formula1>"per share,ratio,thousands,units"</formula1>
    </dataValidation>
    <dataValidation type="list" errorStyle="information" showInputMessage="1" showErrorMessage="1" sqref="WVL98304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D6" xr:uid="{644AF5C2-4C7A-4FD7-BA38-8671AB299F8E}">
      <formula1>"---,Strong Buy,Buy,Hold,Sell,Strong Sell"</formula1>
    </dataValidation>
  </dataValidations>
  <pageMargins left="0.7" right="0.7" top="0.75" bottom="0.75" header="0.3" footer="0.3"/>
  <pageSetup paperSize="9" orientation="portrait" r:id="rId1"/>
  <customProperties>
    <customPr name="PDRUploadSheet" r:id="rId2"/>
    <customPr name="UniqueWorksheetId" r:id="rId3"/>
  </customProperties>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Cover</vt:lpstr>
      <vt:lpstr>Tower</vt:lpstr>
      <vt:lpstr>Variance</vt:lpstr>
      <vt:lpstr>Investments</vt:lpstr>
      <vt:lpstr>Debt</vt:lpstr>
      <vt:lpstr>Comps</vt:lpstr>
      <vt:lpstr>Figures</vt:lpstr>
      <vt:lpstr>Coffee Market TAM (old)</vt:lpstr>
      <vt:lpstr>Coffee Market TAM (new)</vt:lpstr>
      <vt:lpstr>Estimates Upload Sheet</vt:lpstr>
      <vt:lpstr>Reference Data Upload Sheet</vt:lpstr>
      <vt:lpstr>bbg_ticker</vt:lpstr>
      <vt:lpstr>qdays</vt:lpstr>
      <vt:lpstr>text_ticker</vt:lpstr>
      <vt:lpstr>va_ticker</vt:lpstr>
      <vt:lpstr>ydays</vt:lpstr>
    </vt:vector>
  </TitlesOfParts>
  <Company>Point72 Asset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Mariani, Zach</dc:creator>
  <cp:lastModifiedBy>Mariani, Zach</cp:lastModifiedBy>
  <dcterms:created xsi:type="dcterms:W3CDTF">2023-08-22T16:35:43Z</dcterms:created>
  <dcterms:modified xsi:type="dcterms:W3CDTF">2023-09-22T01:31:59Z</dcterms:modified>
</cp:coreProperties>
</file>